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3695" yWindow="0" windowWidth="15105" windowHeight="12825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уровень'!$B$8:$J$399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уровень'!$B$1:$J$399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I194" i="157" l="1"/>
  <c r="E194" i="157"/>
  <c r="I246" i="157"/>
  <c r="E246" i="157"/>
  <c r="I166" i="157"/>
  <c r="E166" i="157"/>
  <c r="I155" i="157"/>
  <c r="E155" i="157"/>
  <c r="E275" i="157"/>
  <c r="I275" i="157"/>
  <c r="E126" i="157"/>
  <c r="I126" i="157"/>
  <c r="E304" i="157"/>
  <c r="I304" i="157"/>
  <c r="E88" i="157"/>
  <c r="I88" i="157"/>
  <c r="I65" i="157"/>
  <c r="E65" i="157"/>
  <c r="I53" i="157"/>
  <c r="E53" i="157"/>
  <c r="I43" i="157"/>
  <c r="E43" i="157"/>
  <c r="I33" i="157"/>
  <c r="E33" i="157"/>
  <c r="I19" i="157"/>
  <c r="E19" i="157"/>
  <c r="I266" i="156"/>
  <c r="E294" i="156"/>
  <c r="I294" i="156"/>
  <c r="I321" i="156"/>
  <c r="E321" i="156"/>
  <c r="I196" i="156"/>
  <c r="E196" i="156"/>
  <c r="F168" i="156" l="1"/>
  <c r="H168" i="156"/>
  <c r="J168" i="156"/>
  <c r="F169" i="156"/>
  <c r="H169" i="156"/>
  <c r="J169" i="156"/>
  <c r="I120" i="156"/>
  <c r="E120" i="156"/>
  <c r="I57" i="156"/>
  <c r="E57" i="156"/>
  <c r="J58" i="156"/>
  <c r="E35" i="156"/>
  <c r="I35" i="156"/>
  <c r="G338" i="156" l="1"/>
  <c r="G26" i="157" l="1"/>
  <c r="F261" i="37" l="1"/>
  <c r="B262" i="37"/>
  <c r="J267" i="156" l="1"/>
  <c r="J197" i="156"/>
  <c r="F243" i="37" l="1"/>
  <c r="F244" i="37"/>
  <c r="F245" i="37"/>
  <c r="D246" i="37"/>
  <c r="E246" i="37"/>
  <c r="F246" i="37"/>
  <c r="D247" i="37"/>
  <c r="E247" i="37"/>
  <c r="F247" i="37"/>
  <c r="F248" i="37"/>
  <c r="D11" i="156" l="1"/>
  <c r="I187" i="156" l="1"/>
  <c r="G187" i="156"/>
  <c r="E187" i="156"/>
  <c r="C187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1" i="157"/>
  <c r="H350" i="157"/>
  <c r="H349" i="157"/>
  <c r="H348" i="157"/>
  <c r="H331" i="157"/>
  <c r="H326" i="157"/>
  <c r="H325" i="157"/>
  <c r="H324" i="157"/>
  <c r="H323" i="157"/>
  <c r="H305" i="157"/>
  <c r="J305" i="157" s="1"/>
  <c r="H304" i="157"/>
  <c r="H299" i="157"/>
  <c r="H298" i="157"/>
  <c r="H297" i="157"/>
  <c r="H296" i="157"/>
  <c r="H277" i="157"/>
  <c r="H276" i="157"/>
  <c r="J276" i="157" s="1"/>
  <c r="H275" i="157"/>
  <c r="H270" i="157"/>
  <c r="H269" i="157"/>
  <c r="H268" i="157"/>
  <c r="H267" i="157"/>
  <c r="H248" i="157"/>
  <c r="H247" i="157"/>
  <c r="J247" i="157" s="1"/>
  <c r="H246" i="157"/>
  <c r="H241" i="157"/>
  <c r="H240" i="157"/>
  <c r="H239" i="157"/>
  <c r="H238" i="157"/>
  <c r="H221" i="157"/>
  <c r="H216" i="157"/>
  <c r="H215" i="157"/>
  <c r="H214" i="157"/>
  <c r="H213" i="157"/>
  <c r="H195" i="157"/>
  <c r="J195" i="157" s="1"/>
  <c r="H194" i="157"/>
  <c r="H189" i="157"/>
  <c r="J189" i="157" s="1"/>
  <c r="H188" i="157"/>
  <c r="H187" i="157"/>
  <c r="H186" i="157"/>
  <c r="H167" i="157"/>
  <c r="J167" i="157" s="1"/>
  <c r="H166" i="157"/>
  <c r="H163" i="157"/>
  <c r="H162" i="157"/>
  <c r="H155" i="157"/>
  <c r="H150" i="157"/>
  <c r="H149" i="157"/>
  <c r="H148" i="157"/>
  <c r="H147" i="157"/>
  <c r="H128" i="157"/>
  <c r="J128" i="157" s="1"/>
  <c r="H127" i="157"/>
  <c r="J127" i="157" s="1"/>
  <c r="H126" i="157"/>
  <c r="H121" i="157"/>
  <c r="H120" i="157"/>
  <c r="H119" i="157"/>
  <c r="H118" i="157"/>
  <c r="H98" i="157"/>
  <c r="H95" i="157"/>
  <c r="H94" i="157"/>
  <c r="H89" i="157"/>
  <c r="J89" i="157" s="1"/>
  <c r="H88" i="157"/>
  <c r="H83" i="157"/>
  <c r="H82" i="157"/>
  <c r="H81" i="157"/>
  <c r="H76" i="157"/>
  <c r="H73" i="157"/>
  <c r="H72" i="157"/>
  <c r="H67" i="157"/>
  <c r="J67" i="157" s="1"/>
  <c r="H66" i="157"/>
  <c r="J66" i="157" s="1"/>
  <c r="H65" i="157"/>
  <c r="H61" i="157"/>
  <c r="H60" i="157"/>
  <c r="H55" i="157"/>
  <c r="J55" i="157" s="1"/>
  <c r="H54" i="157"/>
  <c r="J54" i="157" s="1"/>
  <c r="H53" i="157"/>
  <c r="H50" i="157"/>
  <c r="H49" i="157"/>
  <c r="H44" i="157"/>
  <c r="J44" i="157" s="1"/>
  <c r="H43" i="157"/>
  <c r="H40" i="157"/>
  <c r="H39" i="157"/>
  <c r="H34" i="157"/>
  <c r="J34" i="157" s="1"/>
  <c r="H33" i="157"/>
  <c r="H28" i="157"/>
  <c r="H27" i="157"/>
  <c r="H26" i="157"/>
  <c r="H25" i="157"/>
  <c r="H20" i="157"/>
  <c r="J20" i="157" s="1"/>
  <c r="H19" i="157"/>
  <c r="H14" i="157"/>
  <c r="H13" i="157"/>
  <c r="H12" i="157"/>
  <c r="H11" i="157"/>
  <c r="H386" i="156"/>
  <c r="H385" i="156"/>
  <c r="H384" i="156"/>
  <c r="H383" i="156"/>
  <c r="H381" i="156"/>
  <c r="H380" i="156"/>
  <c r="H379" i="156"/>
  <c r="H378" i="156"/>
  <c r="H374" i="156"/>
  <c r="H373" i="156"/>
  <c r="H372" i="156"/>
  <c r="H371" i="156"/>
  <c r="H369" i="156"/>
  <c r="H368" i="156"/>
  <c r="H367" i="156"/>
  <c r="H366" i="156"/>
  <c r="H349" i="156"/>
  <c r="H348" i="156"/>
  <c r="H347" i="156"/>
  <c r="H346" i="156"/>
  <c r="H344" i="156"/>
  <c r="H343" i="156"/>
  <c r="H342" i="156"/>
  <c r="H341" i="156"/>
  <c r="H323" i="156"/>
  <c r="J323" i="156" s="1"/>
  <c r="H322" i="156"/>
  <c r="J322" i="156" s="1"/>
  <c r="H321" i="156"/>
  <c r="H320" i="156"/>
  <c r="H319" i="156"/>
  <c r="H318" i="156"/>
  <c r="H316" i="156"/>
  <c r="H315" i="156"/>
  <c r="H314" i="156"/>
  <c r="H313" i="156"/>
  <c r="H295" i="156"/>
  <c r="J295" i="156" s="1"/>
  <c r="H294" i="156"/>
  <c r="H293" i="156"/>
  <c r="H292" i="156"/>
  <c r="H291" i="156"/>
  <c r="H289" i="156"/>
  <c r="H288" i="156"/>
  <c r="H287" i="156"/>
  <c r="H286" i="156"/>
  <c r="H267" i="156"/>
  <c r="H266" i="156"/>
  <c r="H265" i="156"/>
  <c r="H264" i="156"/>
  <c r="H263" i="156"/>
  <c r="H261" i="156"/>
  <c r="H260" i="156"/>
  <c r="H259" i="156"/>
  <c r="H258" i="156"/>
  <c r="H237" i="156"/>
  <c r="H236" i="156"/>
  <c r="H234" i="156"/>
  <c r="H233" i="156"/>
  <c r="H228" i="156"/>
  <c r="H227" i="156"/>
  <c r="H225" i="156"/>
  <c r="H224" i="156"/>
  <c r="H206" i="156"/>
  <c r="H205" i="156"/>
  <c r="H203" i="156"/>
  <c r="H202" i="156"/>
  <c r="H197" i="156"/>
  <c r="H196" i="156"/>
  <c r="H195" i="156"/>
  <c r="H194" i="156"/>
  <c r="H193" i="156"/>
  <c r="H191" i="156"/>
  <c r="H190" i="156"/>
  <c r="H189" i="156"/>
  <c r="H188" i="156"/>
  <c r="H183" i="156"/>
  <c r="H182" i="156"/>
  <c r="H181" i="156"/>
  <c r="H179" i="156"/>
  <c r="H178" i="156"/>
  <c r="H173" i="156"/>
  <c r="H172" i="156"/>
  <c r="H171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9" i="156"/>
  <c r="H128" i="156"/>
  <c r="H127" i="156"/>
  <c r="H126" i="156"/>
  <c r="H121" i="156"/>
  <c r="H120" i="156"/>
  <c r="H119" i="156"/>
  <c r="H117" i="156"/>
  <c r="H116" i="156"/>
  <c r="H111" i="156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8" i="156"/>
  <c r="H57" i="156"/>
  <c r="H56" i="156"/>
  <c r="H55" i="156"/>
  <c r="H53" i="156"/>
  <c r="H52" i="156"/>
  <c r="H47" i="156"/>
  <c r="H46" i="156"/>
  <c r="H45" i="156"/>
  <c r="H43" i="156"/>
  <c r="H42" i="156"/>
  <c r="H37" i="156"/>
  <c r="J37" i="156" s="1"/>
  <c r="H36" i="156"/>
  <c r="J36" i="156" s="1"/>
  <c r="H35" i="156"/>
  <c r="H34" i="156"/>
  <c r="H32" i="156"/>
  <c r="H31" i="156"/>
  <c r="H14" i="156"/>
  <c r="H15" i="156"/>
  <c r="H12" i="156"/>
  <c r="H11" i="156"/>
  <c r="D197" i="156"/>
  <c r="D196" i="156"/>
  <c r="D195" i="156"/>
  <c r="D194" i="156"/>
  <c r="D193" i="156"/>
  <c r="D191" i="156"/>
  <c r="D189" i="156"/>
  <c r="D188" i="156"/>
  <c r="B1" i="157"/>
  <c r="G157" i="157"/>
  <c r="H157" i="157" s="1"/>
  <c r="J157" i="157" s="1"/>
  <c r="G156" i="157"/>
  <c r="H156" i="157" s="1"/>
  <c r="J156" i="157" s="1"/>
  <c r="G15" i="156"/>
  <c r="D187" i="156" l="1"/>
  <c r="H187" i="156"/>
  <c r="G330" i="157"/>
  <c r="H330" i="157" s="1"/>
  <c r="G329" i="157"/>
  <c r="H329" i="157" s="1"/>
  <c r="G328" i="157"/>
  <c r="H328" i="157" s="1"/>
  <c r="G303" i="157"/>
  <c r="H303" i="157" s="1"/>
  <c r="G302" i="157"/>
  <c r="H302" i="157" s="1"/>
  <c r="G301" i="157"/>
  <c r="H301" i="157" s="1"/>
  <c r="G293" i="156"/>
  <c r="G292" i="156"/>
  <c r="G291" i="156"/>
  <c r="G320" i="156"/>
  <c r="G319" i="156"/>
  <c r="G318" i="156"/>
  <c r="H355" i="157"/>
  <c r="H354" i="157"/>
  <c r="H353" i="157"/>
  <c r="G245" i="157"/>
  <c r="H245" i="157" s="1"/>
  <c r="G244" i="157"/>
  <c r="H244" i="157" s="1"/>
  <c r="G243" i="157"/>
  <c r="H243" i="157" s="1"/>
  <c r="G193" i="157"/>
  <c r="H193" i="157" s="1"/>
  <c r="G192" i="157"/>
  <c r="H192" i="157" s="1"/>
  <c r="G191" i="157"/>
  <c r="H191" i="157" s="1"/>
  <c r="G274" i="157"/>
  <c r="H274" i="157" s="1"/>
  <c r="G273" i="157"/>
  <c r="H273" i="157" s="1"/>
  <c r="G272" i="157"/>
  <c r="H272" i="157" s="1"/>
  <c r="G165" i="157"/>
  <c r="H165" i="157" s="1"/>
  <c r="G154" i="157"/>
  <c r="H154" i="157" s="1"/>
  <c r="G153" i="157"/>
  <c r="H153" i="157" s="1"/>
  <c r="G152" i="157"/>
  <c r="H152" i="157" s="1"/>
  <c r="G125" i="157"/>
  <c r="H125" i="157" s="1"/>
  <c r="G124" i="157"/>
  <c r="H124" i="157" s="1"/>
  <c r="G123" i="157"/>
  <c r="H123" i="157" s="1"/>
  <c r="G97" i="157"/>
  <c r="H97" i="157" s="1"/>
  <c r="G87" i="157"/>
  <c r="H87" i="157" s="1"/>
  <c r="G86" i="157"/>
  <c r="H86" i="157" s="1"/>
  <c r="G85" i="157"/>
  <c r="H85" i="157" s="1"/>
  <c r="G75" i="157"/>
  <c r="H75" i="157" s="1"/>
  <c r="G64" i="157"/>
  <c r="H64" i="157" s="1"/>
  <c r="G63" i="157"/>
  <c r="H63" i="157" s="1"/>
  <c r="G52" i="157"/>
  <c r="H52" i="157" s="1"/>
  <c r="G42" i="157"/>
  <c r="H42" i="157" s="1"/>
  <c r="H32" i="157"/>
  <c r="H31" i="157"/>
  <c r="H30" i="157"/>
  <c r="H18" i="157"/>
  <c r="H17" i="157"/>
  <c r="H16" i="157"/>
  <c r="G220" i="157"/>
  <c r="H220" i="157" s="1"/>
  <c r="G219" i="157"/>
  <c r="H219" i="157" s="1"/>
  <c r="G218" i="157"/>
  <c r="H218" i="157" s="1"/>
  <c r="G348" i="156"/>
  <c r="G347" i="156"/>
  <c r="G346" i="156"/>
  <c r="G265" i="156"/>
  <c r="G264" i="156"/>
  <c r="G263" i="156"/>
  <c r="G385" i="156"/>
  <c r="G384" i="156"/>
  <c r="G383" i="156"/>
  <c r="G373" i="156"/>
  <c r="G372" i="156"/>
  <c r="G371" i="156"/>
  <c r="G195" i="156"/>
  <c r="G194" i="156"/>
  <c r="G193" i="156"/>
  <c r="G236" i="156"/>
  <c r="G205" i="156"/>
  <c r="G227" i="156"/>
  <c r="G56" i="156"/>
  <c r="G55" i="156"/>
  <c r="G46" i="156"/>
  <c r="G45" i="156"/>
  <c r="G34" i="156"/>
  <c r="G182" i="156"/>
  <c r="G181" i="156"/>
  <c r="G172" i="156"/>
  <c r="G171" i="156"/>
  <c r="G162" i="156"/>
  <c r="G161" i="156"/>
  <c r="G152" i="156"/>
  <c r="G151" i="156"/>
  <c r="G142" i="156"/>
  <c r="G133" i="156"/>
  <c r="G132" i="156"/>
  <c r="G131" i="156"/>
  <c r="G119" i="156"/>
  <c r="G110" i="156"/>
  <c r="G109" i="156"/>
  <c r="G108" i="156"/>
  <c r="G97" i="156"/>
  <c r="G96" i="156"/>
  <c r="G95" i="156"/>
  <c r="G84" i="156"/>
  <c r="G75" i="156"/>
  <c r="G66" i="156"/>
  <c r="J191" i="156" l="1"/>
  <c r="I245" i="156"/>
  <c r="G245" i="156"/>
  <c r="E245" i="156"/>
  <c r="C245" i="156"/>
  <c r="I44" i="156" l="1"/>
  <c r="I249" i="156" l="1"/>
  <c r="G249" i="156"/>
  <c r="I248" i="156"/>
  <c r="G248" i="156"/>
  <c r="E249" i="156"/>
  <c r="E248" i="156"/>
  <c r="C249" i="156"/>
  <c r="C248" i="156"/>
  <c r="J194" i="156" l="1"/>
  <c r="J195" i="156"/>
  <c r="I192" i="156"/>
  <c r="H192" i="156"/>
  <c r="G192" i="156"/>
  <c r="E192" i="156"/>
  <c r="C192" i="156"/>
  <c r="D192" i="156"/>
  <c r="F195" i="156"/>
  <c r="F194" i="156"/>
  <c r="I181" i="157" l="1"/>
  <c r="G181" i="157"/>
  <c r="C181" i="157"/>
  <c r="E181" i="157"/>
  <c r="C318" i="157"/>
  <c r="E318" i="157"/>
  <c r="D192" i="37" s="1"/>
  <c r="G318" i="157"/>
  <c r="F192" i="37" s="1"/>
  <c r="H318" i="157"/>
  <c r="I318" i="157"/>
  <c r="H192" i="37" s="1"/>
  <c r="J318" i="157"/>
  <c r="I192" i="37" s="1"/>
  <c r="B192" i="37"/>
  <c r="G192" i="37"/>
  <c r="I112" i="157"/>
  <c r="G112" i="157"/>
  <c r="C112" i="157"/>
  <c r="E112" i="157"/>
  <c r="C308" i="156"/>
  <c r="B113" i="37" s="1"/>
  <c r="E308" i="156"/>
  <c r="D113" i="37" s="1"/>
  <c r="G308" i="156"/>
  <c r="F113" i="37" s="1"/>
  <c r="H308" i="156"/>
  <c r="I308" i="156"/>
  <c r="H113" i="37" s="1"/>
  <c r="J308" i="156"/>
  <c r="I113" i="37" s="1"/>
  <c r="C281" i="156"/>
  <c r="B73" i="37" s="1"/>
  <c r="E281" i="156"/>
  <c r="D73" i="37" s="1"/>
  <c r="G281" i="156"/>
  <c r="F73" i="37" s="1"/>
  <c r="H281" i="156"/>
  <c r="I281" i="156"/>
  <c r="H73" i="37" s="1"/>
  <c r="J281" i="156"/>
  <c r="I73" i="37" s="1"/>
  <c r="B74" i="37"/>
  <c r="C74" i="37"/>
  <c r="D74" i="37"/>
  <c r="C15" i="57"/>
  <c r="C16" i="57"/>
  <c r="C17" i="57"/>
  <c r="G73" i="37" l="1"/>
  <c r="G113" i="37"/>
  <c r="D12" i="157"/>
  <c r="D305" i="157" l="1"/>
  <c r="D157" i="157"/>
  <c r="F157" i="157" s="1"/>
  <c r="F181" i="157" s="1"/>
  <c r="D67" i="157"/>
  <c r="F67" i="157" s="1"/>
  <c r="D267" i="156"/>
  <c r="F305" i="157" l="1"/>
  <c r="F318" i="157" s="1"/>
  <c r="E192" i="37" s="1"/>
  <c r="D318" i="157"/>
  <c r="C192" i="37" s="1"/>
  <c r="F281" i="156"/>
  <c r="E73" i="37" s="1"/>
  <c r="D281" i="156"/>
  <c r="C73" i="37" s="1"/>
  <c r="D321" i="156"/>
  <c r="D335" i="156" s="1"/>
  <c r="I243" i="156"/>
  <c r="G243" i="156"/>
  <c r="E243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202" i="156"/>
  <c r="D203" i="156"/>
  <c r="D205" i="156"/>
  <c r="D204" i="156" s="1"/>
  <c r="D206" i="156"/>
  <c r="D224" i="156"/>
  <c r="D225" i="156"/>
  <c r="D227" i="156"/>
  <c r="D226" i="156" s="1"/>
  <c r="D228" i="156"/>
  <c r="D233" i="156"/>
  <c r="D234" i="156"/>
  <c r="D236" i="156"/>
  <c r="D235" i="156" s="1"/>
  <c r="D237" i="156"/>
  <c r="D253" i="156"/>
  <c r="D258" i="156"/>
  <c r="D272" i="156" s="1"/>
  <c r="D259" i="156"/>
  <c r="D273" i="156" s="1"/>
  <c r="D260" i="156"/>
  <c r="D274" i="156" s="1"/>
  <c r="D261" i="156"/>
  <c r="D275" i="156" s="1"/>
  <c r="D263" i="156"/>
  <c r="D277" i="156" s="1"/>
  <c r="D264" i="156"/>
  <c r="D278" i="156" s="1"/>
  <c r="D265" i="156"/>
  <c r="D279" i="156" s="1"/>
  <c r="D266" i="156"/>
  <c r="D280" i="156" s="1"/>
  <c r="D286" i="156"/>
  <c r="D287" i="156"/>
  <c r="D300" i="156" s="1"/>
  <c r="D288" i="156"/>
  <c r="D301" i="156" s="1"/>
  <c r="D289" i="156"/>
  <c r="D302" i="156" s="1"/>
  <c r="D291" i="156"/>
  <c r="D304" i="156" s="1"/>
  <c r="D292" i="156"/>
  <c r="D305" i="156" s="1"/>
  <c r="D293" i="156"/>
  <c r="D306" i="156" s="1"/>
  <c r="D294" i="156"/>
  <c r="D307" i="156" s="1"/>
  <c r="D295" i="156"/>
  <c r="D308" i="156" s="1"/>
  <c r="C113" i="37" s="1"/>
  <c r="D309" i="156"/>
  <c r="D313" i="156"/>
  <c r="D314" i="156"/>
  <c r="D328" i="156" s="1"/>
  <c r="D315" i="156"/>
  <c r="D329" i="156" s="1"/>
  <c r="D316" i="156"/>
  <c r="D330" i="156" s="1"/>
  <c r="D318" i="156"/>
  <c r="D319" i="156"/>
  <c r="D333" i="156" s="1"/>
  <c r="D320" i="156"/>
  <c r="D334" i="156" s="1"/>
  <c r="D322" i="156"/>
  <c r="D336" i="156" s="1"/>
  <c r="D323" i="156"/>
  <c r="D337" i="156" s="1"/>
  <c r="D341" i="156"/>
  <c r="D353" i="156" s="1"/>
  <c r="D342" i="156"/>
  <c r="D354" i="156" s="1"/>
  <c r="D343" i="156"/>
  <c r="D355" i="156" s="1"/>
  <c r="D344" i="156"/>
  <c r="D346" i="156"/>
  <c r="D347" i="156"/>
  <c r="D359" i="156" s="1"/>
  <c r="D348" i="156"/>
  <c r="D360" i="156" s="1"/>
  <c r="D349" i="156"/>
  <c r="D361" i="156" s="1"/>
  <c r="D362" i="156"/>
  <c r="D366" i="156"/>
  <c r="D367" i="156"/>
  <c r="D368" i="156"/>
  <c r="D369" i="156"/>
  <c r="D371" i="156"/>
  <c r="D372" i="156"/>
  <c r="D373" i="156"/>
  <c r="D374" i="156"/>
  <c r="D378" i="156"/>
  <c r="D390" i="156" s="1"/>
  <c r="D379" i="156"/>
  <c r="D391" i="156" s="1"/>
  <c r="D380" i="156"/>
  <c r="D392" i="156" s="1"/>
  <c r="D381" i="156"/>
  <c r="D383" i="156"/>
  <c r="D395" i="156" s="1"/>
  <c r="D384" i="156"/>
  <c r="D385" i="156"/>
  <c r="D386" i="156"/>
  <c r="D399" i="156"/>
  <c r="D245" i="156" l="1"/>
  <c r="D398" i="156"/>
  <c r="D396" i="156"/>
  <c r="D393" i="156"/>
  <c r="D249" i="156"/>
  <c r="D248" i="156"/>
  <c r="D251" i="156"/>
  <c r="D252" i="156"/>
  <c r="D44" i="156"/>
  <c r="D30" i="156"/>
  <c r="D243" i="156"/>
  <c r="D130" i="156"/>
  <c r="D24" i="156"/>
  <c r="D170" i="156"/>
  <c r="D41" i="156"/>
  <c r="D10" i="156"/>
  <c r="D20" i="156" s="1"/>
  <c r="D345" i="156"/>
  <c r="D357" i="156" s="1"/>
  <c r="D177" i="156"/>
  <c r="D115" i="156"/>
  <c r="D167" i="156"/>
  <c r="D150" i="156"/>
  <c r="D107" i="156"/>
  <c r="D102" i="156"/>
  <c r="D94" i="156"/>
  <c r="D80" i="156"/>
  <c r="D71" i="156"/>
  <c r="D382" i="156"/>
  <c r="D340" i="156"/>
  <c r="D352" i="156" s="1"/>
  <c r="D147" i="156"/>
  <c r="D290" i="156"/>
  <c r="D303" i="156" s="1"/>
  <c r="D232" i="156"/>
  <c r="D358" i="156"/>
  <c r="D317" i="156"/>
  <c r="D331" i="156" s="1"/>
  <c r="D312" i="156"/>
  <c r="D326" i="156" s="1"/>
  <c r="D223" i="156"/>
  <c r="D201" i="156"/>
  <c r="D180" i="156"/>
  <c r="D160" i="156"/>
  <c r="D138" i="156"/>
  <c r="D89" i="156"/>
  <c r="D62" i="156"/>
  <c r="D54" i="156"/>
  <c r="D370" i="156"/>
  <c r="D365" i="156"/>
  <c r="D285" i="156"/>
  <c r="D298" i="156" s="1"/>
  <c r="D125" i="156"/>
  <c r="D397" i="156"/>
  <c r="D262" i="156"/>
  <c r="D276" i="156" s="1"/>
  <c r="D247" i="156"/>
  <c r="D244" i="156"/>
  <c r="D250" i="156"/>
  <c r="D157" i="156"/>
  <c r="D51" i="156"/>
  <c r="D377" i="156"/>
  <c r="D356" i="156"/>
  <c r="D332" i="156"/>
  <c r="D327" i="156"/>
  <c r="D21" i="156"/>
  <c r="D299" i="156"/>
  <c r="D257" i="156"/>
  <c r="D271" i="156" s="1"/>
  <c r="D242" i="156"/>
  <c r="D394" i="156" l="1"/>
  <c r="D246" i="156"/>
  <c r="D241" i="156"/>
  <c r="D389" i="156"/>
  <c r="I115" i="156" l="1"/>
  <c r="I141" i="156" l="1"/>
  <c r="E30" i="156"/>
  <c r="I33" i="156"/>
  <c r="E33" i="156"/>
  <c r="I30" i="156"/>
  <c r="A1" i="57" l="1"/>
  <c r="A1" i="46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G54" i="156" l="1"/>
  <c r="E167" i="156" l="1"/>
  <c r="E170" i="156"/>
  <c r="E250" i="156" l="1"/>
  <c r="I335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5" i="156" l="1"/>
  <c r="F308" i="156" s="1"/>
  <c r="E113" i="37" s="1"/>
  <c r="I223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J291" i="157"/>
  <c r="I179" i="37" s="1"/>
  <c r="F291" i="157"/>
  <c r="E179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J262" i="157"/>
  <c r="I165" i="37" s="1"/>
  <c r="D248" i="157"/>
  <c r="F262" i="157" s="1"/>
  <c r="E165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J290" i="157" l="1"/>
  <c r="I178" i="37" s="1"/>
  <c r="J261" i="157"/>
  <c r="I164" i="37" s="1"/>
  <c r="D368" i="157"/>
  <c r="C228" i="37" s="1"/>
  <c r="F331" i="157"/>
  <c r="F343" i="157" s="1"/>
  <c r="E216" i="37" s="1"/>
  <c r="D317" i="157"/>
  <c r="C191" i="37" s="1"/>
  <c r="H368" i="157"/>
  <c r="H343" i="157"/>
  <c r="H317" i="157"/>
  <c r="D290" i="157"/>
  <c r="C178" i="37" s="1"/>
  <c r="H289" i="157"/>
  <c r="H291" i="157"/>
  <c r="D289" i="157"/>
  <c r="C177" i="37" s="1"/>
  <c r="D291" i="157"/>
  <c r="C179" i="37" s="1"/>
  <c r="H290" i="157"/>
  <c r="D261" i="157"/>
  <c r="C164" i="37" s="1"/>
  <c r="H261" i="157"/>
  <c r="D262" i="157"/>
  <c r="C165" i="37" s="1"/>
  <c r="H262" i="157"/>
  <c r="D260" i="157"/>
  <c r="C163" i="37" s="1"/>
  <c r="H260" i="157"/>
  <c r="G165" i="37" l="1"/>
  <c r="G179" i="37"/>
  <c r="G228" i="37"/>
  <c r="G216" i="37"/>
  <c r="G191" i="37"/>
  <c r="G178" i="37"/>
  <c r="G177" i="37"/>
  <c r="G164" i="37"/>
  <c r="G163" i="37"/>
  <c r="J368" i="157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F262" i="37" s="1"/>
  <c r="D34" i="37"/>
  <c r="I111" i="157"/>
  <c r="G111" i="157"/>
  <c r="F33" i="37" s="1"/>
  <c r="E111" i="157"/>
  <c r="D33" i="37" s="1"/>
  <c r="I110" i="157"/>
  <c r="H32" i="37" s="1"/>
  <c r="G110" i="157"/>
  <c r="F32" i="37" s="1"/>
  <c r="F260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F89" i="157"/>
  <c r="J88" i="157"/>
  <c r="D88" i="157"/>
  <c r="F88" i="157" s="1"/>
  <c r="D66" i="157"/>
  <c r="F66" i="157" s="1"/>
  <c r="J65" i="157"/>
  <c r="D65" i="157"/>
  <c r="F65" i="157" s="1"/>
  <c r="J76" i="157"/>
  <c r="D76" i="157"/>
  <c r="F76" i="157" s="1"/>
  <c r="F55" i="157"/>
  <c r="D54" i="157"/>
  <c r="F54" i="157" s="1"/>
  <c r="J53" i="157"/>
  <c r="D53" i="157"/>
  <c r="F53" i="157" s="1"/>
  <c r="F44" i="157"/>
  <c r="J43" i="157"/>
  <c r="D43" i="157"/>
  <c r="F43" i="157" s="1"/>
  <c r="F34" i="157"/>
  <c r="J33" i="157"/>
  <c r="D33" i="157"/>
  <c r="F33" i="157" s="1"/>
  <c r="J19" i="157"/>
  <c r="D19" i="157"/>
  <c r="F19" i="157" s="1"/>
  <c r="I398" i="156"/>
  <c r="H240" i="37" s="1"/>
  <c r="G398" i="156"/>
  <c r="F240" i="37" s="1"/>
  <c r="E398" i="156"/>
  <c r="D240" i="37" s="1"/>
  <c r="C398" i="156"/>
  <c r="B240" i="37" s="1"/>
  <c r="J386" i="156"/>
  <c r="F386" i="156"/>
  <c r="J374" i="156"/>
  <c r="F374" i="156"/>
  <c r="J208" i="157" l="1"/>
  <c r="I100" i="37" s="1"/>
  <c r="H181" i="157"/>
  <c r="J142" i="157"/>
  <c r="I48" i="37" s="1"/>
  <c r="H112" i="157"/>
  <c r="G34" i="37" s="1"/>
  <c r="D233" i="157"/>
  <c r="C125" i="37" s="1"/>
  <c r="H233" i="157"/>
  <c r="H398" i="156"/>
  <c r="F194" i="157"/>
  <c r="F207" i="157" s="1"/>
  <c r="E99" i="37" s="1"/>
  <c r="H208" i="157"/>
  <c r="D180" i="157"/>
  <c r="C86" i="37" s="1"/>
  <c r="D208" i="157"/>
  <c r="C100" i="37" s="1"/>
  <c r="I87" i="37"/>
  <c r="H207" i="157"/>
  <c r="H179" i="157"/>
  <c r="D179" i="157"/>
  <c r="C85" i="37" s="1"/>
  <c r="C87" i="37"/>
  <c r="H86" i="37"/>
  <c r="H180" i="157"/>
  <c r="H142" i="157"/>
  <c r="D142" i="157"/>
  <c r="C48" i="37" s="1"/>
  <c r="H111" i="157"/>
  <c r="D111" i="157"/>
  <c r="C33" i="37" s="1"/>
  <c r="H140" i="157"/>
  <c r="D140" i="157"/>
  <c r="C46" i="37" s="1"/>
  <c r="H141" i="157"/>
  <c r="H110" i="157"/>
  <c r="H33" i="37"/>
  <c r="D141" i="157"/>
  <c r="C47" i="37" s="1"/>
  <c r="D110" i="157"/>
  <c r="C32" i="37" s="1"/>
  <c r="J398" i="156" l="1"/>
  <c r="I240" i="37" s="1"/>
  <c r="G125" i="37"/>
  <c r="G100" i="37"/>
  <c r="G99" i="37"/>
  <c r="G86" i="37"/>
  <c r="G85" i="37"/>
  <c r="G48" i="37"/>
  <c r="G47" i="37"/>
  <c r="G46" i="37"/>
  <c r="G33" i="37"/>
  <c r="J112" i="157"/>
  <c r="I34" i="37" s="1"/>
  <c r="G32" i="37"/>
  <c r="G240" i="37"/>
  <c r="F398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61" i="156" l="1"/>
  <c r="G361" i="156"/>
  <c r="E361" i="156"/>
  <c r="C361" i="156"/>
  <c r="I337" i="156"/>
  <c r="H139" i="37" s="1"/>
  <c r="G337" i="156"/>
  <c r="F139" i="37" s="1"/>
  <c r="E337" i="156"/>
  <c r="D139" i="37" s="1"/>
  <c r="C337" i="156"/>
  <c r="B139" i="37" s="1"/>
  <c r="I336" i="156"/>
  <c r="H138" i="37" s="1"/>
  <c r="G336" i="156"/>
  <c r="F138" i="37" s="1"/>
  <c r="E336" i="156"/>
  <c r="D138" i="37" s="1"/>
  <c r="C336" i="156"/>
  <c r="B138" i="37" s="1"/>
  <c r="H137" i="37"/>
  <c r="G335" i="156"/>
  <c r="F137" i="37" s="1"/>
  <c r="E335" i="156"/>
  <c r="D137" i="37" s="1"/>
  <c r="C335" i="156"/>
  <c r="B137" i="37" s="1"/>
  <c r="J337" i="156"/>
  <c r="I139" i="37" s="1"/>
  <c r="F323" i="156"/>
  <c r="F337" i="156" s="1"/>
  <c r="E139" i="37" s="1"/>
  <c r="J336" i="156"/>
  <c r="I138" i="37" s="1"/>
  <c r="F322" i="156"/>
  <c r="F336" i="156" s="1"/>
  <c r="E138" i="37" s="1"/>
  <c r="J321" i="156"/>
  <c r="J335" i="156" s="1"/>
  <c r="I137" i="37" s="1"/>
  <c r="F321" i="156"/>
  <c r="F335" i="156" s="1"/>
  <c r="E137" i="37" s="1"/>
  <c r="I307" i="156"/>
  <c r="H112" i="37" s="1"/>
  <c r="G307" i="156"/>
  <c r="F112" i="37" s="1"/>
  <c r="E307" i="156"/>
  <c r="D112" i="37" s="1"/>
  <c r="C307" i="156"/>
  <c r="B112" i="37" s="1"/>
  <c r="J294" i="156"/>
  <c r="J307" i="156" s="1"/>
  <c r="I112" i="37" s="1"/>
  <c r="F294" i="156"/>
  <c r="F307" i="156" s="1"/>
  <c r="E112" i="37" s="1"/>
  <c r="I280" i="156"/>
  <c r="H72" i="37" s="1"/>
  <c r="G280" i="156"/>
  <c r="F72" i="37" s="1"/>
  <c r="E280" i="156"/>
  <c r="D72" i="37" s="1"/>
  <c r="C280" i="156"/>
  <c r="B72" i="37" s="1"/>
  <c r="J266" i="156"/>
  <c r="J280" i="156" s="1"/>
  <c r="I72" i="37" s="1"/>
  <c r="F266" i="156"/>
  <c r="F280" i="156" s="1"/>
  <c r="E72" i="37" s="1"/>
  <c r="I252" i="156"/>
  <c r="G252" i="156"/>
  <c r="F19" i="37" s="1"/>
  <c r="E252" i="156"/>
  <c r="D19" i="37" s="1"/>
  <c r="I251" i="156"/>
  <c r="G251" i="156"/>
  <c r="F18" i="37" s="1"/>
  <c r="E251" i="156"/>
  <c r="D18" i="37" s="1"/>
  <c r="C251" i="156"/>
  <c r="B18" i="37" s="1"/>
  <c r="I250" i="156"/>
  <c r="H17" i="37" s="1"/>
  <c r="G250" i="156"/>
  <c r="F17" i="37" s="1"/>
  <c r="D17" i="37"/>
  <c r="C252" i="156"/>
  <c r="B19" i="37" s="1"/>
  <c r="C250" i="156"/>
  <c r="B17" i="37" s="1"/>
  <c r="J237" i="156"/>
  <c r="F237" i="156"/>
  <c r="J228" i="156"/>
  <c r="F228" i="156"/>
  <c r="J206" i="156"/>
  <c r="F206" i="156"/>
  <c r="F197" i="156"/>
  <c r="J196" i="156"/>
  <c r="F196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E25" i="156"/>
  <c r="D248" i="37" s="1"/>
  <c r="C25" i="156"/>
  <c r="B248" i="37" s="1"/>
  <c r="F35" i="156"/>
  <c r="F15" i="156"/>
  <c r="F25" i="156" s="1"/>
  <c r="E248" i="37" s="1"/>
  <c r="D260" i="37" l="1"/>
  <c r="B260" i="37"/>
  <c r="D262" i="37"/>
  <c r="H260" i="37"/>
  <c r="J349" i="156"/>
  <c r="I151" i="37" s="1"/>
  <c r="G151" i="37"/>
  <c r="F349" i="156"/>
  <c r="F361" i="156" s="1"/>
  <c r="C151" i="37"/>
  <c r="C18" i="37"/>
  <c r="F36" i="156"/>
  <c r="B261" i="37"/>
  <c r="H251" i="156"/>
  <c r="J251" i="156" s="1"/>
  <c r="C137" i="37"/>
  <c r="H335" i="156"/>
  <c r="C112" i="37"/>
  <c r="H307" i="156"/>
  <c r="H361" i="156"/>
  <c r="C138" i="37"/>
  <c r="H336" i="156"/>
  <c r="C139" i="37"/>
  <c r="H337" i="156"/>
  <c r="H280" i="156"/>
  <c r="C72" i="37"/>
  <c r="H18" i="37"/>
  <c r="H261" i="37" s="1"/>
  <c r="H19" i="37"/>
  <c r="H262" i="37" s="1"/>
  <c r="H252" i="156"/>
  <c r="J252" i="156" s="1"/>
  <c r="H250" i="156"/>
  <c r="C248" i="37"/>
  <c r="G112" i="37" l="1"/>
  <c r="G18" i="37"/>
  <c r="G19" i="37"/>
  <c r="G72" i="37"/>
  <c r="G137" i="37"/>
  <c r="G138" i="37"/>
  <c r="G261" i="37" s="1"/>
  <c r="I261" i="37" s="1"/>
  <c r="G139" i="37"/>
  <c r="G262" i="37" s="1"/>
  <c r="F251" i="156"/>
  <c r="E18" i="37" s="1"/>
  <c r="C261" i="37"/>
  <c r="J361" i="156"/>
  <c r="I18" i="37"/>
  <c r="E151" i="37"/>
  <c r="F252" i="156"/>
  <c r="E19" i="37" s="1"/>
  <c r="C19" i="37"/>
  <c r="F250" i="156"/>
  <c r="E17" i="37" s="1"/>
  <c r="C17" i="37"/>
  <c r="I19" i="37"/>
  <c r="J250" i="156"/>
  <c r="I17" i="37" s="1"/>
  <c r="G17" i="37"/>
  <c r="G260" i="37" l="1"/>
  <c r="C260" i="37"/>
  <c r="C262" i="37"/>
  <c r="E262" i="37" l="1"/>
  <c r="E260" i="37"/>
  <c r="I260" i="37"/>
  <c r="J87" i="157"/>
  <c r="E80" i="157" l="1"/>
  <c r="G80" i="157"/>
  <c r="C80" i="157"/>
  <c r="D87" i="157"/>
  <c r="F87" i="157" l="1"/>
  <c r="G109" i="157"/>
  <c r="I109" i="157"/>
  <c r="E109" i="157"/>
  <c r="E217" i="157"/>
  <c r="E62" i="157"/>
  <c r="I13" i="156" l="1"/>
  <c r="E10" i="156" l="1"/>
  <c r="I395" i="156"/>
  <c r="I397" i="156"/>
  <c r="I65" i="156"/>
  <c r="I247" i="156"/>
  <c r="G118" i="156" l="1"/>
  <c r="E180" i="156" l="1"/>
  <c r="E138" i="156"/>
  <c r="E115" i="156" l="1"/>
  <c r="I83" i="156"/>
  <c r="E80" i="156"/>
  <c r="E71" i="156" l="1"/>
  <c r="E62" i="156"/>
  <c r="C395" i="156" l="1"/>
  <c r="E395" i="156"/>
  <c r="C396" i="156"/>
  <c r="E396" i="156"/>
  <c r="C397" i="156"/>
  <c r="E397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7" i="156" l="1"/>
  <c r="F239" i="37" s="1"/>
  <c r="G396" i="156"/>
  <c r="F238" i="37" s="1"/>
  <c r="G395" i="156"/>
  <c r="F237" i="37" s="1"/>
  <c r="G382" i="156"/>
  <c r="G370" i="156"/>
  <c r="G345" i="156"/>
  <c r="G317" i="156"/>
  <c r="C290" i="156"/>
  <c r="C262" i="156"/>
  <c r="G235" i="156"/>
  <c r="G226" i="156"/>
  <c r="C204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G94" i="37" l="1"/>
  <c r="F351" i="157"/>
  <c r="F363" i="157" s="1"/>
  <c r="E223" i="37" s="1"/>
  <c r="D202" i="157"/>
  <c r="C94" i="37" s="1"/>
  <c r="F189" i="157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J123" i="157"/>
  <c r="J137" i="157" s="1"/>
  <c r="I43" i="37" s="1"/>
  <c r="H205" i="157"/>
  <c r="J192" i="157"/>
  <c r="J205" i="157" s="1"/>
  <c r="I97" i="37" s="1"/>
  <c r="H231" i="157"/>
  <c r="J219" i="157"/>
  <c r="J231" i="157" s="1"/>
  <c r="I123" i="37" s="1"/>
  <c r="H288" i="157"/>
  <c r="J274" i="157"/>
  <c r="J288" i="157" s="1"/>
  <c r="I176" i="37" s="1"/>
  <c r="H314" i="157"/>
  <c r="J301" i="157"/>
  <c r="J314" i="157" s="1"/>
  <c r="I188" i="37" s="1"/>
  <c r="H340" i="157"/>
  <c r="J328" i="157"/>
  <c r="J340" i="157" s="1"/>
  <c r="I213" i="37" s="1"/>
  <c r="H367" i="157"/>
  <c r="J355" i="157"/>
  <c r="H362" i="157"/>
  <c r="H96" i="157"/>
  <c r="J97" i="157"/>
  <c r="H178" i="157"/>
  <c r="J154" i="157"/>
  <c r="H164" i="157"/>
  <c r="J165" i="157"/>
  <c r="H204" i="157"/>
  <c r="J191" i="157"/>
  <c r="J204" i="157" s="1"/>
  <c r="I96" i="37" s="1"/>
  <c r="H230" i="157"/>
  <c r="J218" i="157"/>
  <c r="J230" i="157" s="1"/>
  <c r="I122" i="37" s="1"/>
  <c r="H259" i="157"/>
  <c r="J245" i="157"/>
  <c r="J259" i="157" s="1"/>
  <c r="I162" i="37" s="1"/>
  <c r="H287" i="157"/>
  <c r="J273" i="157"/>
  <c r="J287" i="157" s="1"/>
  <c r="I175" i="37" s="1"/>
  <c r="H338" i="157"/>
  <c r="J326" i="157"/>
  <c r="J338" i="157" s="1"/>
  <c r="I211" i="37" s="1"/>
  <c r="H366" i="157"/>
  <c r="J354" i="157"/>
  <c r="H221" i="37"/>
  <c r="H139" i="157"/>
  <c r="J125" i="157"/>
  <c r="J139" i="157" s="1"/>
  <c r="I45" i="37" s="1"/>
  <c r="H177" i="157"/>
  <c r="J153" i="157"/>
  <c r="H258" i="157"/>
  <c r="J244" i="157"/>
  <c r="J258" i="157" s="1"/>
  <c r="I161" i="37" s="1"/>
  <c r="H286" i="157"/>
  <c r="J272" i="157"/>
  <c r="J286" i="157" s="1"/>
  <c r="I174" i="37" s="1"/>
  <c r="H316" i="157"/>
  <c r="J303" i="157"/>
  <c r="J316" i="157" s="1"/>
  <c r="I190" i="37" s="1"/>
  <c r="H342" i="157"/>
  <c r="J330" i="157"/>
  <c r="J342" i="157" s="1"/>
  <c r="I215" i="37" s="1"/>
  <c r="H365" i="157"/>
  <c r="J353" i="157"/>
  <c r="H138" i="157"/>
  <c r="J124" i="157"/>
  <c r="J138" i="157" s="1"/>
  <c r="I44" i="37" s="1"/>
  <c r="H206" i="157"/>
  <c r="J193" i="157"/>
  <c r="J206" i="157" s="1"/>
  <c r="I98" i="37" s="1"/>
  <c r="H232" i="157"/>
  <c r="J220" i="157"/>
  <c r="J232" i="157" s="1"/>
  <c r="I124" i="37" s="1"/>
  <c r="H257" i="157"/>
  <c r="J243" i="157"/>
  <c r="J257" i="157" s="1"/>
  <c r="I160" i="37" s="1"/>
  <c r="H315" i="157"/>
  <c r="J302" i="157"/>
  <c r="J315" i="157" s="1"/>
  <c r="I189" i="37" s="1"/>
  <c r="H341" i="157"/>
  <c r="J329" i="157"/>
  <c r="J341" i="157" s="1"/>
  <c r="I214" i="37" s="1"/>
  <c r="H363" i="157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5" i="157"/>
  <c r="H51" i="157"/>
  <c r="J52" i="157"/>
  <c r="H41" i="157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F202" i="157"/>
  <c r="E94" i="37" s="1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G222" i="37" l="1"/>
  <c r="G214" i="37"/>
  <c r="G215" i="37"/>
  <c r="G213" i="37"/>
  <c r="G190" i="37"/>
  <c r="G189" i="37"/>
  <c r="G188" i="37"/>
  <c r="G226" i="37"/>
  <c r="G227" i="37"/>
  <c r="G225" i="37"/>
  <c r="G161" i="37"/>
  <c r="G162" i="37"/>
  <c r="G160" i="37"/>
  <c r="G98" i="37"/>
  <c r="G97" i="37"/>
  <c r="G96" i="37"/>
  <c r="G175" i="37"/>
  <c r="G176" i="37"/>
  <c r="G174" i="37"/>
  <c r="J164" i="157"/>
  <c r="G84" i="37"/>
  <c r="G83" i="37"/>
  <c r="G82" i="37"/>
  <c r="G45" i="37"/>
  <c r="G44" i="37"/>
  <c r="G43" i="37"/>
  <c r="G124" i="37"/>
  <c r="G123" i="37"/>
  <c r="G122" i="37"/>
  <c r="J96" i="157"/>
  <c r="J74" i="157"/>
  <c r="J51" i="157"/>
  <c r="J41" i="157"/>
  <c r="G223" i="37"/>
  <c r="G211" i="37"/>
  <c r="J365" i="157"/>
  <c r="I225" i="37" s="1"/>
  <c r="H256" i="157"/>
  <c r="J122" i="157"/>
  <c r="J136" i="157" s="1"/>
  <c r="I42" i="37" s="1"/>
  <c r="H364" i="157"/>
  <c r="H339" i="157"/>
  <c r="H285" i="157"/>
  <c r="H313" i="157"/>
  <c r="H229" i="157"/>
  <c r="H175" i="157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D136" i="157"/>
  <c r="C42" i="37" s="1"/>
  <c r="F122" i="157"/>
  <c r="F136" i="157" s="1"/>
  <c r="E42" i="37" s="1"/>
  <c r="G212" i="37" l="1"/>
  <c r="G187" i="37"/>
  <c r="G224" i="37"/>
  <c r="G159" i="37"/>
  <c r="G173" i="37"/>
  <c r="G81" i="37"/>
  <c r="G42" i="37"/>
  <c r="G121" i="37"/>
  <c r="J364" i="157"/>
  <c r="I224" i="37" s="1"/>
  <c r="J175" i="157"/>
  <c r="I81" i="37" s="1"/>
  <c r="H109" i="157"/>
  <c r="D18" i="157"/>
  <c r="D109" i="157" s="1"/>
  <c r="F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2" i="156"/>
  <c r="I382" i="156"/>
  <c r="C382" i="156"/>
  <c r="J384" i="156"/>
  <c r="E370" i="156"/>
  <c r="I370" i="156"/>
  <c r="J371" i="156"/>
  <c r="J373" i="156"/>
  <c r="F371" i="156"/>
  <c r="F372" i="156"/>
  <c r="F373" i="156"/>
  <c r="C370" i="156"/>
  <c r="E360" i="156"/>
  <c r="D150" i="37" s="1"/>
  <c r="G360" i="156"/>
  <c r="F150" i="37" s="1"/>
  <c r="I360" i="156"/>
  <c r="H150" i="37" s="1"/>
  <c r="C360" i="156"/>
  <c r="B150" i="37" s="1"/>
  <c r="E358" i="156"/>
  <c r="D148" i="37" s="1"/>
  <c r="G358" i="156"/>
  <c r="F148" i="37" s="1"/>
  <c r="I358" i="156"/>
  <c r="H148" i="37" s="1"/>
  <c r="C358" i="156"/>
  <c r="B148" i="37" s="1"/>
  <c r="E345" i="156"/>
  <c r="I345" i="156"/>
  <c r="F346" i="156"/>
  <c r="F358" i="156" s="1"/>
  <c r="E148" i="37" s="1"/>
  <c r="F347" i="156"/>
  <c r="F348" i="156"/>
  <c r="F360" i="156" s="1"/>
  <c r="E150" i="37" s="1"/>
  <c r="J346" i="156"/>
  <c r="J358" i="156" s="1"/>
  <c r="I148" i="37" s="1"/>
  <c r="J347" i="156"/>
  <c r="J348" i="156"/>
  <c r="J360" i="156" s="1"/>
  <c r="I150" i="37" s="1"/>
  <c r="C345" i="156"/>
  <c r="E334" i="156"/>
  <c r="D136" i="37" s="1"/>
  <c r="G334" i="156"/>
  <c r="F136" i="37" s="1"/>
  <c r="I334" i="156"/>
  <c r="H136" i="37" s="1"/>
  <c r="C334" i="156"/>
  <c r="B136" i="37" s="1"/>
  <c r="E332" i="156"/>
  <c r="D134" i="37" s="1"/>
  <c r="G332" i="156"/>
  <c r="F134" i="37" s="1"/>
  <c r="I332" i="156"/>
  <c r="H134" i="37" s="1"/>
  <c r="C332" i="156"/>
  <c r="B134" i="37" s="1"/>
  <c r="I317" i="156"/>
  <c r="J320" i="156"/>
  <c r="J334" i="156" s="1"/>
  <c r="I136" i="37" s="1"/>
  <c r="E317" i="156"/>
  <c r="F318" i="156"/>
  <c r="F332" i="156" s="1"/>
  <c r="E134" i="37" s="1"/>
  <c r="F319" i="156"/>
  <c r="F320" i="156"/>
  <c r="F334" i="156" s="1"/>
  <c r="E136" i="37" s="1"/>
  <c r="C317" i="156"/>
  <c r="E306" i="156"/>
  <c r="D111" i="37" s="1"/>
  <c r="G306" i="156"/>
  <c r="F111" i="37" s="1"/>
  <c r="I306" i="156"/>
  <c r="H111" i="37" s="1"/>
  <c r="C306" i="156"/>
  <c r="B111" i="37" s="1"/>
  <c r="E304" i="156"/>
  <c r="D109" i="37" s="1"/>
  <c r="G304" i="156"/>
  <c r="F109" i="37" s="1"/>
  <c r="I304" i="156"/>
  <c r="H109" i="37" s="1"/>
  <c r="C304" i="156"/>
  <c r="B109" i="37" s="1"/>
  <c r="E290" i="156"/>
  <c r="G290" i="156"/>
  <c r="I290" i="156"/>
  <c r="J291" i="156"/>
  <c r="J304" i="156" s="1"/>
  <c r="I109" i="37" s="1"/>
  <c r="J292" i="156"/>
  <c r="J293" i="156"/>
  <c r="J306" i="156" s="1"/>
  <c r="I111" i="37" s="1"/>
  <c r="F291" i="156"/>
  <c r="F304" i="156" s="1"/>
  <c r="E109" i="37" s="1"/>
  <c r="F292" i="156"/>
  <c r="F293" i="156"/>
  <c r="F306" i="156" s="1"/>
  <c r="E111" i="37" s="1"/>
  <c r="E279" i="156"/>
  <c r="D71" i="37" s="1"/>
  <c r="G279" i="156"/>
  <c r="F71" i="37" s="1"/>
  <c r="I279" i="156"/>
  <c r="H71" i="37" s="1"/>
  <c r="C279" i="156"/>
  <c r="B71" i="37" s="1"/>
  <c r="E277" i="156"/>
  <c r="D69" i="37" s="1"/>
  <c r="G277" i="156"/>
  <c r="F69" i="37" s="1"/>
  <c r="I277" i="156"/>
  <c r="H69" i="37" s="1"/>
  <c r="C277" i="156"/>
  <c r="B69" i="37" s="1"/>
  <c r="E262" i="156"/>
  <c r="G262" i="156"/>
  <c r="I262" i="156"/>
  <c r="F264" i="156"/>
  <c r="F265" i="156"/>
  <c r="F279" i="156" s="1"/>
  <c r="E71" i="37" s="1"/>
  <c r="F263" i="156"/>
  <c r="F277" i="156" s="1"/>
  <c r="E69" i="37" s="1"/>
  <c r="J264" i="156"/>
  <c r="J265" i="156"/>
  <c r="J279" i="156" s="1"/>
  <c r="I71" i="37" s="1"/>
  <c r="J263" i="156"/>
  <c r="J277" i="156" s="1"/>
  <c r="I69" i="37" s="1"/>
  <c r="D16" i="37"/>
  <c r="F16" i="37"/>
  <c r="B16" i="37"/>
  <c r="D15" i="37"/>
  <c r="F15" i="37"/>
  <c r="B15" i="37"/>
  <c r="E247" i="156"/>
  <c r="C247" i="156"/>
  <c r="B14" i="37" s="1"/>
  <c r="E235" i="156"/>
  <c r="I235" i="156"/>
  <c r="C235" i="156"/>
  <c r="J236" i="156"/>
  <c r="E226" i="156"/>
  <c r="I226" i="156"/>
  <c r="J227" i="156"/>
  <c r="F227" i="156"/>
  <c r="C226" i="156"/>
  <c r="G204" i="156"/>
  <c r="E204" i="156"/>
  <c r="I204" i="156"/>
  <c r="H204" i="156"/>
  <c r="F205" i="156"/>
  <c r="J193" i="156"/>
  <c r="F193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I24" i="156"/>
  <c r="C24" i="156"/>
  <c r="B247" i="37" s="1"/>
  <c r="I23" i="156"/>
  <c r="G23" i="156"/>
  <c r="E13" i="156"/>
  <c r="E23" i="156" s="1"/>
  <c r="C13" i="156"/>
  <c r="C23" i="156" s="1"/>
  <c r="B246" i="37" s="1"/>
  <c r="C10" i="156"/>
  <c r="C246" i="37"/>
  <c r="J152" i="156" l="1"/>
  <c r="H249" i="156"/>
  <c r="B257" i="37"/>
  <c r="D259" i="37"/>
  <c r="F259" i="37"/>
  <c r="B259" i="37"/>
  <c r="H332" i="156"/>
  <c r="J318" i="156"/>
  <c r="J332" i="156" s="1"/>
  <c r="I134" i="37" s="1"/>
  <c r="J383" i="156"/>
  <c r="H395" i="156"/>
  <c r="J385" i="156"/>
  <c r="H397" i="156"/>
  <c r="D14" i="37"/>
  <c r="H246" i="37"/>
  <c r="H247" i="37"/>
  <c r="H15" i="37"/>
  <c r="H16" i="37"/>
  <c r="H259" i="37" s="1"/>
  <c r="H14" i="37"/>
  <c r="H54" i="156"/>
  <c r="F385" i="156"/>
  <c r="F384" i="156"/>
  <c r="F396" i="156"/>
  <c r="F236" i="156"/>
  <c r="F109" i="156"/>
  <c r="F107" i="156"/>
  <c r="C26" i="156"/>
  <c r="B249" i="37" s="1"/>
  <c r="H107" i="156"/>
  <c r="F382" i="156"/>
  <c r="F383" i="156"/>
  <c r="H382" i="156"/>
  <c r="H370" i="156"/>
  <c r="F370" i="156"/>
  <c r="J372" i="156"/>
  <c r="H358" i="156"/>
  <c r="C148" i="37"/>
  <c r="H360" i="156"/>
  <c r="C150" i="37"/>
  <c r="H345" i="156"/>
  <c r="F345" i="156"/>
  <c r="H334" i="156"/>
  <c r="C136" i="37"/>
  <c r="C134" i="37"/>
  <c r="H317" i="156"/>
  <c r="C109" i="37"/>
  <c r="H306" i="156"/>
  <c r="H304" i="156"/>
  <c r="C111" i="37"/>
  <c r="H290" i="156"/>
  <c r="C71" i="37"/>
  <c r="H279" i="156"/>
  <c r="H277" i="156"/>
  <c r="C69" i="37"/>
  <c r="H235" i="156"/>
  <c r="H226" i="156"/>
  <c r="F226" i="156"/>
  <c r="F204" i="156"/>
  <c r="J204" i="156"/>
  <c r="F192" i="156"/>
  <c r="J205" i="156"/>
  <c r="F141" i="156"/>
  <c r="H141" i="156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H13" i="156"/>
  <c r="G136" i="37" l="1"/>
  <c r="G150" i="37"/>
  <c r="J226" i="156"/>
  <c r="G71" i="37"/>
  <c r="G109" i="37"/>
  <c r="G148" i="37"/>
  <c r="J235" i="156"/>
  <c r="G111" i="37"/>
  <c r="G134" i="37"/>
  <c r="G69" i="37"/>
  <c r="J33" i="156"/>
  <c r="J141" i="156"/>
  <c r="G16" i="37"/>
  <c r="D257" i="37"/>
  <c r="H257" i="37"/>
  <c r="J370" i="156"/>
  <c r="J382" i="156"/>
  <c r="J192" i="156"/>
  <c r="J65" i="156"/>
  <c r="J290" i="156"/>
  <c r="J107" i="156"/>
  <c r="H23" i="156"/>
  <c r="G246" i="37" s="1"/>
  <c r="C16" i="37"/>
  <c r="F249" i="156"/>
  <c r="E16" i="37" s="1"/>
  <c r="I247" i="37"/>
  <c r="C237" i="37"/>
  <c r="F395" i="156"/>
  <c r="E237" i="37" s="1"/>
  <c r="G237" i="37"/>
  <c r="J395" i="156"/>
  <c r="I237" i="37" s="1"/>
  <c r="G239" i="37"/>
  <c r="J397" i="156"/>
  <c r="I239" i="37" s="1"/>
  <c r="C239" i="37"/>
  <c r="C259" i="37" s="1"/>
  <c r="F397" i="156"/>
  <c r="E239" i="37" s="1"/>
  <c r="J249" i="156"/>
  <c r="I16" i="37" s="1"/>
  <c r="F317" i="156"/>
  <c r="F290" i="156"/>
  <c r="F235" i="156"/>
  <c r="F94" i="156"/>
  <c r="J94" i="156"/>
  <c r="F83" i="156"/>
  <c r="G259" i="37" l="1"/>
  <c r="I246" i="37"/>
  <c r="E259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99" i="157" l="1"/>
  <c r="G41" i="37"/>
  <c r="I259" i="37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J120" i="157"/>
  <c r="J134" i="157" s="1"/>
  <c r="I40" i="37" s="1"/>
  <c r="H173" i="157"/>
  <c r="J149" i="157"/>
  <c r="H200" i="157"/>
  <c r="J187" i="157"/>
  <c r="J200" i="157" s="1"/>
  <c r="I92" i="37" s="1"/>
  <c r="H226" i="157"/>
  <c r="J214" i="157"/>
  <c r="J226" i="157" s="1"/>
  <c r="I118" i="37" s="1"/>
  <c r="H284" i="157"/>
  <c r="J270" i="157"/>
  <c r="J284" i="157" s="1"/>
  <c r="I172" i="37" s="1"/>
  <c r="H312" i="157"/>
  <c r="J299" i="157"/>
  <c r="J312" i="157" s="1"/>
  <c r="I186" i="37" s="1"/>
  <c r="H337" i="157"/>
  <c r="J325" i="157"/>
  <c r="J337" i="157" s="1"/>
  <c r="I210" i="37" s="1"/>
  <c r="H360" i="157"/>
  <c r="J348" i="157"/>
  <c r="H133" i="157"/>
  <c r="J119" i="157"/>
  <c r="J133" i="157" s="1"/>
  <c r="I39" i="37" s="1"/>
  <c r="H199" i="157"/>
  <c r="J186" i="157"/>
  <c r="J199" i="157" s="1"/>
  <c r="I91" i="37" s="1"/>
  <c r="H225" i="157"/>
  <c r="J213" i="157"/>
  <c r="J225" i="157" s="1"/>
  <c r="I117" i="37" s="1"/>
  <c r="H283" i="157"/>
  <c r="J269" i="157"/>
  <c r="J283" i="157" s="1"/>
  <c r="I171" i="37" s="1"/>
  <c r="H311" i="157"/>
  <c r="J298" i="157"/>
  <c r="J311" i="157" s="1"/>
  <c r="I185" i="37" s="1"/>
  <c r="H336" i="157"/>
  <c r="J324" i="157"/>
  <c r="J336" i="157" s="1"/>
  <c r="I209" i="37" s="1"/>
  <c r="H361" i="157"/>
  <c r="J349" i="157"/>
  <c r="H132" i="157"/>
  <c r="J118" i="157"/>
  <c r="J132" i="157" s="1"/>
  <c r="I38" i="37" s="1"/>
  <c r="H228" i="157"/>
  <c r="J216" i="157"/>
  <c r="J228" i="157" s="1"/>
  <c r="I120" i="37" s="1"/>
  <c r="H282" i="157"/>
  <c r="J268" i="157"/>
  <c r="J282" i="157" s="1"/>
  <c r="I170" i="37" s="1"/>
  <c r="H310" i="157"/>
  <c r="J297" i="157"/>
  <c r="J310" i="157" s="1"/>
  <c r="I184" i="37" s="1"/>
  <c r="H174" i="157"/>
  <c r="J150" i="157"/>
  <c r="H79" i="37"/>
  <c r="H201" i="157"/>
  <c r="J188" i="157"/>
  <c r="J201" i="157" s="1"/>
  <c r="I93" i="37" s="1"/>
  <c r="H227" i="157"/>
  <c r="J215" i="157"/>
  <c r="J227" i="157" s="1"/>
  <c r="I119" i="37" s="1"/>
  <c r="H281" i="157"/>
  <c r="J267" i="157"/>
  <c r="J281" i="157" s="1"/>
  <c r="I169" i="37" s="1"/>
  <c r="H309" i="157"/>
  <c r="J296" i="157"/>
  <c r="J309" i="157" s="1"/>
  <c r="I183" i="37" s="1"/>
  <c r="H335" i="157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G14" i="57"/>
  <c r="H252" i="157"/>
  <c r="H255" i="157"/>
  <c r="H254" i="157"/>
  <c r="H253" i="157"/>
  <c r="H171" i="157"/>
  <c r="I131" i="157"/>
  <c r="H37" i="37" s="1"/>
  <c r="H190" i="157"/>
  <c r="H172" i="157"/>
  <c r="H84" i="157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G224" i="157"/>
  <c r="F116" i="37" s="1"/>
  <c r="G251" i="157"/>
  <c r="F154" i="37" s="1"/>
  <c r="G280" i="157"/>
  <c r="F168" i="37" s="1"/>
  <c r="H62" i="157"/>
  <c r="G9" i="57"/>
  <c r="G9" i="46"/>
  <c r="H322" i="157"/>
  <c r="H295" i="157"/>
  <c r="H266" i="157"/>
  <c r="H237" i="157"/>
  <c r="H212" i="157"/>
  <c r="H161" i="157"/>
  <c r="H146" i="157"/>
  <c r="H117" i="157"/>
  <c r="H93" i="157"/>
  <c r="J93" i="157" s="1"/>
  <c r="H80" i="157"/>
  <c r="H59" i="157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6" i="156"/>
  <c r="H238" i="37" s="1"/>
  <c r="I393" i="156"/>
  <c r="H235" i="37" s="1"/>
  <c r="G393" i="156"/>
  <c r="F235" i="37" s="1"/>
  <c r="I392" i="156"/>
  <c r="H234" i="37" s="1"/>
  <c r="G392" i="156"/>
  <c r="F234" i="37" s="1"/>
  <c r="I391" i="156"/>
  <c r="H233" i="37" s="1"/>
  <c r="G391" i="156"/>
  <c r="F233" i="37" s="1"/>
  <c r="I390" i="156"/>
  <c r="H232" i="37" s="1"/>
  <c r="G390" i="156"/>
  <c r="F232" i="37" s="1"/>
  <c r="I377" i="156"/>
  <c r="I387" i="156" s="1"/>
  <c r="G377" i="156"/>
  <c r="G387" i="156" s="1"/>
  <c r="J380" i="156"/>
  <c r="J381" i="156"/>
  <c r="J378" i="156"/>
  <c r="I365" i="156"/>
  <c r="I375" i="156" s="1"/>
  <c r="G365" i="156"/>
  <c r="G375" i="156" s="1"/>
  <c r="J367" i="156"/>
  <c r="J369" i="156"/>
  <c r="J366" i="156"/>
  <c r="I353" i="156"/>
  <c r="H143" i="37" s="1"/>
  <c r="I354" i="156"/>
  <c r="H144" i="37" s="1"/>
  <c r="I355" i="156"/>
  <c r="H145" i="37" s="1"/>
  <c r="I356" i="156"/>
  <c r="H146" i="37" s="1"/>
  <c r="I359" i="156"/>
  <c r="H149" i="37" s="1"/>
  <c r="G353" i="156"/>
  <c r="F143" i="37" s="1"/>
  <c r="G354" i="156"/>
  <c r="F144" i="37" s="1"/>
  <c r="G355" i="156"/>
  <c r="F145" i="37" s="1"/>
  <c r="G356" i="156"/>
  <c r="F146" i="37" s="1"/>
  <c r="G359" i="156"/>
  <c r="F149" i="37" s="1"/>
  <c r="I357" i="156"/>
  <c r="H147" i="37" s="1"/>
  <c r="G357" i="156"/>
  <c r="F147" i="37" s="1"/>
  <c r="J342" i="156"/>
  <c r="J354" i="156" s="1"/>
  <c r="I144" i="37" s="1"/>
  <c r="H355" i="156"/>
  <c r="J344" i="156"/>
  <c r="J356" i="156" s="1"/>
  <c r="I146" i="37" s="1"/>
  <c r="H359" i="156"/>
  <c r="J341" i="156"/>
  <c r="J353" i="156" s="1"/>
  <c r="I143" i="37" s="1"/>
  <c r="I340" i="156"/>
  <c r="I350" i="156" s="1"/>
  <c r="G340" i="156"/>
  <c r="I327" i="156"/>
  <c r="H129" i="37" s="1"/>
  <c r="I328" i="156"/>
  <c r="H130" i="37" s="1"/>
  <c r="I329" i="156"/>
  <c r="H131" i="37" s="1"/>
  <c r="I330" i="156"/>
  <c r="H132" i="37" s="1"/>
  <c r="I333" i="156"/>
  <c r="H135" i="37" s="1"/>
  <c r="G327" i="156"/>
  <c r="F129" i="37" s="1"/>
  <c r="G328" i="156"/>
  <c r="F130" i="37" s="1"/>
  <c r="G329" i="156"/>
  <c r="F131" i="37" s="1"/>
  <c r="G330" i="156"/>
  <c r="F132" i="37" s="1"/>
  <c r="G333" i="156"/>
  <c r="F135" i="37" s="1"/>
  <c r="G331" i="156"/>
  <c r="F133" i="37" s="1"/>
  <c r="J314" i="156"/>
  <c r="J328" i="156" s="1"/>
  <c r="I130" i="37" s="1"/>
  <c r="J315" i="156"/>
  <c r="J329" i="156" s="1"/>
  <c r="I131" i="37" s="1"/>
  <c r="J316" i="156"/>
  <c r="J330" i="156" s="1"/>
  <c r="I132" i="37" s="1"/>
  <c r="H333" i="156"/>
  <c r="J313" i="156"/>
  <c r="J327" i="156" s="1"/>
  <c r="I129" i="37" s="1"/>
  <c r="I312" i="156"/>
  <c r="I324" i="156" s="1"/>
  <c r="G312" i="156"/>
  <c r="G324" i="156" s="1"/>
  <c r="I299" i="156"/>
  <c r="H104" i="37" s="1"/>
  <c r="I300" i="156"/>
  <c r="H105" i="37" s="1"/>
  <c r="I301" i="156"/>
  <c r="H106" i="37" s="1"/>
  <c r="I302" i="156"/>
  <c r="H107" i="37" s="1"/>
  <c r="I305" i="156"/>
  <c r="H110" i="37" s="1"/>
  <c r="G299" i="156"/>
  <c r="F104" i="37" s="1"/>
  <c r="G300" i="156"/>
  <c r="F105" i="37" s="1"/>
  <c r="G301" i="156"/>
  <c r="F106" i="37" s="1"/>
  <c r="G302" i="156"/>
  <c r="F107" i="37" s="1"/>
  <c r="G305" i="156"/>
  <c r="F110" i="37" s="1"/>
  <c r="I303" i="156"/>
  <c r="H108" i="37" s="1"/>
  <c r="G303" i="156"/>
  <c r="F108" i="37" s="1"/>
  <c r="H300" i="156"/>
  <c r="H301" i="156"/>
  <c r="H302" i="156"/>
  <c r="J286" i="156"/>
  <c r="J299" i="156" s="1"/>
  <c r="I104" i="37" s="1"/>
  <c r="I285" i="156"/>
  <c r="I296" i="156" s="1"/>
  <c r="G285" i="156"/>
  <c r="G107" i="37" l="1"/>
  <c r="G149" i="37"/>
  <c r="G106" i="37"/>
  <c r="G105" i="37"/>
  <c r="G135" i="37"/>
  <c r="G145" i="37"/>
  <c r="J84" i="157"/>
  <c r="G21" i="57"/>
  <c r="G195" i="37" s="1"/>
  <c r="G210" i="37"/>
  <c r="G209" i="37"/>
  <c r="G208" i="37"/>
  <c r="G186" i="37"/>
  <c r="G185" i="37"/>
  <c r="G184" i="37"/>
  <c r="G183" i="37"/>
  <c r="G158" i="37"/>
  <c r="G157" i="37"/>
  <c r="G156" i="37"/>
  <c r="G155" i="37"/>
  <c r="G93" i="37"/>
  <c r="G92" i="37"/>
  <c r="H198" i="157"/>
  <c r="G91" i="37"/>
  <c r="G172" i="37"/>
  <c r="G171" i="37"/>
  <c r="G170" i="37"/>
  <c r="G169" i="37"/>
  <c r="H168" i="157"/>
  <c r="G80" i="37"/>
  <c r="G79" i="37"/>
  <c r="G78" i="37"/>
  <c r="H158" i="157"/>
  <c r="G77" i="37"/>
  <c r="G40" i="37"/>
  <c r="G39" i="37"/>
  <c r="G38" i="37"/>
  <c r="G120" i="37"/>
  <c r="G119" i="37"/>
  <c r="G118" i="37"/>
  <c r="H222" i="157"/>
  <c r="G117" i="37"/>
  <c r="J59" i="157"/>
  <c r="H77" i="157"/>
  <c r="F31" i="46"/>
  <c r="F61" i="37" s="1"/>
  <c r="H31" i="46"/>
  <c r="H61" i="37" s="1"/>
  <c r="G19" i="57"/>
  <c r="G21" i="46"/>
  <c r="G51" i="37" s="1"/>
  <c r="G19" i="46"/>
  <c r="G31" i="46" s="1"/>
  <c r="H280" i="157"/>
  <c r="H278" i="157"/>
  <c r="H308" i="157"/>
  <c r="H306" i="157"/>
  <c r="H99" i="157"/>
  <c r="H334" i="157"/>
  <c r="H332" i="157"/>
  <c r="J62" i="157"/>
  <c r="H68" i="157"/>
  <c r="H359" i="157"/>
  <c r="J359" i="157" s="1"/>
  <c r="I219" i="37" s="1"/>
  <c r="H357" i="157"/>
  <c r="H196" i="157"/>
  <c r="J80" i="157"/>
  <c r="H90" i="157"/>
  <c r="J117" i="157"/>
  <c r="J131" i="157" s="1"/>
  <c r="I37" i="37" s="1"/>
  <c r="H129" i="157"/>
  <c r="J237" i="157"/>
  <c r="J251" i="157" s="1"/>
  <c r="I154" i="37" s="1"/>
  <c r="H249" i="157"/>
  <c r="G296" i="156"/>
  <c r="G309" i="156" s="1"/>
  <c r="F114" i="37" s="1"/>
  <c r="G350" i="156"/>
  <c r="G362" i="156" s="1"/>
  <c r="F152" i="37" s="1"/>
  <c r="H224" i="157"/>
  <c r="J174" i="157"/>
  <c r="I80" i="37" s="1"/>
  <c r="I182" i="157"/>
  <c r="H88" i="37" s="1"/>
  <c r="J173" i="157"/>
  <c r="I79" i="37" s="1"/>
  <c r="G326" i="156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J190" i="157"/>
  <c r="J203" i="157" s="1"/>
  <c r="I95" i="37" s="1"/>
  <c r="J185" i="157"/>
  <c r="J198" i="157" s="1"/>
  <c r="I90" i="37" s="1"/>
  <c r="H219" i="37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I101" i="157"/>
  <c r="H48" i="157"/>
  <c r="I14" i="57"/>
  <c r="I26" i="57" s="1"/>
  <c r="I200" i="37" s="1"/>
  <c r="G26" i="57"/>
  <c r="G200" i="37" s="1"/>
  <c r="I326" i="156"/>
  <c r="I352" i="156"/>
  <c r="H142" i="37" s="1"/>
  <c r="I362" i="156"/>
  <c r="H152" i="37" s="1"/>
  <c r="I389" i="156"/>
  <c r="H231" i="37" s="1"/>
  <c r="G399" i="156"/>
  <c r="F241" i="37" s="1"/>
  <c r="I399" i="156"/>
  <c r="H241" i="37" s="1"/>
  <c r="I298" i="156"/>
  <c r="H103" i="37" s="1"/>
  <c r="I309" i="156"/>
  <c r="H114" i="37" s="1"/>
  <c r="H251" i="157"/>
  <c r="H108" i="157"/>
  <c r="H131" i="157"/>
  <c r="H102" i="157"/>
  <c r="H170" i="157"/>
  <c r="G113" i="157"/>
  <c r="F35" i="37" s="1"/>
  <c r="G101" i="157"/>
  <c r="F23" i="37" s="1"/>
  <c r="I113" i="157"/>
  <c r="H38" i="157"/>
  <c r="J31" i="157"/>
  <c r="H29" i="157"/>
  <c r="J17" i="157"/>
  <c r="H15" i="157"/>
  <c r="J14" i="157"/>
  <c r="H105" i="157"/>
  <c r="J13" i="157"/>
  <c r="H104" i="157"/>
  <c r="J12" i="157"/>
  <c r="H103" i="157"/>
  <c r="H394" i="156"/>
  <c r="H391" i="156"/>
  <c r="H393" i="156"/>
  <c r="H303" i="156"/>
  <c r="J288" i="156"/>
  <c r="J301" i="156" s="1"/>
  <c r="I106" i="37" s="1"/>
  <c r="H305" i="156"/>
  <c r="J319" i="156"/>
  <c r="J333" i="156" s="1"/>
  <c r="I135" i="37" s="1"/>
  <c r="I331" i="156"/>
  <c r="H330" i="156"/>
  <c r="H357" i="156"/>
  <c r="J359" i="156"/>
  <c r="I149" i="37" s="1"/>
  <c r="G352" i="156"/>
  <c r="F142" i="37" s="1"/>
  <c r="H353" i="156"/>
  <c r="J379" i="156"/>
  <c r="G389" i="156"/>
  <c r="F231" i="37" s="1"/>
  <c r="G394" i="156"/>
  <c r="F236" i="37" s="1"/>
  <c r="H396" i="156"/>
  <c r="J305" i="156"/>
  <c r="I110" i="37" s="1"/>
  <c r="J287" i="156"/>
  <c r="J300" i="156" s="1"/>
  <c r="I105" i="37" s="1"/>
  <c r="H327" i="156"/>
  <c r="J345" i="156"/>
  <c r="J357" i="156" s="1"/>
  <c r="I147" i="37" s="1"/>
  <c r="H354" i="156"/>
  <c r="H365" i="156"/>
  <c r="J303" i="156"/>
  <c r="I108" i="37" s="1"/>
  <c r="H331" i="156"/>
  <c r="H328" i="156"/>
  <c r="I394" i="156"/>
  <c r="H236" i="37" s="1"/>
  <c r="J289" i="156"/>
  <c r="J302" i="156" s="1"/>
  <c r="I107" i="37" s="1"/>
  <c r="H329" i="156"/>
  <c r="H356" i="156"/>
  <c r="H390" i="156"/>
  <c r="H392" i="156"/>
  <c r="I9" i="57"/>
  <c r="I21" i="57" s="1"/>
  <c r="I195" i="37" s="1"/>
  <c r="I9" i="46"/>
  <c r="I21" i="46" s="1"/>
  <c r="I51" i="37" s="1"/>
  <c r="H24" i="157"/>
  <c r="J25" i="157"/>
  <c r="H10" i="157"/>
  <c r="H377" i="156"/>
  <c r="H340" i="156"/>
  <c r="J343" i="156"/>
  <c r="J355" i="156" s="1"/>
  <c r="I145" i="37" s="1"/>
  <c r="H312" i="156"/>
  <c r="H285" i="156"/>
  <c r="H299" i="156"/>
  <c r="G298" i="156"/>
  <c r="F103" i="37" s="1"/>
  <c r="H128" i="37" l="1"/>
  <c r="I338" i="156"/>
  <c r="H140" i="37" s="1"/>
  <c r="G133" i="37"/>
  <c r="G132" i="37"/>
  <c r="H296" i="156"/>
  <c r="J296" i="156" s="1"/>
  <c r="J309" i="156" s="1"/>
  <c r="H387" i="156"/>
  <c r="G146" i="37"/>
  <c r="G130" i="37"/>
  <c r="G144" i="37"/>
  <c r="G147" i="37"/>
  <c r="G110" i="37"/>
  <c r="H324" i="156"/>
  <c r="G131" i="37"/>
  <c r="G143" i="37"/>
  <c r="G129" i="37"/>
  <c r="G108" i="37"/>
  <c r="G104" i="37"/>
  <c r="H350" i="156"/>
  <c r="H375" i="156"/>
  <c r="J375" i="156" s="1"/>
  <c r="G95" i="37"/>
  <c r="J77" i="157"/>
  <c r="J15" i="157"/>
  <c r="H369" i="157"/>
  <c r="G219" i="37"/>
  <c r="H344" i="157"/>
  <c r="G207" i="37"/>
  <c r="G182" i="37"/>
  <c r="H319" i="157"/>
  <c r="G154" i="37"/>
  <c r="H263" i="157"/>
  <c r="H209" i="157"/>
  <c r="G90" i="37"/>
  <c r="G168" i="37"/>
  <c r="H292" i="157"/>
  <c r="J168" i="157"/>
  <c r="H182" i="157"/>
  <c r="J158" i="157"/>
  <c r="G76" i="37"/>
  <c r="G37" i="37"/>
  <c r="H143" i="157"/>
  <c r="J222" i="157"/>
  <c r="J234" i="157" s="1"/>
  <c r="I126" i="37" s="1"/>
  <c r="G116" i="37"/>
  <c r="J99" i="157"/>
  <c r="J90" i="157"/>
  <c r="J68" i="157"/>
  <c r="H56" i="157"/>
  <c r="H45" i="157"/>
  <c r="J45" i="157" s="1"/>
  <c r="J24" i="157"/>
  <c r="H35" i="157"/>
  <c r="H21" i="157"/>
  <c r="H234" i="157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29" i="157"/>
  <c r="J143" i="157" s="1"/>
  <c r="I49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38" i="157"/>
  <c r="G238" i="37"/>
  <c r="J396" i="156"/>
  <c r="I238" i="37" s="1"/>
  <c r="G233" i="37"/>
  <c r="J391" i="156"/>
  <c r="I233" i="37" s="1"/>
  <c r="G235" i="37"/>
  <c r="J393" i="156"/>
  <c r="I235" i="37" s="1"/>
  <c r="G234" i="37"/>
  <c r="J392" i="156"/>
  <c r="I234" i="37" s="1"/>
  <c r="G236" i="37"/>
  <c r="J394" i="156"/>
  <c r="I236" i="37" s="1"/>
  <c r="G232" i="37"/>
  <c r="J390" i="156"/>
  <c r="I232" i="37" s="1"/>
  <c r="I19" i="57"/>
  <c r="I31" i="57" s="1"/>
  <c r="I205" i="37" s="1"/>
  <c r="G31" i="57"/>
  <c r="G205" i="37" s="1"/>
  <c r="I19" i="46"/>
  <c r="G61" i="37"/>
  <c r="H133" i="37"/>
  <c r="F140" i="37"/>
  <c r="F128" i="37"/>
  <c r="H101" i="157"/>
  <c r="H106" i="157"/>
  <c r="J29" i="157"/>
  <c r="J10" i="157"/>
  <c r="J365" i="156"/>
  <c r="J340" i="156"/>
  <c r="J352" i="156" s="1"/>
  <c r="I142" i="37" s="1"/>
  <c r="H326" i="156"/>
  <c r="H338" i="156" s="1"/>
  <c r="J324" i="156"/>
  <c r="H389" i="156"/>
  <c r="J317" i="156"/>
  <c r="J331" i="156" s="1"/>
  <c r="I133" i="37" s="1"/>
  <c r="H352" i="156"/>
  <c r="J377" i="156"/>
  <c r="J312" i="156"/>
  <c r="J285" i="156"/>
  <c r="J298" i="156" s="1"/>
  <c r="I103" i="37" s="1"/>
  <c r="H298" i="156"/>
  <c r="H309" i="156" l="1"/>
  <c r="G103" i="37"/>
  <c r="G142" i="37"/>
  <c r="J387" i="156"/>
  <c r="G88" i="37"/>
  <c r="J182" i="157"/>
  <c r="I88" i="37" s="1"/>
  <c r="J56" i="157"/>
  <c r="G229" i="37"/>
  <c r="G217" i="37"/>
  <c r="G193" i="37"/>
  <c r="G166" i="37"/>
  <c r="G101" i="37"/>
  <c r="G180" i="37"/>
  <c r="G49" i="37"/>
  <c r="G126" i="37"/>
  <c r="J35" i="157"/>
  <c r="G23" i="37"/>
  <c r="J21" i="157"/>
  <c r="I114" i="37"/>
  <c r="G114" i="37"/>
  <c r="I31" i="46"/>
  <c r="I61" i="37" s="1"/>
  <c r="J101" i="157"/>
  <c r="I23" i="37" s="1"/>
  <c r="G28" i="37"/>
  <c r="J106" i="157"/>
  <c r="I28" i="37" s="1"/>
  <c r="G231" i="37"/>
  <c r="J389" i="156"/>
  <c r="I231" i="37" s="1"/>
  <c r="G128" i="37"/>
  <c r="H113" i="157"/>
  <c r="J350" i="156"/>
  <c r="J362" i="156" s="1"/>
  <c r="I152" i="37" s="1"/>
  <c r="H362" i="156"/>
  <c r="J338" i="156"/>
  <c r="I140" i="37" s="1"/>
  <c r="J326" i="156"/>
  <c r="I128" i="37" s="1"/>
  <c r="H399" i="156"/>
  <c r="I278" i="156"/>
  <c r="H70" i="37" s="1"/>
  <c r="H258" i="37" s="1"/>
  <c r="G278" i="156"/>
  <c r="F70" i="37" s="1"/>
  <c r="F258" i="37" s="1"/>
  <c r="I275" i="156"/>
  <c r="H67" i="37" s="1"/>
  <c r="I274" i="156"/>
  <c r="H66" i="37" s="1"/>
  <c r="I273" i="156"/>
  <c r="H65" i="37" s="1"/>
  <c r="I272" i="156"/>
  <c r="H64" i="37" s="1"/>
  <c r="G272" i="156"/>
  <c r="F64" i="37" s="1"/>
  <c r="G273" i="156"/>
  <c r="F65" i="37" s="1"/>
  <c r="G274" i="156"/>
  <c r="F66" i="37" s="1"/>
  <c r="G275" i="156"/>
  <c r="F67" i="37" s="1"/>
  <c r="G276" i="156"/>
  <c r="F68" i="37" s="1"/>
  <c r="J258" i="156"/>
  <c r="J259" i="156"/>
  <c r="H274" i="156"/>
  <c r="J261" i="156"/>
  <c r="H278" i="156"/>
  <c r="I257" i="156"/>
  <c r="I268" i="156" s="1"/>
  <c r="G257" i="156"/>
  <c r="J54" i="156"/>
  <c r="J55" i="156"/>
  <c r="I244" i="156"/>
  <c r="I242" i="156"/>
  <c r="G244" i="156"/>
  <c r="F11" i="37" s="1"/>
  <c r="G223" i="156"/>
  <c r="G229" i="156" s="1"/>
  <c r="G232" i="156"/>
  <c r="G238" i="156" s="1"/>
  <c r="F12" i="37"/>
  <c r="I232" i="156"/>
  <c r="I238" i="156" s="1"/>
  <c r="J234" i="156"/>
  <c r="H232" i="156"/>
  <c r="I229" i="156"/>
  <c r="I201" i="156"/>
  <c r="I207" i="156" s="1"/>
  <c r="G201" i="156"/>
  <c r="G207" i="156" s="1"/>
  <c r="J203" i="156"/>
  <c r="J189" i="156"/>
  <c r="J188" i="156"/>
  <c r="I198" i="156"/>
  <c r="G198" i="156"/>
  <c r="I180" i="156"/>
  <c r="J178" i="156"/>
  <c r="I177" i="156"/>
  <c r="G177" i="156"/>
  <c r="G184" i="156" s="1"/>
  <c r="J171" i="156"/>
  <c r="I170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245" i="156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238" i="156" l="1"/>
  <c r="J238" i="156" s="1"/>
  <c r="G152" i="37"/>
  <c r="G140" i="37"/>
  <c r="G66" i="37"/>
  <c r="J129" i="156"/>
  <c r="H150" i="156"/>
  <c r="J225" i="156"/>
  <c r="F255" i="37"/>
  <c r="F254" i="37"/>
  <c r="G241" i="37"/>
  <c r="J399" i="156"/>
  <c r="I241" i="37" s="1"/>
  <c r="I174" i="156"/>
  <c r="I184" i="156"/>
  <c r="I271" i="156"/>
  <c r="H63" i="37" s="1"/>
  <c r="I282" i="156"/>
  <c r="G268" i="156"/>
  <c r="G282" i="156" s="1"/>
  <c r="G35" i="37"/>
  <c r="J113" i="157"/>
  <c r="I35" i="37" s="1"/>
  <c r="H10" i="37"/>
  <c r="H11" i="37"/>
  <c r="H254" i="37" s="1"/>
  <c r="H12" i="37"/>
  <c r="H255" i="37" s="1"/>
  <c r="H9" i="37"/>
  <c r="I246" i="156"/>
  <c r="J278" i="156"/>
  <c r="I70" i="37" s="1"/>
  <c r="G70" i="37"/>
  <c r="H223" i="156"/>
  <c r="H262" i="156"/>
  <c r="J181" i="156"/>
  <c r="H177" i="156"/>
  <c r="H180" i="156"/>
  <c r="J161" i="156"/>
  <c r="H160" i="156"/>
  <c r="H130" i="156"/>
  <c r="H80" i="156"/>
  <c r="H51" i="156"/>
  <c r="H62" i="156"/>
  <c r="J274" i="156"/>
  <c r="I66" i="37" s="1"/>
  <c r="J81" i="156"/>
  <c r="J132" i="156"/>
  <c r="J151" i="156"/>
  <c r="J179" i="156"/>
  <c r="J232" i="156"/>
  <c r="I276" i="156"/>
  <c r="H138" i="156"/>
  <c r="H170" i="156"/>
  <c r="H201" i="156"/>
  <c r="J139" i="156"/>
  <c r="J202" i="156"/>
  <c r="J260" i="156"/>
  <c r="H273" i="156"/>
  <c r="H275" i="156"/>
  <c r="J53" i="156"/>
  <c r="J64" i="156"/>
  <c r="J224" i="156"/>
  <c r="J233" i="156"/>
  <c r="G271" i="156"/>
  <c r="H272" i="156"/>
  <c r="H257" i="156"/>
  <c r="H167" i="156"/>
  <c r="H157" i="156"/>
  <c r="H125" i="156"/>
  <c r="H102" i="156"/>
  <c r="H89" i="156"/>
  <c r="H71" i="156"/>
  <c r="H271" i="156" l="1"/>
  <c r="G63" i="37" s="1"/>
  <c r="J125" i="156"/>
  <c r="H112" i="156"/>
  <c r="H59" i="156"/>
  <c r="H144" i="156"/>
  <c r="J177" i="156"/>
  <c r="J150" i="156"/>
  <c r="H77" i="156"/>
  <c r="H99" i="156"/>
  <c r="H164" i="156"/>
  <c r="H207" i="156"/>
  <c r="H86" i="156"/>
  <c r="J170" i="156"/>
  <c r="H174" i="156"/>
  <c r="J130" i="156"/>
  <c r="H135" i="156"/>
  <c r="H68" i="156"/>
  <c r="H198" i="156"/>
  <c r="H229" i="156"/>
  <c r="J180" i="156"/>
  <c r="H184" i="156"/>
  <c r="J262" i="156"/>
  <c r="H268" i="156"/>
  <c r="H13" i="37"/>
  <c r="H74" i="37"/>
  <c r="H68" i="37"/>
  <c r="F74" i="37"/>
  <c r="F63" i="37"/>
  <c r="J275" i="156"/>
  <c r="I67" i="37" s="1"/>
  <c r="G67" i="37"/>
  <c r="J273" i="156"/>
  <c r="I65" i="37" s="1"/>
  <c r="G65" i="37"/>
  <c r="J271" i="156"/>
  <c r="I63" i="37" s="1"/>
  <c r="J272" i="156"/>
  <c r="I64" i="37" s="1"/>
  <c r="G64" i="37"/>
  <c r="J223" i="156"/>
  <c r="H276" i="156"/>
  <c r="J187" i="156"/>
  <c r="J160" i="156"/>
  <c r="J80" i="156"/>
  <c r="J157" i="156"/>
  <c r="J102" i="156"/>
  <c r="J51" i="156"/>
  <c r="J62" i="156"/>
  <c r="J71" i="156"/>
  <c r="J89" i="156"/>
  <c r="J138" i="156"/>
  <c r="J201" i="156"/>
  <c r="J167" i="156"/>
  <c r="J257" i="156"/>
  <c r="J198" i="156" l="1"/>
  <c r="J144" i="156"/>
  <c r="J229" i="156"/>
  <c r="J207" i="156"/>
  <c r="J112" i="156"/>
  <c r="J59" i="156"/>
  <c r="J174" i="156"/>
  <c r="J164" i="156"/>
  <c r="J184" i="156"/>
  <c r="J68" i="156"/>
  <c r="J99" i="156"/>
  <c r="J135" i="156"/>
  <c r="J86" i="156"/>
  <c r="J77" i="156"/>
  <c r="H256" i="37"/>
  <c r="J268" i="156"/>
  <c r="J282" i="156" s="1"/>
  <c r="I74" i="37" s="1"/>
  <c r="H282" i="156"/>
  <c r="J276" i="156"/>
  <c r="I68" i="37" s="1"/>
  <c r="G68" i="37"/>
  <c r="G74" i="37" l="1"/>
  <c r="H248" i="156"/>
  <c r="H244" i="156"/>
  <c r="J32" i="156"/>
  <c r="G30" i="156"/>
  <c r="G38" i="156" s="1"/>
  <c r="I10" i="156"/>
  <c r="I17" i="156" s="1"/>
  <c r="G10" i="156"/>
  <c r="G17" i="156" s="1"/>
  <c r="C30" i="156"/>
  <c r="E22" i="156"/>
  <c r="D245" i="37" s="1"/>
  <c r="G22" i="156"/>
  <c r="I22" i="156"/>
  <c r="E21" i="156"/>
  <c r="D244" i="37" s="1"/>
  <c r="G21" i="156"/>
  <c r="I21" i="156"/>
  <c r="E20" i="156"/>
  <c r="D243" i="37" s="1"/>
  <c r="F11" i="156"/>
  <c r="C22" i="156"/>
  <c r="B245" i="37" s="1"/>
  <c r="C20" i="156"/>
  <c r="B243" i="37" s="1"/>
  <c r="I38" i="156" l="1"/>
  <c r="I253" i="156" s="1"/>
  <c r="H20" i="37" s="1"/>
  <c r="H245" i="37"/>
  <c r="H253" i="37" s="1"/>
  <c r="H244" i="37"/>
  <c r="H252" i="37" s="1"/>
  <c r="G11" i="37"/>
  <c r="J244" i="156"/>
  <c r="I11" i="37" s="1"/>
  <c r="H44" i="156"/>
  <c r="J45" i="156"/>
  <c r="G20" i="156"/>
  <c r="G26" i="156"/>
  <c r="F249" i="37" s="1"/>
  <c r="I26" i="156"/>
  <c r="I241" i="156"/>
  <c r="H8" i="37" s="1"/>
  <c r="J43" i="156"/>
  <c r="J31" i="156"/>
  <c r="J42" i="156"/>
  <c r="H41" i="156"/>
  <c r="H22" i="156"/>
  <c r="G245" i="37" s="1"/>
  <c r="H10" i="156"/>
  <c r="I20" i="156"/>
  <c r="J12" i="156"/>
  <c r="H21" i="156"/>
  <c r="G244" i="37" s="1"/>
  <c r="J11" i="156"/>
  <c r="H30" i="156"/>
  <c r="H17" i="156" l="1"/>
  <c r="G254" i="37"/>
  <c r="H48" i="156"/>
  <c r="H38" i="156"/>
  <c r="J21" i="156"/>
  <c r="I244" i="37" s="1"/>
  <c r="J22" i="156"/>
  <c r="I245" i="37" s="1"/>
  <c r="H243" i="37"/>
  <c r="H251" i="37" s="1"/>
  <c r="H249" i="37"/>
  <c r="H250" i="37" s="1"/>
  <c r="G12" i="37"/>
  <c r="J245" i="156"/>
  <c r="I12" i="37" s="1"/>
  <c r="G15" i="37"/>
  <c r="J248" i="156"/>
  <c r="I15" i="37" s="1"/>
  <c r="J44" i="156"/>
  <c r="J10" i="156"/>
  <c r="J41" i="156"/>
  <c r="H20" i="156"/>
  <c r="G243" i="37" s="1"/>
  <c r="J30" i="156"/>
  <c r="C62" i="156"/>
  <c r="C51" i="156"/>
  <c r="C41" i="156"/>
  <c r="J48" i="156" l="1"/>
  <c r="J38" i="156"/>
  <c r="I254" i="37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3" i="156"/>
  <c r="D235" i="37" s="1"/>
  <c r="C393" i="156"/>
  <c r="B235" i="37" s="1"/>
  <c r="E392" i="156"/>
  <c r="D234" i="37" s="1"/>
  <c r="C392" i="156"/>
  <c r="B234" i="37" s="1"/>
  <c r="E391" i="156"/>
  <c r="D233" i="37" s="1"/>
  <c r="C391" i="156"/>
  <c r="B233" i="37" s="1"/>
  <c r="E390" i="156"/>
  <c r="C390" i="156"/>
  <c r="B232" i="37" s="1"/>
  <c r="D232" i="37" l="1"/>
  <c r="F381" i="156"/>
  <c r="E377" i="156"/>
  <c r="C377" i="156"/>
  <c r="F378" i="156" l="1"/>
  <c r="C394" i="156"/>
  <c r="B236" i="37" s="1"/>
  <c r="F380" i="156"/>
  <c r="E394" i="156"/>
  <c r="D236" i="37" s="1"/>
  <c r="F379" i="156"/>
  <c r="F377" i="156" l="1"/>
  <c r="E365" i="156" l="1"/>
  <c r="E399" i="156" s="1"/>
  <c r="D241" i="37" s="1"/>
  <c r="C365" i="156"/>
  <c r="C399" i="156" s="1"/>
  <c r="E359" i="156"/>
  <c r="D149" i="37" s="1"/>
  <c r="C359" i="156"/>
  <c r="B149" i="37" s="1"/>
  <c r="E356" i="156"/>
  <c r="D146" i="37" s="1"/>
  <c r="C356" i="156"/>
  <c r="B146" i="37" s="1"/>
  <c r="E355" i="156"/>
  <c r="D145" i="37" s="1"/>
  <c r="C355" i="156"/>
  <c r="B145" i="37" s="1"/>
  <c r="E354" i="156"/>
  <c r="D144" i="37" s="1"/>
  <c r="C354" i="156"/>
  <c r="B144" i="37" s="1"/>
  <c r="E353" i="156"/>
  <c r="C353" i="156"/>
  <c r="B143" i="37" s="1"/>
  <c r="D143" i="37" l="1"/>
  <c r="E389" i="156"/>
  <c r="D231" i="37" s="1"/>
  <c r="F369" i="156"/>
  <c r="F366" i="156"/>
  <c r="F367" i="156"/>
  <c r="C238" i="37"/>
  <c r="C389" i="156"/>
  <c r="B231" i="37" s="1"/>
  <c r="C233" i="37" l="1"/>
  <c r="F391" i="156"/>
  <c r="E233" i="37" s="1"/>
  <c r="C232" i="37"/>
  <c r="F390" i="156"/>
  <c r="E232" i="37" s="1"/>
  <c r="C234" i="37"/>
  <c r="F392" i="156"/>
  <c r="E234" i="37" s="1"/>
  <c r="C231" i="37"/>
  <c r="F389" i="156"/>
  <c r="E231" i="37" s="1"/>
  <c r="C235" i="37"/>
  <c r="F393" i="156"/>
  <c r="E235" i="37" s="1"/>
  <c r="B241" i="37"/>
  <c r="E238" i="37"/>
  <c r="F365" i="156"/>
  <c r="C236" i="37" l="1"/>
  <c r="F394" i="156"/>
  <c r="E236" i="37" s="1"/>
  <c r="F399" i="156"/>
  <c r="C241" i="37"/>
  <c r="E333" i="156" l="1"/>
  <c r="D135" i="37" s="1"/>
  <c r="C333" i="156"/>
  <c r="B135" i="37" s="1"/>
  <c r="E330" i="156"/>
  <c r="D132" i="37" s="1"/>
  <c r="C330" i="156"/>
  <c r="B132" i="37" s="1"/>
  <c r="E329" i="156"/>
  <c r="D131" i="37" s="1"/>
  <c r="C329" i="156"/>
  <c r="B131" i="37" s="1"/>
  <c r="E328" i="156"/>
  <c r="D130" i="37" s="1"/>
  <c r="C328" i="156"/>
  <c r="B130" i="37" s="1"/>
  <c r="E327" i="156"/>
  <c r="C327" i="156"/>
  <c r="B129" i="37" s="1"/>
  <c r="E305" i="156"/>
  <c r="D110" i="37" s="1"/>
  <c r="C305" i="156"/>
  <c r="B110" i="37" s="1"/>
  <c r="E302" i="156"/>
  <c r="D107" i="37" s="1"/>
  <c r="C302" i="156"/>
  <c r="B107" i="37" s="1"/>
  <c r="E301" i="156"/>
  <c r="D106" i="37" s="1"/>
  <c r="C301" i="156"/>
  <c r="B106" i="37" s="1"/>
  <c r="E300" i="156"/>
  <c r="D105" i="37" s="1"/>
  <c r="C300" i="156"/>
  <c r="B105" i="37" s="1"/>
  <c r="E299" i="156"/>
  <c r="C299" i="156"/>
  <c r="B104" i="37" s="1"/>
  <c r="E278" i="156"/>
  <c r="D70" i="37" s="1"/>
  <c r="C278" i="156"/>
  <c r="B70" i="37" s="1"/>
  <c r="E275" i="156"/>
  <c r="D67" i="37" s="1"/>
  <c r="C275" i="156"/>
  <c r="B67" i="37" s="1"/>
  <c r="E274" i="156"/>
  <c r="D66" i="37" s="1"/>
  <c r="C274" i="156"/>
  <c r="B66" i="37" s="1"/>
  <c r="E273" i="156"/>
  <c r="D65" i="37" s="1"/>
  <c r="C273" i="156"/>
  <c r="B65" i="37" s="1"/>
  <c r="E272" i="156"/>
  <c r="C272" i="156"/>
  <c r="B64" i="37" s="1"/>
  <c r="D104" i="37" l="1"/>
  <c r="D64" i="37"/>
  <c r="D129" i="37"/>
  <c r="D258" i="37"/>
  <c r="B258" i="37"/>
  <c r="F344" i="156"/>
  <c r="E340" i="156"/>
  <c r="C340" i="156"/>
  <c r="C362" i="156" s="1"/>
  <c r="B152" i="37" s="1"/>
  <c r="E312" i="156"/>
  <c r="C312" i="156"/>
  <c r="E285" i="156"/>
  <c r="C285" i="156"/>
  <c r="E298" i="156" l="1"/>
  <c r="D103" i="37" s="1"/>
  <c r="E309" i="156"/>
  <c r="D114" i="37" s="1"/>
  <c r="E352" i="156"/>
  <c r="D142" i="37" s="1"/>
  <c r="E362" i="156"/>
  <c r="D152" i="37" s="1"/>
  <c r="E326" i="156"/>
  <c r="D128" i="37" s="1"/>
  <c r="C298" i="156"/>
  <c r="B103" i="37" s="1"/>
  <c r="C309" i="156"/>
  <c r="B114" i="37" s="1"/>
  <c r="E357" i="156"/>
  <c r="D147" i="37" s="1"/>
  <c r="E331" i="156"/>
  <c r="D133" i="37" s="1"/>
  <c r="E303" i="156"/>
  <c r="D108" i="37" s="1"/>
  <c r="C331" i="156"/>
  <c r="B133" i="37" s="1"/>
  <c r="C303" i="156"/>
  <c r="B108" i="37" s="1"/>
  <c r="C149" i="37"/>
  <c r="C326" i="156"/>
  <c r="B128" i="37" s="1"/>
  <c r="C352" i="156"/>
  <c r="B142" i="37" s="1"/>
  <c r="C357" i="156"/>
  <c r="B147" i="37" s="1"/>
  <c r="C130" i="37"/>
  <c r="C146" i="37"/>
  <c r="F343" i="156"/>
  <c r="F355" i="156" s="1"/>
  <c r="E145" i="37" s="1"/>
  <c r="C145" i="37"/>
  <c r="F341" i="156"/>
  <c r="F353" i="156" s="1"/>
  <c r="E143" i="37" s="1"/>
  <c r="C143" i="37"/>
  <c r="F342" i="156"/>
  <c r="F354" i="156" s="1"/>
  <c r="E144" i="37" s="1"/>
  <c r="C144" i="37"/>
  <c r="F315" i="156"/>
  <c r="F329" i="156" s="1"/>
  <c r="E131" i="37" s="1"/>
  <c r="C131" i="37"/>
  <c r="F316" i="156"/>
  <c r="F330" i="156" s="1"/>
  <c r="E132" i="37" s="1"/>
  <c r="C132" i="37"/>
  <c r="F313" i="156"/>
  <c r="F327" i="156" s="1"/>
  <c r="E129" i="37" s="1"/>
  <c r="C129" i="37"/>
  <c r="C135" i="37"/>
  <c r="F289" i="156"/>
  <c r="F302" i="156" s="1"/>
  <c r="E107" i="37" s="1"/>
  <c r="C107" i="37"/>
  <c r="F287" i="156"/>
  <c r="F300" i="156" s="1"/>
  <c r="E105" i="37" s="1"/>
  <c r="C105" i="37"/>
  <c r="F305" i="156"/>
  <c r="E110" i="37" s="1"/>
  <c r="C110" i="37"/>
  <c r="F286" i="156"/>
  <c r="F299" i="156" s="1"/>
  <c r="E104" i="37" s="1"/>
  <c r="C104" i="37"/>
  <c r="F288" i="156"/>
  <c r="F301" i="156" s="1"/>
  <c r="E106" i="37" s="1"/>
  <c r="C106" i="37"/>
  <c r="F356" i="156"/>
  <c r="E146" i="37" s="1"/>
  <c r="F359" i="156"/>
  <c r="E149" i="37" s="1"/>
  <c r="F314" i="156"/>
  <c r="F328" i="156" s="1"/>
  <c r="E130" i="37" s="1"/>
  <c r="F362" i="156" l="1"/>
  <c r="E152" i="37" s="1"/>
  <c r="C152" i="37"/>
  <c r="F333" i="156"/>
  <c r="E135" i="37" s="1"/>
  <c r="F331" i="156"/>
  <c r="E133" i="37" s="1"/>
  <c r="F309" i="156"/>
  <c r="E114" i="37" s="1"/>
  <c r="C114" i="37"/>
  <c r="B140" i="37"/>
  <c r="D140" i="37"/>
  <c r="C128" i="37"/>
  <c r="C108" i="37"/>
  <c r="C147" i="37"/>
  <c r="C103" i="37"/>
  <c r="C133" i="37"/>
  <c r="F340" i="156"/>
  <c r="F352" i="156" s="1"/>
  <c r="E142" i="37" s="1"/>
  <c r="C142" i="37"/>
  <c r="F357" i="156"/>
  <c r="E147" i="37" s="1"/>
  <c r="F312" i="156"/>
  <c r="F326" i="156" s="1"/>
  <c r="E128" i="37" s="1"/>
  <c r="F303" i="156"/>
  <c r="E108" i="37" s="1"/>
  <c r="F285" i="156"/>
  <c r="F298" i="156" s="1"/>
  <c r="E103" i="37" s="1"/>
  <c r="C140" i="37" l="1"/>
  <c r="E257" i="156" l="1"/>
  <c r="C257" i="156"/>
  <c r="F262" i="156" l="1"/>
  <c r="C65" i="37"/>
  <c r="C70" i="37"/>
  <c r="C66" i="37"/>
  <c r="C67" i="37"/>
  <c r="C64" i="37"/>
  <c r="C271" i="156"/>
  <c r="B63" i="37" s="1"/>
  <c r="E271" i="156"/>
  <c r="D63" i="37" s="1"/>
  <c r="C276" i="156"/>
  <c r="E276" i="156"/>
  <c r="D68" i="37" s="1"/>
  <c r="F261" i="156"/>
  <c r="F258" i="156"/>
  <c r="F259" i="156"/>
  <c r="F260" i="156"/>
  <c r="B68" i="37" l="1"/>
  <c r="C68" i="37"/>
  <c r="C63" i="37"/>
  <c r="F274" i="156"/>
  <c r="E66" i="37" s="1"/>
  <c r="F278" i="156"/>
  <c r="E70" i="37" s="1"/>
  <c r="F275" i="156"/>
  <c r="E67" i="37" s="1"/>
  <c r="F273" i="156"/>
  <c r="E65" i="37" s="1"/>
  <c r="F272" i="156"/>
  <c r="E64" i="37" s="1"/>
  <c r="F257" i="156"/>
  <c r="F276" i="156" l="1"/>
  <c r="E68" i="37" s="1"/>
  <c r="F271" i="156"/>
  <c r="E63" i="37" s="1"/>
  <c r="B12" i="37" l="1"/>
  <c r="B255" i="37" s="1"/>
  <c r="E244" i="156"/>
  <c r="C244" i="156"/>
  <c r="B11" i="37" s="1"/>
  <c r="B254" i="37" s="1"/>
  <c r="C243" i="156"/>
  <c r="B10" i="37" s="1"/>
  <c r="B253" i="37" s="1"/>
  <c r="E242" i="156"/>
  <c r="C242" i="156"/>
  <c r="B9" i="37" s="1"/>
  <c r="D12" i="37" l="1"/>
  <c r="D255" i="37" s="1"/>
  <c r="D11" i="37"/>
  <c r="D254" i="37" s="1"/>
  <c r="D10" i="37"/>
  <c r="D253" i="37" s="1"/>
  <c r="D9" i="37"/>
  <c r="D252" i="37" s="1"/>
  <c r="E232" i="156" l="1"/>
  <c r="C232" i="156"/>
  <c r="E223" i="156"/>
  <c r="C223" i="156"/>
  <c r="F224" i="156" l="1"/>
  <c r="F225" i="156"/>
  <c r="F234" i="156"/>
  <c r="F233" i="156"/>
  <c r="F232" i="156" l="1"/>
  <c r="F223" i="156"/>
  <c r="E201" i="156" l="1"/>
  <c r="C201" i="156"/>
  <c r="E177" i="156"/>
  <c r="C177" i="156"/>
  <c r="C170" i="156"/>
  <c r="C246" i="156" s="1"/>
  <c r="B13" i="37" s="1"/>
  <c r="B256" i="37" s="1"/>
  <c r="C167" i="156"/>
  <c r="E157" i="156"/>
  <c r="C157" i="156"/>
  <c r="F161" i="156" l="1"/>
  <c r="F178" i="156"/>
  <c r="F181" i="156"/>
  <c r="F158" i="156"/>
  <c r="F179" i="156"/>
  <c r="F202" i="156"/>
  <c r="F159" i="156"/>
  <c r="F171" i="156"/>
  <c r="F203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6" i="156"/>
  <c r="F118" i="156"/>
  <c r="C253" i="156"/>
  <c r="B20" i="37" s="1"/>
  <c r="F55" i="156"/>
  <c r="F54" i="156"/>
  <c r="F160" i="156"/>
  <c r="F151" i="156"/>
  <c r="F150" i="156"/>
  <c r="F130" i="156"/>
  <c r="C241" i="156"/>
  <c r="B8" i="37" s="1"/>
  <c r="B251" i="37" s="1"/>
  <c r="E253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201" i="156"/>
  <c r="F64" i="156"/>
  <c r="F90" i="156"/>
  <c r="F127" i="156"/>
  <c r="F148" i="156"/>
  <c r="F180" i="156"/>
  <c r="F52" i="156"/>
  <c r="F104" i="156"/>
  <c r="F139" i="156"/>
  <c r="F149" i="156"/>
  <c r="F177" i="156"/>
  <c r="F157" i="156"/>
  <c r="F103" i="156"/>
  <c r="F91" i="156"/>
  <c r="F44" i="156"/>
  <c r="F41" i="156"/>
  <c r="C11" i="37" l="1"/>
  <c r="F244" i="156"/>
  <c r="E11" i="37" s="1"/>
  <c r="C12" i="37"/>
  <c r="F245" i="156"/>
  <c r="E12" i="37" s="1"/>
  <c r="C15" i="37"/>
  <c r="F248" i="156"/>
  <c r="C14" i="37"/>
  <c r="F247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C255" i="37"/>
  <c r="C258" i="37"/>
  <c r="C254" i="37"/>
  <c r="F246" i="156"/>
  <c r="E13" i="37" s="1"/>
  <c r="E241" i="156"/>
  <c r="D8" i="37" s="1"/>
  <c r="D251" i="37" s="1"/>
  <c r="F32" i="156"/>
  <c r="F31" i="156"/>
  <c r="E254" i="37" l="1"/>
  <c r="E257" i="37"/>
  <c r="E258" i="37"/>
  <c r="E255" i="37"/>
  <c r="F30" i="156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3" i="156"/>
  <c r="E10" i="37" s="1"/>
  <c r="C9" i="37"/>
  <c r="F242" i="156"/>
  <c r="E9" i="37" s="1"/>
  <c r="F253" i="156"/>
  <c r="E20" i="37" s="1"/>
  <c r="C20" i="37"/>
  <c r="C8" i="37"/>
  <c r="F187" i="156"/>
  <c r="C251" i="37" l="1"/>
  <c r="C252" i="37"/>
  <c r="C253" i="37"/>
  <c r="F241" i="156"/>
  <c r="E8" i="37" s="1"/>
  <c r="E253" i="37" l="1"/>
  <c r="E252" i="37"/>
  <c r="E251" i="37"/>
  <c r="E241" i="37"/>
  <c r="C209" i="157" l="1"/>
  <c r="B101" i="37" s="1"/>
  <c r="D190" i="157" l="1"/>
  <c r="F190" i="157" l="1"/>
  <c r="F203" i="157" s="1"/>
  <c r="E95" i="37" s="1"/>
  <c r="D203" i="157"/>
  <c r="C95" i="37" s="1"/>
  <c r="C256" i="37" l="1"/>
  <c r="F209" i="157"/>
  <c r="E101" i="37" s="1"/>
  <c r="D209" i="157"/>
  <c r="C101" i="37" s="1"/>
  <c r="E256" i="37" l="1"/>
  <c r="H147" i="156"/>
  <c r="H154" i="156" l="1"/>
  <c r="J147" i="156"/>
  <c r="J154" i="156" l="1"/>
  <c r="G246" i="156" l="1"/>
  <c r="F13" i="37" s="1"/>
  <c r="F256" i="37" s="1"/>
  <c r="G247" i="156"/>
  <c r="F14" i="37" s="1"/>
  <c r="F257" i="37" s="1"/>
  <c r="G242" i="156"/>
  <c r="F9" i="37" s="1"/>
  <c r="F252" i="37" s="1"/>
  <c r="H247" i="156"/>
  <c r="F10" i="37"/>
  <c r="F253" i="37" s="1"/>
  <c r="G115" i="156"/>
  <c r="J116" i="156"/>
  <c r="J117" i="156" l="1"/>
  <c r="H243" i="156"/>
  <c r="G241" i="156"/>
  <c r="F8" i="37" s="1"/>
  <c r="F251" i="37" s="1"/>
  <c r="G122" i="156"/>
  <c r="G253" i="156" s="1"/>
  <c r="F20" i="37" s="1"/>
  <c r="F250" i="37" s="1"/>
  <c r="H115" i="156"/>
  <c r="J247" i="156"/>
  <c r="I14" i="37" s="1"/>
  <c r="G14" i="37"/>
  <c r="J119" i="156"/>
  <c r="H242" i="156"/>
  <c r="H118" i="156"/>
  <c r="G257" i="37" l="1"/>
  <c r="H122" i="156"/>
  <c r="J115" i="156"/>
  <c r="H241" i="156"/>
  <c r="G9" i="37"/>
  <c r="J242" i="156"/>
  <c r="I9" i="37" s="1"/>
  <c r="G10" i="37"/>
  <c r="J243" i="156"/>
  <c r="I10" i="37" s="1"/>
  <c r="J118" i="156"/>
  <c r="H246" i="156"/>
  <c r="I257" i="37" l="1"/>
  <c r="G252" i="37"/>
  <c r="G253" i="37"/>
  <c r="J241" i="156"/>
  <c r="I8" i="37" s="1"/>
  <c r="G8" i="37"/>
  <c r="J122" i="156"/>
  <c r="H253" i="156"/>
  <c r="J246" i="156"/>
  <c r="I13" i="37" s="1"/>
  <c r="G13" i="37"/>
  <c r="I253" i="37" l="1"/>
  <c r="I252" i="37"/>
  <c r="G256" i="37"/>
  <c r="G251" i="37"/>
  <c r="J253" i="156"/>
  <c r="I20" i="37" s="1"/>
  <c r="G20" i="37"/>
  <c r="F127" i="157"/>
  <c r="F141" i="157" s="1"/>
  <c r="E47" i="37" s="1"/>
  <c r="E141" i="157"/>
  <c r="D47" i="37" s="1"/>
  <c r="D261" i="37" l="1"/>
  <c r="E261" i="37" s="1"/>
  <c r="I256" i="37"/>
  <c r="I251" i="37"/>
  <c r="G250" i="37"/>
  <c r="I262" i="37" l="1"/>
  <c r="I250" i="37"/>
</calcChain>
</file>

<file path=xl/sharedStrings.xml><?xml version="1.0" encoding="utf-8"?>
<sst xmlns="http://schemas.openxmlformats.org/spreadsheetml/2006/main" count="1064" uniqueCount="139">
  <si>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</si>
  <si>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</si>
  <si>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</si>
  <si>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</si>
  <si>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</si>
  <si>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</si>
  <si>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</si>
  <si>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</si>
  <si>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</si>
  <si>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</si>
  <si>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</si>
  <si>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</si>
  <si>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</si>
  <si>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</si>
  <si>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</si>
  <si>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</si>
  <si>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</si>
  <si>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</si>
  <si>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</si>
  <si>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</si>
  <si>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</si>
  <si>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</si>
  <si>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</si>
  <si>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</si>
  <si>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</si>
  <si>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</si>
  <si>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</si>
  <si>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</si>
  <si>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</si>
  <si>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</si>
  <si>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</si>
  <si>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</si>
  <si>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</si>
  <si>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</si>
  <si>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</si>
  <si>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</si>
  <si>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</si>
  <si>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</si>
  <si>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</si>
  <si>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</si>
  <si>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</si>
  <si>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</si>
  <si>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</si>
  <si>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</si>
  <si>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</si>
  <si>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</si>
  <si>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</si>
  <si>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</si>
  <si>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</si>
  <si>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</si>
  <si>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</si>
  <si>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</si>
  <si>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</si>
  <si>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</si>
  <si>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</si>
  <si>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</si>
  <si>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</si>
  <si>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</si>
  <si>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</si>
  <si>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</si>
  <si>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</si>
  <si>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</si>
  <si>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</si>
  <si>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</si>
  <si>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</si>
  <si>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</si>
  <si>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</si>
  <si>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</si>
  <si>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</si>
  <si>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</si>
  <si>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</si>
  <si>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</si>
  <si>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</si>
  <si>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</si>
  <si>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</si>
  <si>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</si>
  <si>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</si>
  <si>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</si>
  <si>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</si>
  <si>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</si>
  <si>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</si>
  <si>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</si>
  <si>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</si>
  <si>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</si>
  <si>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</si>
  <si>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</si>
  <si>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</si>
  <si>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</si>
  <si>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</si>
  <si>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</si>
  <si>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</si>
  <si>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</si>
  <si>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</si>
  <si>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</si>
  <si>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</si>
  <si>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</si>
  <si>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</si>
  <si>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</si>
  <si>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</si>
  <si>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</si>
  <si>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</si>
  <si>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</si>
  <si>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</si>
  <si>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</si>
  <si>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</si>
  <si>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</si>
  <si>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</si>
  <si>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</si>
  <si>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</si>
  <si>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</si>
  <si>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</si>
  <si>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</si>
  <si>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</si>
  <si>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</si>
  <si>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</si>
  <si>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</si>
  <si>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</si>
  <si>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</si>
  <si>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</si>
  <si>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</si>
  <si>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</si>
  <si>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</si>
  <si>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</si>
  <si>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</si>
  <si>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</si>
  <si>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</si>
  <si>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</si>
  <si>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27. Хабаровская поликлиника ФГБУЗ ДВОМЦ ФМБА России 6341001</t>
  </si>
  <si>
    <t>План 2018 (законченный случай)</t>
  </si>
  <si>
    <t>План 2018 (тыс.руб)</t>
  </si>
  <si>
    <t>1.2.3. диспансеризация детей-сирот, находящихся в стационарных учреждениях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</si>
  <si>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2018</t>
  </si>
  <si>
    <t>План 5 мес. 2018 г. (законченный случай)</t>
  </si>
  <si>
    <t>План 5 мес. 2018 г. (тыс.руб)</t>
  </si>
  <si>
    <t>План 5 мес.. 2018 г. (законченный случай)</t>
  </si>
  <si>
    <t>План 5 мес.. 2018 г. (тыс.руб)</t>
  </si>
  <si>
    <t xml:space="preserve">План 5 мес.. 2018 г. (законченный случай) 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</si>
  <si>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2018 (профилактические мероприятия и неотложная помощь)</t>
  </si>
  <si>
    <t>План 5 мес. 2018 (законченный случай)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</si>
</sst>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.000_ ;\-#,##0.0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559">
    <xf numFmtId="0" fontId="0" fillId="0" borderId="0" xfId="0"/>
    <xf numFmtId="0" fontId="6" fillId="0" borderId="0" xfId="1" applyFont="1" applyFill="1"/>
    <xf numFmtId="0" fontId="11" fillId="0" borderId="0" xfId="1" applyFont="1" applyFill="1"/>
    <xf numFmtId="0" fontId="11" fillId="0" borderId="0" xfId="1" applyFont="1" applyFill="1" applyBorder="1"/>
    <xf numFmtId="0" fontId="6" fillId="0" borderId="10" xfId="1" applyFont="1" applyFill="1" applyBorder="1"/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164" fontId="6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4" fillId="0" borderId="1" xfId="1" applyFont="1" applyFill="1" applyBorder="1"/>
    <xf numFmtId="0" fontId="16" fillId="0" borderId="0" xfId="1" applyFont="1" applyFill="1" applyBorder="1"/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3" fontId="8" fillId="0" borderId="10" xfId="2" applyNumberFormat="1" applyFont="1" applyFill="1" applyBorder="1" applyAlignment="1">
      <alignment horizontal="center" vertical="center"/>
    </xf>
    <xf numFmtId="164" fontId="11" fillId="0" borderId="13" xfId="1" applyNumberFormat="1" applyFont="1" applyFill="1" applyBorder="1"/>
    <xf numFmtId="164" fontId="16" fillId="0" borderId="0" xfId="1" applyNumberFormat="1" applyFont="1" applyFill="1" applyBorder="1"/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2" borderId="14" xfId="1" applyNumberFormat="1" applyFont="1" applyFill="1" applyBorder="1"/>
    <xf numFmtId="164" fontId="16" fillId="2" borderId="0" xfId="1" applyNumberFormat="1" applyFont="1" applyFill="1" applyBorder="1"/>
    <xf numFmtId="0" fontId="16" fillId="2" borderId="0" xfId="1" applyFont="1" applyFill="1" applyBorder="1"/>
    <xf numFmtId="164" fontId="9" fillId="2" borderId="10" xfId="1" applyNumberFormat="1" applyFont="1" applyFill="1" applyBorder="1"/>
    <xf numFmtId="0" fontId="11" fillId="2" borderId="2" xfId="1" applyFont="1" applyFill="1" applyBorder="1" applyAlignment="1">
      <alignment horizontal="left" indent="1"/>
    </xf>
    <xf numFmtId="164" fontId="8" fillId="2" borderId="10" xfId="1" applyNumberFormat="1" applyFont="1" applyFill="1" applyBorder="1"/>
    <xf numFmtId="0" fontId="11" fillId="2" borderId="10" xfId="1" applyFont="1" applyFill="1" applyBorder="1" applyAlignment="1">
      <alignment horizontal="left" indent="1"/>
    </xf>
    <xf numFmtId="164" fontId="6" fillId="2" borderId="10" xfId="2" applyNumberFormat="1" applyFont="1" applyFill="1" applyBorder="1"/>
    <xf numFmtId="164" fontId="11" fillId="2" borderId="14" xfId="1" applyNumberFormat="1" applyFont="1" applyFill="1" applyBorder="1" applyAlignment="1">
      <alignment horizontal="center"/>
    </xf>
    <xf numFmtId="164" fontId="11" fillId="2" borderId="10" xfId="2" applyNumberFormat="1" applyFont="1" applyFill="1" applyBorder="1"/>
    <xf numFmtId="0" fontId="6" fillId="2" borderId="10" xfId="0" applyFont="1" applyFill="1" applyBorder="1" applyAlignment="1">
      <alignment horizontal="left" wrapText="1" indent="2"/>
    </xf>
    <xf numFmtId="164" fontId="6" fillId="2" borderId="10" xfId="1" applyNumberFormat="1" applyFont="1" applyFill="1" applyBorder="1"/>
    <xf numFmtId="164" fontId="11" fillId="2" borderId="13" xfId="1" applyNumberFormat="1" applyFont="1" applyFill="1" applyBorder="1"/>
    <xf numFmtId="164" fontId="11" fillId="2" borderId="10" xfId="1" applyNumberFormat="1" applyFont="1" applyFill="1" applyBorder="1"/>
    <xf numFmtId="164" fontId="15" fillId="2" borderId="10" xfId="1" applyNumberFormat="1" applyFont="1" applyFill="1" applyBorder="1"/>
    <xf numFmtId="0" fontId="16" fillId="2" borderId="10" xfId="1" applyFont="1" applyFill="1" applyBorder="1"/>
    <xf numFmtId="0" fontId="6" fillId="2" borderId="10" xfId="1" applyFont="1" applyFill="1" applyBorder="1"/>
    <xf numFmtId="164" fontId="6" fillId="2" borderId="10" xfId="1" applyNumberFormat="1" applyFont="1" applyFill="1" applyBorder="1" applyAlignment="1">
      <alignment horizontal="right"/>
    </xf>
    <xf numFmtId="0" fontId="25" fillId="2" borderId="0" xfId="1" applyFont="1" applyFill="1" applyAlignment="1">
      <alignment horizontal="center"/>
    </xf>
    <xf numFmtId="0" fontId="6" fillId="2" borderId="2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/>
    </xf>
    <xf numFmtId="164" fontId="7" fillId="2" borderId="2" xfId="1" applyNumberFormat="1" applyFont="1" applyFill="1" applyBorder="1"/>
    <xf numFmtId="164" fontId="11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center"/>
    </xf>
    <xf numFmtId="164" fontId="6" fillId="2" borderId="2" xfId="1" applyNumberFormat="1" applyFont="1" applyFill="1" applyBorder="1"/>
    <xf numFmtId="164" fontId="6" fillId="2" borderId="4" xfId="1" applyNumberFormat="1" applyFont="1" applyFill="1" applyBorder="1"/>
    <xf numFmtId="164" fontId="6" fillId="2" borderId="14" xfId="1" applyNumberFormat="1" applyFont="1" applyFill="1" applyBorder="1"/>
    <xf numFmtId="164" fontId="11" fillId="2" borderId="14" xfId="1" applyNumberFormat="1" applyFont="1" applyFill="1" applyBorder="1"/>
    <xf numFmtId="171" fontId="6" fillId="2" borderId="10" xfId="2" applyNumberFormat="1" applyFont="1" applyFill="1" applyBorder="1"/>
    <xf numFmtId="2" fontId="16" fillId="2" borderId="2" xfId="1" applyNumberFormat="1" applyFont="1" applyFill="1" applyBorder="1" applyAlignment="1">
      <alignment horizontal="center"/>
    </xf>
    <xf numFmtId="164" fontId="11" fillId="2" borderId="7" xfId="1" applyNumberFormat="1" applyFont="1" applyFill="1" applyBorder="1"/>
    <xf numFmtId="0" fontId="6" fillId="2" borderId="14" xfId="1" applyFont="1" applyFill="1" applyBorder="1"/>
    <xf numFmtId="164" fontId="11" fillId="2" borderId="10" xfId="1" applyNumberFormat="1" applyFont="1" applyFill="1" applyBorder="1" applyAlignment="1">
      <alignment horizontal="center" wrapText="1"/>
    </xf>
    <xf numFmtId="0" fontId="16" fillId="2" borderId="0" xfId="1" applyFont="1" applyFill="1"/>
    <xf numFmtId="0" fontId="6" fillId="0" borderId="0" xfId="1" applyFont="1" applyFill="1" applyAlignment="1">
      <alignment horizontal="left"/>
    </xf>
    <xf numFmtId="0" fontId="6" fillId="2" borderId="0" xfId="1" applyFont="1" applyFill="1"/>
    <xf numFmtId="164" fontId="6" fillId="2" borderId="10" xfId="1" applyNumberFormat="1" applyFont="1" applyFill="1" applyBorder="1" applyAlignment="1">
      <alignment horizontal="center"/>
    </xf>
    <xf numFmtId="164" fontId="7" fillId="2" borderId="14" xfId="3" applyNumberFormat="1" applyFont="1" applyFill="1" applyBorder="1" applyAlignment="1">
      <alignment horizontal="center"/>
    </xf>
    <xf numFmtId="164" fontId="9" fillId="2" borderId="10" xfId="3" applyNumberFormat="1" applyFont="1" applyFill="1" applyBorder="1" applyAlignment="1">
      <alignment horizontal="center"/>
    </xf>
    <xf numFmtId="164" fontId="9" fillId="2" borderId="14" xfId="3" applyNumberFormat="1" applyFont="1" applyFill="1" applyBorder="1" applyAlignment="1">
      <alignment horizontal="center"/>
    </xf>
    <xf numFmtId="164" fontId="7" fillId="2" borderId="10" xfId="3" applyNumberFormat="1" applyFont="1" applyFill="1" applyBorder="1" applyAlignment="1">
      <alignment horizontal="center"/>
    </xf>
    <xf numFmtId="0" fontId="7" fillId="2" borderId="14" xfId="1" applyFont="1" applyFill="1" applyBorder="1"/>
    <xf numFmtId="164" fontId="7" fillId="2" borderId="14" xfId="3" applyNumberFormat="1" applyFont="1" applyFill="1" applyBorder="1"/>
    <xf numFmtId="0" fontId="11" fillId="2" borderId="10" xfId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right"/>
    </xf>
    <xf numFmtId="171" fontId="15" fillId="2" borderId="2" xfId="1" applyNumberFormat="1" applyFont="1" applyFill="1" applyBorder="1"/>
    <xf numFmtId="0" fontId="6" fillId="2" borderId="10" xfId="1" applyFont="1" applyFill="1" applyBorder="1" applyAlignment="1">
      <alignment wrapText="1"/>
    </xf>
    <xf numFmtId="171" fontId="6" fillId="2" borderId="2" xfId="2" applyNumberFormat="1" applyFont="1" applyFill="1" applyBorder="1"/>
    <xf numFmtId="0" fontId="6" fillId="2" borderId="10" xfId="1" applyFont="1" applyFill="1" applyBorder="1" applyAlignment="1">
      <alignment horizontal="center"/>
    </xf>
    <xf numFmtId="164" fontId="11" fillId="2" borderId="2" xfId="1" applyNumberFormat="1" applyFont="1" applyFill="1" applyBorder="1"/>
    <xf numFmtId="0" fontId="11" fillId="2" borderId="2" xfId="1" applyFont="1" applyFill="1" applyBorder="1" applyAlignment="1">
      <alignment horizontal="center"/>
    </xf>
    <xf numFmtId="164" fontId="6" fillId="2" borderId="12" xfId="2" applyNumberFormat="1" applyFont="1" applyFill="1" applyBorder="1"/>
    <xf numFmtId="0" fontId="6" fillId="2" borderId="0" xfId="1" applyFont="1" applyFill="1" applyBorder="1"/>
    <xf numFmtId="164" fontId="7" fillId="2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2" borderId="10" xfId="1" applyFont="1" applyFill="1" applyBorder="1" applyAlignment="1">
      <alignment wrapText="1"/>
    </xf>
    <xf numFmtId="0" fontId="6" fillId="2" borderId="2" xfId="1" applyFont="1" applyFill="1" applyBorder="1" applyAlignment="1">
      <alignment horizontal="center"/>
    </xf>
    <xf numFmtId="0" fontId="9" fillId="2" borderId="0" xfId="0" applyFont="1" applyFill="1"/>
    <xf numFmtId="164" fontId="7" fillId="2" borderId="10" xfId="1" applyNumberFormat="1" applyFont="1" applyFill="1" applyBorder="1" applyAlignment="1">
      <alignment horizontal="center" vertical="center" wrapText="1"/>
    </xf>
    <xf numFmtId="3" fontId="7" fillId="2" borderId="10" xfId="2" applyNumberFormat="1" applyFont="1" applyFill="1" applyBorder="1" applyAlignment="1">
      <alignment horizontal="center" vertical="center"/>
    </xf>
    <xf numFmtId="164" fontId="9" fillId="2" borderId="10" xfId="1" applyNumberFormat="1" applyFont="1" applyFill="1" applyBorder="1" applyAlignment="1">
      <alignment vertical="center" wrapText="1"/>
    </xf>
    <xf numFmtId="164" fontId="7" fillId="2" borderId="13" xfId="1" applyNumberFormat="1" applyFont="1" applyFill="1" applyBorder="1" applyAlignment="1">
      <alignment vertical="center" wrapText="1"/>
    </xf>
    <xf numFmtId="164" fontId="9" fillId="2" borderId="10" xfId="1" applyNumberFormat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left"/>
    </xf>
    <xf numFmtId="0" fontId="13" fillId="2" borderId="10" xfId="0" applyFont="1" applyFill="1" applyBorder="1" applyAlignment="1">
      <alignment horizontal="left" wrapText="1" indent="2"/>
    </xf>
    <xf numFmtId="2" fontId="9" fillId="2" borderId="10" xfId="0" applyNumberFormat="1" applyFont="1" applyFill="1" applyBorder="1" applyAlignment="1">
      <alignment horizontal="left" wrapText="1" indent="2"/>
    </xf>
    <xf numFmtId="0" fontId="15" fillId="0" borderId="6" xfId="1" applyFont="1" applyFill="1" applyBorder="1" applyAlignment="1">
      <alignment horizontal="left"/>
    </xf>
    <xf numFmtId="0" fontId="11" fillId="2" borderId="13" xfId="11" applyFont="1" applyFill="1" applyBorder="1" applyAlignment="1" applyProtection="1">
      <alignment wrapText="1"/>
    </xf>
    <xf numFmtId="0" fontId="7" fillId="2" borderId="13" xfId="1" applyFont="1" applyFill="1" applyBorder="1" applyAlignment="1">
      <alignment horizontal="left"/>
    </xf>
    <xf numFmtId="164" fontId="6" fillId="2" borderId="14" xfId="1" applyNumberFormat="1" applyFont="1" applyFill="1" applyBorder="1" applyAlignment="1">
      <alignment horizontal="right"/>
    </xf>
    <xf numFmtId="171" fontId="15" fillId="2" borderId="16" xfId="2" applyNumberFormat="1" applyFont="1" applyFill="1" applyBorder="1"/>
    <xf numFmtId="171" fontId="9" fillId="4" borderId="10" xfId="2" applyNumberFormat="1" applyFont="1" applyFill="1" applyBorder="1"/>
    <xf numFmtId="0" fontId="13" fillId="4" borderId="10" xfId="0" applyFont="1" applyFill="1" applyBorder="1" applyAlignment="1">
      <alignment horizontal="left" wrapText="1" indent="2"/>
    </xf>
    <xf numFmtId="0" fontId="6" fillId="4" borderId="10" xfId="0" applyFont="1" applyFill="1" applyBorder="1" applyAlignment="1">
      <alignment horizontal="left" wrapText="1" indent="2"/>
    </xf>
    <xf numFmtId="0" fontId="7" fillId="2" borderId="0" xfId="0" applyFont="1" applyFill="1"/>
    <xf numFmtId="164" fontId="7" fillId="2" borderId="0" xfId="0" applyNumberFormat="1" applyFont="1" applyFill="1"/>
    <xf numFmtId="3" fontId="18" fillId="2" borderId="13" xfId="2" applyNumberFormat="1" applyFont="1" applyFill="1" applyBorder="1" applyAlignment="1">
      <alignment horizontal="center" vertical="center"/>
    </xf>
    <xf numFmtId="168" fontId="18" fillId="2" borderId="13" xfId="2" applyNumberFormat="1" applyFont="1" applyFill="1" applyBorder="1" applyAlignment="1">
      <alignment horizontal="center" vertical="center"/>
    </xf>
    <xf numFmtId="168" fontId="7" fillId="2" borderId="10" xfId="2" applyNumberFormat="1" applyFont="1" applyFill="1" applyBorder="1" applyAlignment="1">
      <alignment horizontal="center" vertical="center"/>
    </xf>
    <xf numFmtId="3" fontId="9" fillId="2" borderId="10" xfId="2" applyNumberFormat="1" applyFont="1" applyFill="1" applyBorder="1" applyAlignment="1">
      <alignment horizontal="center" vertical="center"/>
    </xf>
    <xf numFmtId="168" fontId="9" fillId="2" borderId="10" xfId="2" applyNumberFormat="1" applyFont="1" applyFill="1" applyBorder="1" applyAlignment="1">
      <alignment horizontal="center" vertical="center"/>
    </xf>
    <xf numFmtId="171" fontId="11" fillId="2" borderId="2" xfId="1" applyNumberFormat="1" applyFont="1" applyFill="1" applyBorder="1"/>
    <xf numFmtId="3" fontId="9" fillId="2" borderId="10" xfId="2" applyNumberFormat="1" applyFont="1" applyFill="1" applyBorder="1" applyAlignment="1">
      <alignment horizontal="center" vertical="center" wrapText="1"/>
    </xf>
    <xf numFmtId="168" fontId="9" fillId="2" borderId="10" xfId="2" applyNumberFormat="1" applyFont="1" applyFill="1" applyBorder="1" applyAlignment="1">
      <alignment horizontal="center" vertical="center" wrapText="1"/>
    </xf>
    <xf numFmtId="3" fontId="8" fillId="2" borderId="10" xfId="2" applyNumberFormat="1" applyFont="1" applyFill="1" applyBorder="1" applyAlignment="1">
      <alignment horizontal="center" vertical="center"/>
    </xf>
    <xf numFmtId="168" fontId="8" fillId="2" borderId="10" xfId="2" applyNumberFormat="1" applyFont="1" applyFill="1" applyBorder="1" applyAlignment="1">
      <alignment horizontal="center" vertical="center"/>
    </xf>
    <xf numFmtId="164" fontId="8" fillId="2" borderId="10" xfId="1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/>
    <xf numFmtId="164" fontId="11" fillId="2" borderId="1" xfId="1" applyNumberFormat="1" applyFont="1" applyFill="1" applyBorder="1"/>
    <xf numFmtId="0" fontId="6" fillId="2" borderId="12" xfId="0" applyFont="1" applyFill="1" applyBorder="1" applyAlignment="1">
      <alignment horizontal="left" wrapText="1" indent="2"/>
    </xf>
    <xf numFmtId="0" fontId="11" fillId="2" borderId="6" xfId="1" applyFont="1" applyFill="1" applyBorder="1"/>
    <xf numFmtId="0" fontId="6" fillId="0" borderId="5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164" fontId="9" fillId="2" borderId="12" xfId="1" applyNumberFormat="1" applyFont="1" applyFill="1" applyBorder="1"/>
    <xf numFmtId="0" fontId="11" fillId="2" borderId="11" xfId="11" applyFont="1" applyFill="1" applyBorder="1" applyAlignment="1" applyProtection="1">
      <alignment wrapText="1"/>
    </xf>
    <xf numFmtId="0" fontId="6" fillId="4" borderId="12" xfId="0" applyFont="1" applyFill="1" applyBorder="1" applyAlignment="1">
      <alignment horizontal="left" wrapText="1" indent="2"/>
    </xf>
    <xf numFmtId="0" fontId="6" fillId="3" borderId="14" xfId="0" applyFont="1" applyFill="1" applyBorder="1" applyAlignment="1">
      <alignment horizontal="left" wrapText="1" indent="2"/>
    </xf>
    <xf numFmtId="164" fontId="9" fillId="3" borderId="14" xfId="1" applyNumberFormat="1" applyFont="1" applyFill="1" applyBorder="1"/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2" borderId="0" xfId="2" applyNumberFormat="1" applyFont="1" applyFill="1" applyBorder="1"/>
    <xf numFmtId="164" fontId="6" fillId="2" borderId="28" xfId="2" applyNumberFormat="1" applyFont="1" applyFill="1" applyBorder="1"/>
    <xf numFmtId="164" fontId="11" fillId="0" borderId="6" xfId="2" applyNumberFormat="1" applyFont="1" applyFill="1" applyBorder="1"/>
    <xf numFmtId="172" fontId="25" fillId="2" borderId="0" xfId="1" applyNumberFormat="1" applyFont="1" applyFill="1" applyAlignment="1">
      <alignment horizontal="center"/>
    </xf>
    <xf numFmtId="172" fontId="6" fillId="2" borderId="5" xfId="1" applyNumberFormat="1" applyFont="1" applyFill="1" applyBorder="1" applyAlignment="1">
      <alignment horizontal="center" vertical="center" wrapText="1"/>
    </xf>
    <xf numFmtId="172" fontId="6" fillId="2" borderId="2" xfId="1" applyNumberFormat="1" applyFont="1" applyFill="1" applyBorder="1" applyAlignment="1">
      <alignment horizontal="center" vertical="center" wrapText="1"/>
    </xf>
    <xf numFmtId="172" fontId="6" fillId="2" borderId="10" xfId="1" applyNumberFormat="1" applyFont="1" applyFill="1" applyBorder="1" applyAlignment="1">
      <alignment horizontal="center"/>
    </xf>
    <xf numFmtId="172" fontId="7" fillId="2" borderId="14" xfId="1" applyNumberFormat="1" applyFont="1" applyFill="1" applyBorder="1"/>
    <xf numFmtId="172" fontId="6" fillId="2" borderId="2" xfId="1" applyNumberFormat="1" applyFont="1" applyFill="1" applyBorder="1"/>
    <xf numFmtId="172" fontId="6" fillId="2" borderId="10" xfId="2" applyNumberFormat="1" applyFont="1" applyFill="1" applyBorder="1"/>
    <xf numFmtId="172" fontId="6" fillId="2" borderId="4" xfId="2" applyNumberFormat="1" applyFont="1" applyFill="1" applyBorder="1"/>
    <xf numFmtId="172" fontId="6" fillId="2" borderId="10" xfId="1" applyNumberFormat="1" applyFont="1" applyFill="1" applyBorder="1"/>
    <xf numFmtId="172" fontId="11" fillId="2" borderId="10" xfId="1" applyNumberFormat="1" applyFont="1" applyFill="1" applyBorder="1" applyAlignment="1">
      <alignment horizontal="right"/>
    </xf>
    <xf numFmtId="172" fontId="6" fillId="2" borderId="10" xfId="1" applyNumberFormat="1" applyFont="1" applyFill="1" applyBorder="1" applyAlignment="1">
      <alignment horizontal="right"/>
    </xf>
    <xf numFmtId="172" fontId="11" fillId="2" borderId="14" xfId="1" applyNumberFormat="1" applyFont="1" applyFill="1" applyBorder="1" applyAlignment="1">
      <alignment horizontal="right"/>
    </xf>
    <xf numFmtId="172" fontId="11" fillId="2" borderId="14" xfId="1" applyNumberFormat="1" applyFont="1" applyFill="1" applyBorder="1"/>
    <xf numFmtId="172" fontId="11" fillId="2" borderId="10" xfId="1" applyNumberFormat="1" applyFont="1" applyFill="1" applyBorder="1"/>
    <xf numFmtId="172" fontId="6" fillId="2" borderId="14" xfId="2" applyNumberFormat="1" applyFont="1" applyFill="1" applyBorder="1"/>
    <xf numFmtId="172" fontId="7" fillId="2" borderId="14" xfId="2" applyNumberFormat="1" applyFont="1" applyFill="1" applyBorder="1"/>
    <xf numFmtId="172" fontId="6" fillId="2" borderId="2" xfId="1" applyNumberFormat="1" applyFont="1" applyFill="1" applyBorder="1" applyAlignment="1">
      <alignment horizontal="center"/>
    </xf>
    <xf numFmtId="172" fontId="6" fillId="2" borderId="12" xfId="1" applyNumberFormat="1" applyFont="1" applyFill="1" applyBorder="1" applyAlignment="1">
      <alignment horizontal="center"/>
    </xf>
    <xf numFmtId="172" fontId="6" fillId="2" borderId="1" xfId="1" applyNumberFormat="1" applyFont="1" applyFill="1" applyBorder="1"/>
    <xf numFmtId="172" fontId="16" fillId="2" borderId="2" xfId="1" applyNumberFormat="1" applyFont="1" applyFill="1" applyBorder="1" applyAlignment="1">
      <alignment horizontal="center"/>
    </xf>
    <xf numFmtId="172" fontId="15" fillId="2" borderId="20" xfId="2" applyNumberFormat="1" applyFont="1" applyFill="1" applyBorder="1"/>
    <xf numFmtId="172" fontId="6" fillId="2" borderId="14" xfId="1" applyNumberFormat="1" applyFont="1" applyFill="1" applyBorder="1"/>
    <xf numFmtId="172" fontId="11" fillId="2" borderId="10" xfId="1" applyNumberFormat="1" applyFont="1" applyFill="1" applyBorder="1" applyAlignment="1">
      <alignment horizontal="center"/>
    </xf>
    <xf numFmtId="172" fontId="11" fillId="2" borderId="1" xfId="1" applyNumberFormat="1" applyFont="1" applyFill="1" applyBorder="1"/>
    <xf numFmtId="172" fontId="16" fillId="2" borderId="0" xfId="1" applyNumberFormat="1" applyFont="1" applyFill="1"/>
    <xf numFmtId="172" fontId="16" fillId="2" borderId="0" xfId="1" applyNumberFormat="1" applyFont="1" applyFill="1" applyBorder="1"/>
    <xf numFmtId="172" fontId="6" fillId="2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64" fontId="6" fillId="2" borderId="12" xfId="1" applyNumberFormat="1" applyFont="1" applyFill="1" applyBorder="1"/>
    <xf numFmtId="164" fontId="6" fillId="2" borderId="6" xfId="1" applyNumberFormat="1" applyFont="1" applyFill="1" applyBorder="1"/>
    <xf numFmtId="172" fontId="7" fillId="2" borderId="24" xfId="1" applyNumberFormat="1" applyFont="1" applyFill="1" applyBorder="1"/>
    <xf numFmtId="164" fontId="6" fillId="2" borderId="12" xfId="1" applyNumberFormat="1" applyFont="1" applyFill="1" applyBorder="1" applyAlignment="1">
      <alignment horizontal="right"/>
    </xf>
    <xf numFmtId="0" fontId="11" fillId="2" borderId="6" xfId="0" applyFont="1" applyFill="1" applyBorder="1" applyAlignment="1">
      <alignment horizontal="left" wrapText="1" indent="2"/>
    </xf>
    <xf numFmtId="164" fontId="11" fillId="2" borderId="6" xfId="2" applyNumberFormat="1" applyFont="1" applyFill="1" applyBorder="1"/>
    <xf numFmtId="164" fontId="15" fillId="2" borderId="6" xfId="1" applyNumberFormat="1" applyFont="1" applyFill="1" applyBorder="1"/>
    <xf numFmtId="164" fontId="9" fillId="2" borderId="14" xfId="1" applyNumberFormat="1" applyFont="1" applyFill="1" applyBorder="1"/>
    <xf numFmtId="164" fontId="6" fillId="2" borderId="6" xfId="1" applyNumberFormat="1" applyFont="1" applyFill="1" applyBorder="1" applyAlignment="1">
      <alignment horizontal="right"/>
    </xf>
    <xf numFmtId="173" fontId="9" fillId="2" borderId="10" xfId="2" applyNumberFormat="1" applyFont="1" applyFill="1" applyBorder="1"/>
    <xf numFmtId="173" fontId="6" fillId="2" borderId="10" xfId="1" applyNumberFormat="1" applyFont="1" applyFill="1" applyBorder="1"/>
    <xf numFmtId="173" fontId="6" fillId="2" borderId="10" xfId="2" applyNumberFormat="1" applyFont="1" applyFill="1" applyBorder="1"/>
    <xf numFmtId="173" fontId="6" fillId="2" borderId="12" xfId="1" applyNumberFormat="1" applyFont="1" applyFill="1" applyBorder="1"/>
    <xf numFmtId="173" fontId="11" fillId="2" borderId="6" xfId="2" applyNumberFormat="1" applyFont="1" applyFill="1" applyBorder="1"/>
    <xf numFmtId="173" fontId="15" fillId="2" borderId="6" xfId="1" applyNumberFormat="1" applyFont="1" applyFill="1" applyBorder="1"/>
    <xf numFmtId="173" fontId="7" fillId="2" borderId="14" xfId="3" applyNumberFormat="1" applyFont="1" applyFill="1" applyBorder="1" applyAlignment="1">
      <alignment horizontal="center"/>
    </xf>
    <xf numFmtId="173" fontId="9" fillId="2" borderId="14" xfId="2" applyNumberFormat="1" applyFont="1" applyFill="1" applyBorder="1"/>
    <xf numFmtId="173" fontId="6" fillId="2" borderId="10" xfId="1" applyNumberFormat="1" applyFont="1" applyFill="1" applyBorder="1" applyAlignment="1">
      <alignment horizontal="right"/>
    </xf>
    <xf numFmtId="173" fontId="6" fillId="2" borderId="12" xfId="1" applyNumberFormat="1" applyFont="1" applyFill="1" applyBorder="1" applyAlignment="1">
      <alignment horizontal="right"/>
    </xf>
    <xf numFmtId="173" fontId="11" fillId="2" borderId="6" xfId="1" applyNumberFormat="1" applyFont="1" applyFill="1" applyBorder="1"/>
    <xf numFmtId="173" fontId="7" fillId="2" borderId="14" xfId="2" applyNumberFormat="1" applyFont="1" applyFill="1" applyBorder="1"/>
    <xf numFmtId="173" fontId="11" fillId="2" borderId="10" xfId="1" applyNumberFormat="1" applyFont="1" applyFill="1" applyBorder="1" applyAlignment="1">
      <alignment horizontal="right"/>
    </xf>
    <xf numFmtId="173" fontId="7" fillId="2" borderId="14" xfId="1" applyNumberFormat="1" applyFont="1" applyFill="1" applyBorder="1"/>
    <xf numFmtId="173" fontId="11" fillId="2" borderId="10" xfId="2" applyNumberFormat="1" applyFont="1" applyFill="1" applyBorder="1"/>
    <xf numFmtId="173" fontId="7" fillId="2" borderId="14" xfId="3" applyNumberFormat="1" applyFont="1" applyFill="1" applyBorder="1"/>
    <xf numFmtId="173" fontId="11" fillId="2" borderId="3" xfId="1" applyNumberFormat="1" applyFont="1" applyFill="1" applyBorder="1"/>
    <xf numFmtId="173" fontId="7" fillId="2" borderId="2" xfId="1" applyNumberFormat="1" applyFont="1" applyFill="1" applyBorder="1"/>
    <xf numFmtId="173" fontId="11" fillId="2" borderId="2" xfId="2" applyNumberFormat="1" applyFont="1" applyFill="1" applyBorder="1"/>
    <xf numFmtId="173" fontId="16" fillId="2" borderId="10" xfId="1" applyNumberFormat="1" applyFont="1" applyFill="1" applyBorder="1"/>
    <xf numFmtId="173" fontId="15" fillId="2" borderId="20" xfId="2" applyNumberFormat="1" applyFont="1" applyFill="1" applyBorder="1"/>
    <xf numFmtId="173" fontId="16" fillId="2" borderId="14" xfId="2" applyNumberFormat="1" applyFont="1" applyFill="1" applyBorder="1"/>
    <xf numFmtId="173" fontId="16" fillId="2" borderId="2" xfId="1" applyNumberFormat="1" applyFont="1" applyFill="1" applyBorder="1"/>
    <xf numFmtId="173" fontId="6" fillId="2" borderId="2" xfId="1" applyNumberFormat="1" applyFont="1" applyFill="1" applyBorder="1"/>
    <xf numFmtId="173" fontId="6" fillId="2" borderId="10" xfId="1" applyNumberFormat="1" applyFont="1" applyFill="1" applyBorder="1" applyAlignment="1">
      <alignment horizontal="center"/>
    </xf>
    <xf numFmtId="173" fontId="6" fillId="2" borderId="10" xfId="1" applyNumberFormat="1" applyFont="1" applyFill="1" applyBorder="1" applyAlignment="1"/>
    <xf numFmtId="173" fontId="11" fillId="2" borderId="10" xfId="2" applyNumberFormat="1" applyFont="1" applyFill="1" applyBorder="1" applyAlignment="1">
      <alignment horizontal="right"/>
    </xf>
    <xf numFmtId="173" fontId="9" fillId="2" borderId="10" xfId="3" applyNumberFormat="1" applyFont="1" applyFill="1" applyBorder="1"/>
    <xf numFmtId="0" fontId="6" fillId="5" borderId="10" xfId="0" applyFont="1" applyFill="1" applyBorder="1" applyAlignment="1">
      <alignment horizontal="left" wrapText="1" indent="2"/>
    </xf>
    <xf numFmtId="3" fontId="9" fillId="5" borderId="10" xfId="2" applyNumberFormat="1" applyFont="1" applyFill="1" applyBorder="1" applyAlignment="1">
      <alignment horizontal="center" vertical="center"/>
    </xf>
    <xf numFmtId="168" fontId="9" fillId="5" borderId="10" xfId="2" applyNumberFormat="1" applyFont="1" applyFill="1" applyBorder="1" applyAlignment="1">
      <alignment horizontal="center" vertical="center"/>
    </xf>
    <xf numFmtId="164" fontId="9" fillId="5" borderId="10" xfId="2" applyNumberFormat="1" applyFont="1" applyFill="1" applyBorder="1" applyAlignment="1">
      <alignment vertical="center"/>
    </xf>
    <xf numFmtId="0" fontId="13" fillId="5" borderId="10" xfId="0" applyFont="1" applyFill="1" applyBorder="1" applyAlignment="1">
      <alignment horizontal="left" wrapText="1" indent="2"/>
    </xf>
    <xf numFmtId="164" fontId="9" fillId="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2" borderId="12" xfId="1" applyNumberFormat="1" applyFont="1" applyFill="1" applyBorder="1" applyAlignment="1">
      <alignment vertical="center" wrapText="1"/>
    </xf>
    <xf numFmtId="0" fontId="11" fillId="2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2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2" borderId="6" xfId="1" applyFont="1" applyFill="1" applyBorder="1" applyAlignment="1">
      <alignment horizontal="left" wrapText="1"/>
    </xf>
    <xf numFmtId="3" fontId="9" fillId="2" borderId="12" xfId="2" applyNumberFormat="1" applyFont="1" applyFill="1" applyBorder="1" applyAlignment="1">
      <alignment horizontal="center" vertical="center"/>
    </xf>
    <xf numFmtId="168" fontId="9" fillId="2" borderId="12" xfId="2" applyNumberFormat="1" applyFont="1" applyFill="1" applyBorder="1" applyAlignment="1">
      <alignment horizontal="center" vertical="center"/>
    </xf>
    <xf numFmtId="3" fontId="9" fillId="2" borderId="6" xfId="2" applyNumberFormat="1" applyFont="1" applyFill="1" applyBorder="1" applyAlignment="1">
      <alignment horizontal="center" vertical="center"/>
    </xf>
    <xf numFmtId="168" fontId="9" fillId="2" borderId="6" xfId="2" applyNumberFormat="1" applyFont="1" applyFill="1" applyBorder="1" applyAlignment="1">
      <alignment horizontal="center" vertical="center"/>
    </xf>
    <xf numFmtId="3" fontId="8" fillId="2" borderId="12" xfId="2" applyNumberFormat="1" applyFont="1" applyFill="1" applyBorder="1" applyAlignment="1">
      <alignment horizontal="center" vertical="center"/>
    </xf>
    <xf numFmtId="168" fontId="8" fillId="2" borderId="12" xfId="2" applyNumberFormat="1" applyFont="1" applyFill="1" applyBorder="1" applyAlignment="1">
      <alignment horizontal="center" vertical="center"/>
    </xf>
    <xf numFmtId="164" fontId="8" fillId="2" borderId="12" xfId="1" applyNumberFormat="1" applyFont="1" applyFill="1" applyBorder="1" applyAlignment="1">
      <alignment horizontal="center" vertical="center" wrapText="1"/>
    </xf>
    <xf numFmtId="3" fontId="12" fillId="2" borderId="6" xfId="2" applyNumberFormat="1" applyFont="1" applyFill="1" applyBorder="1" applyAlignment="1">
      <alignment horizontal="center" vertical="center"/>
    </xf>
    <xf numFmtId="168" fontId="12" fillId="2" borderId="6" xfId="2" applyNumberFormat="1" applyFont="1" applyFill="1" applyBorder="1" applyAlignment="1">
      <alignment horizontal="center" vertical="center"/>
    </xf>
    <xf numFmtId="164" fontId="12" fillId="2" borderId="6" xfId="1" applyNumberFormat="1" applyFont="1" applyFill="1" applyBorder="1" applyAlignment="1">
      <alignment horizontal="center" vertical="center" wrapText="1"/>
    </xf>
    <xf numFmtId="164" fontId="9" fillId="5" borderId="10" xfId="1" applyNumberFormat="1" applyFont="1" applyFill="1" applyBorder="1" applyAlignment="1">
      <alignment horizontal="center" vertical="center" wrapText="1"/>
    </xf>
    <xf numFmtId="3" fontId="9" fillId="5" borderId="10" xfId="2" applyNumberFormat="1" applyFont="1" applyFill="1" applyBorder="1" applyAlignment="1">
      <alignment horizontal="center" vertical="center" wrapText="1"/>
    </xf>
    <xf numFmtId="168" fontId="9" fillId="5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2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5" borderId="10" xfId="2" applyNumberFormat="1" applyFont="1" applyFill="1" applyBorder="1" applyAlignment="1">
      <alignment horizontal="center" vertical="center"/>
    </xf>
    <xf numFmtId="168" fontId="8" fillId="5" borderId="10" xfId="2" applyNumberFormat="1" applyFont="1" applyFill="1" applyBorder="1" applyAlignment="1">
      <alignment horizontal="center" vertical="center"/>
    </xf>
    <xf numFmtId="164" fontId="8" fillId="5" borderId="10" xfId="1" applyNumberFormat="1" applyFont="1" applyFill="1" applyBorder="1" applyAlignment="1">
      <alignment horizontal="center" vertical="center" wrapText="1"/>
    </xf>
    <xf numFmtId="3" fontId="16" fillId="5" borderId="10" xfId="2" applyNumberFormat="1" applyFont="1" applyFill="1" applyBorder="1" applyAlignment="1">
      <alignment horizontal="center"/>
    </xf>
    <xf numFmtId="168" fontId="16" fillId="5" borderId="10" xfId="2" applyNumberFormat="1" applyFont="1" applyFill="1" applyBorder="1" applyAlignment="1">
      <alignment horizontal="center"/>
    </xf>
    <xf numFmtId="172" fontId="6" fillId="2" borderId="2" xfId="1" applyNumberFormat="1" applyFont="1" applyFill="1" applyBorder="1" applyAlignment="1">
      <alignment horizontal="right"/>
    </xf>
    <xf numFmtId="0" fontId="11" fillId="2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2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4" fontId="6" fillId="2" borderId="10" xfId="2" applyNumberFormat="1" applyFont="1" applyFill="1" applyBorder="1"/>
    <xf numFmtId="170" fontId="6" fillId="2" borderId="10" xfId="2" applyNumberFormat="1" applyFont="1" applyFill="1" applyBorder="1"/>
    <xf numFmtId="164" fontId="9" fillId="5" borderId="10" xfId="1" applyNumberFormat="1" applyFont="1" applyFill="1" applyBorder="1"/>
    <xf numFmtId="164" fontId="6" fillId="2" borderId="24" xfId="1" applyNumberFormat="1" applyFont="1" applyFill="1" applyBorder="1"/>
    <xf numFmtId="164" fontId="11" fillId="2" borderId="12" xfId="2" applyNumberFormat="1" applyFont="1" applyFill="1" applyBorder="1"/>
    <xf numFmtId="0" fontId="6" fillId="2" borderId="10" xfId="1" applyFont="1" applyFill="1" applyBorder="1" applyAlignment="1">
      <alignment horizontal="left" indent="2"/>
    </xf>
    <xf numFmtId="172" fontId="6" fillId="2" borderId="10" xfId="1" applyNumberFormat="1" applyFont="1" applyFill="1" applyBorder="1" applyAlignment="1">
      <alignment horizontal="left" indent="2"/>
    </xf>
    <xf numFmtId="164" fontId="12" fillId="2" borderId="2" xfId="1" applyNumberFormat="1" applyFont="1" applyFill="1" applyBorder="1"/>
    <xf numFmtId="164" fontId="8" fillId="2" borderId="2" xfId="1" applyNumberFormat="1" applyFont="1" applyFill="1" applyBorder="1"/>
    <xf numFmtId="172" fontId="7" fillId="2" borderId="23" xfId="2" applyNumberFormat="1" applyFont="1" applyFill="1" applyBorder="1"/>
    <xf numFmtId="172" fontId="7" fillId="2" borderId="2" xfId="2" applyNumberFormat="1" applyFont="1" applyFill="1" applyBorder="1"/>
    <xf numFmtId="171" fontId="7" fillId="2" borderId="2" xfId="2" applyNumberFormat="1" applyFont="1" applyFill="1" applyBorder="1"/>
    <xf numFmtId="172" fontId="6" fillId="2" borderId="23" xfId="1" applyNumberFormat="1" applyFont="1" applyFill="1" applyBorder="1"/>
    <xf numFmtId="172" fontId="6" fillId="2" borderId="21" xfId="2" applyNumberFormat="1" applyFont="1" applyFill="1" applyBorder="1"/>
    <xf numFmtId="164" fontId="11" fillId="2" borderId="17" xfId="2" applyNumberFormat="1" applyFont="1" applyFill="1" applyBorder="1"/>
    <xf numFmtId="164" fontId="6" fillId="2" borderId="6" xfId="2" applyNumberFormat="1" applyFont="1" applyFill="1" applyBorder="1"/>
    <xf numFmtId="172" fontId="11" fillId="2" borderId="30" xfId="2" applyNumberFormat="1" applyFont="1" applyFill="1" applyBorder="1"/>
    <xf numFmtId="172" fontId="6" fillId="2" borderId="25" xfId="2" applyNumberFormat="1" applyFont="1" applyFill="1" applyBorder="1"/>
    <xf numFmtId="164" fontId="6" fillId="2" borderId="4" xfId="2" applyNumberFormat="1" applyFont="1" applyFill="1" applyBorder="1"/>
    <xf numFmtId="170" fontId="6" fillId="2" borderId="6" xfId="2" applyNumberFormat="1" applyFont="1" applyFill="1" applyBorder="1"/>
    <xf numFmtId="170" fontId="11" fillId="2" borderId="6" xfId="2" applyNumberFormat="1" applyFont="1" applyFill="1" applyBorder="1"/>
    <xf numFmtId="164" fontId="11" fillId="2" borderId="14" xfId="1" applyNumberFormat="1" applyFont="1" applyFill="1" applyBorder="1" applyAlignment="1">
      <alignment horizontal="right"/>
    </xf>
    <xf numFmtId="164" fontId="11" fillId="2" borderId="10" xfId="1" applyNumberFormat="1" applyFont="1" applyFill="1" applyBorder="1" applyAlignment="1">
      <alignment horizontal="right"/>
    </xf>
    <xf numFmtId="170" fontId="6" fillId="2" borderId="18" xfId="2" applyNumberFormat="1" applyFont="1" applyFill="1" applyBorder="1"/>
    <xf numFmtId="170" fontId="11" fillId="2" borderId="18" xfId="2" applyNumberFormat="1" applyFont="1" applyFill="1" applyBorder="1"/>
    <xf numFmtId="164" fontId="9" fillId="2" borderId="2" xfId="1" applyNumberFormat="1" applyFont="1" applyFill="1" applyBorder="1"/>
    <xf numFmtId="164" fontId="6" fillId="2" borderId="2" xfId="2" applyNumberFormat="1" applyFont="1" applyFill="1" applyBorder="1"/>
    <xf numFmtId="164" fontId="11" fillId="2" borderId="30" xfId="2" applyNumberFormat="1" applyFont="1" applyFill="1" applyBorder="1"/>
    <xf numFmtId="172" fontId="11" fillId="2" borderId="20" xfId="2" applyNumberFormat="1" applyFont="1" applyFill="1" applyBorder="1"/>
    <xf numFmtId="172" fontId="11" fillId="2" borderId="6" xfId="2" applyNumberFormat="1" applyFont="1" applyFill="1" applyBorder="1"/>
    <xf numFmtId="170" fontId="6" fillId="2" borderId="12" xfId="1" applyNumberFormat="1" applyFont="1" applyFill="1" applyBorder="1"/>
    <xf numFmtId="170" fontId="6" fillId="2" borderId="6" xfId="1" applyNumberFormat="1" applyFont="1" applyFill="1" applyBorder="1"/>
    <xf numFmtId="172" fontId="11" fillId="2" borderId="20" xfId="1" applyNumberFormat="1" applyFont="1" applyFill="1" applyBorder="1" applyAlignment="1">
      <alignment horizontal="right"/>
    </xf>
    <xf numFmtId="172" fontId="9" fillId="2" borderId="12" xfId="1" applyNumberFormat="1" applyFont="1" applyFill="1" applyBorder="1"/>
    <xf numFmtId="164" fontId="11" fillId="2" borderId="19" xfId="2" applyNumberFormat="1" applyFont="1" applyFill="1" applyBorder="1"/>
    <xf numFmtId="164" fontId="9" fillId="2" borderId="18" xfId="1" applyNumberFormat="1" applyFont="1" applyFill="1" applyBorder="1"/>
    <xf numFmtId="164" fontId="6" fillId="2" borderId="14" xfId="2" applyNumberFormat="1" applyFont="1" applyFill="1" applyBorder="1"/>
    <xf numFmtId="164" fontId="6" fillId="2" borderId="18" xfId="2" applyNumberFormat="1" applyFont="1" applyFill="1" applyBorder="1"/>
    <xf numFmtId="171" fontId="7" fillId="2" borderId="14" xfId="2" applyNumberFormat="1" applyFont="1" applyFill="1" applyBorder="1"/>
    <xf numFmtId="164" fontId="6" fillId="2" borderId="14" xfId="1" applyNumberFormat="1" applyFont="1" applyFill="1" applyBorder="1" applyAlignment="1">
      <alignment horizontal="center"/>
    </xf>
    <xf numFmtId="170" fontId="6" fillId="2" borderId="2" xfId="2" applyNumberFormat="1" applyFont="1" applyFill="1" applyBorder="1"/>
    <xf numFmtId="164" fontId="9" fillId="2" borderId="21" xfId="1" applyNumberFormat="1" applyFont="1" applyFill="1" applyBorder="1"/>
    <xf numFmtId="164" fontId="8" fillId="2" borderId="12" xfId="1" applyNumberFormat="1" applyFont="1" applyFill="1" applyBorder="1"/>
    <xf numFmtId="173" fontId="9" fillId="2" borderId="10" xfId="1" applyNumberFormat="1" applyFont="1" applyFill="1" applyBorder="1"/>
    <xf numFmtId="173" fontId="9" fillId="2" borderId="12" xfId="1" applyNumberFormat="1" applyFont="1" applyFill="1" applyBorder="1"/>
    <xf numFmtId="0" fontId="11" fillId="4" borderId="8" xfId="1" applyFont="1" applyFill="1" applyBorder="1" applyAlignment="1">
      <alignment horizontal="left" indent="1"/>
    </xf>
    <xf numFmtId="171" fontId="12" fillId="4" borderId="8" xfId="2" applyNumberFormat="1" applyFont="1" applyFill="1" applyBorder="1"/>
    <xf numFmtId="164" fontId="9" fillId="2" borderId="8" xfId="1" applyNumberFormat="1" applyFont="1" applyFill="1" applyBorder="1"/>
    <xf numFmtId="164" fontId="9" fillId="0" borderId="8" xfId="1" applyNumberFormat="1" applyFont="1" applyFill="1" applyBorder="1"/>
    <xf numFmtId="170" fontId="6" fillId="2" borderId="10" xfId="1" applyNumberFormat="1" applyFont="1" applyFill="1" applyBorder="1" applyAlignment="1">
      <alignment horizontal="right"/>
    </xf>
    <xf numFmtId="173" fontId="11" fillId="2" borderId="2" xfId="2" applyNumberFormat="1" applyFont="1" applyFill="1" applyBorder="1" applyAlignment="1">
      <alignment horizontal="right"/>
    </xf>
    <xf numFmtId="173" fontId="11" fillId="2" borderId="12" xfId="1" applyNumberFormat="1" applyFont="1" applyFill="1" applyBorder="1" applyAlignment="1">
      <alignment horizontal="right"/>
    </xf>
    <xf numFmtId="164" fontId="6" fillId="2" borderId="21" xfId="1" applyNumberFormat="1" applyFont="1" applyFill="1" applyBorder="1"/>
    <xf numFmtId="172" fontId="6" fillId="2" borderId="21" xfId="1" applyNumberFormat="1" applyFont="1" applyFill="1" applyBorder="1" applyAlignment="1">
      <alignment horizontal="center"/>
    </xf>
    <xf numFmtId="164" fontId="9" fillId="2" borderId="28" xfId="1" applyNumberFormat="1" applyFont="1" applyFill="1" applyBorder="1"/>
    <xf numFmtId="172" fontId="11" fillId="2" borderId="30" xfId="1" applyNumberFormat="1" applyFont="1" applyFill="1" applyBorder="1" applyAlignment="1">
      <alignment horizontal="right"/>
    </xf>
    <xf numFmtId="171" fontId="16" fillId="2" borderId="2" xfId="1" applyNumberFormat="1" applyFont="1" applyFill="1" applyBorder="1" applyAlignment="1">
      <alignment horizontal="center"/>
    </xf>
    <xf numFmtId="172" fontId="16" fillId="2" borderId="10" xfId="1" applyNumberFormat="1" applyFont="1" applyFill="1" applyBorder="1"/>
    <xf numFmtId="0" fontId="11" fillId="2" borderId="14" xfId="1" applyFont="1" applyFill="1" applyBorder="1"/>
    <xf numFmtId="164" fontId="6" fillId="2" borderId="10" xfId="1" applyNumberFormat="1" applyFont="1" applyFill="1" applyBorder="1" applyAlignment="1">
      <alignment horizontal="center" wrapText="1"/>
    </xf>
    <xf numFmtId="164" fontId="11" fillId="2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2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2" borderId="2" xfId="0" applyFont="1" applyFill="1" applyBorder="1" applyAlignment="1">
      <alignment horizontal="left" wrapText="1" indent="2"/>
    </xf>
    <xf numFmtId="164" fontId="9" fillId="2" borderId="0" xfId="1" applyNumberFormat="1" applyFont="1" applyFill="1" applyBorder="1"/>
    <xf numFmtId="164" fontId="6" fillId="2" borderId="23" xfId="2" applyNumberFormat="1" applyFont="1" applyFill="1" applyBorder="1"/>
    <xf numFmtId="164" fontId="9" fillId="2" borderId="22" xfId="1" applyNumberFormat="1" applyFont="1" applyFill="1" applyBorder="1"/>
    <xf numFmtId="172" fontId="11" fillId="2" borderId="24" xfId="1" applyNumberFormat="1" applyFont="1" applyFill="1" applyBorder="1" applyAlignment="1">
      <alignment horizontal="right"/>
    </xf>
    <xf numFmtId="172" fontId="11" fillId="2" borderId="21" xfId="1" applyNumberFormat="1" applyFont="1" applyFill="1" applyBorder="1" applyAlignment="1">
      <alignment horizontal="right"/>
    </xf>
    <xf numFmtId="164" fontId="11" fillId="2" borderId="20" xfId="2" applyNumberFormat="1" applyFont="1" applyFill="1" applyBorder="1"/>
    <xf numFmtId="0" fontId="6" fillId="2" borderId="2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right" wrapText="1" indent="3"/>
    </xf>
    <xf numFmtId="0" fontId="6" fillId="2" borderId="8" xfId="0" applyFont="1" applyFill="1" applyBorder="1" applyAlignment="1">
      <alignment horizontal="left" wrapText="1" indent="2"/>
    </xf>
    <xf numFmtId="172" fontId="9" fillId="3" borderId="14" xfId="1" applyNumberFormat="1" applyFont="1" applyFill="1" applyBorder="1"/>
    <xf numFmtId="172" fontId="9" fillId="2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5" borderId="10" xfId="1" applyNumberFormat="1" applyFont="1" applyFill="1" applyBorder="1"/>
    <xf numFmtId="3" fontId="18" fillId="6" borderId="6" xfId="1" applyNumberFormat="1" applyFont="1" applyFill="1" applyBorder="1" applyAlignment="1">
      <alignment horizontal="center"/>
    </xf>
    <xf numFmtId="0" fontId="7" fillId="6" borderId="6" xfId="1" applyFont="1" applyFill="1" applyBorder="1" applyAlignment="1">
      <alignment horizontal="left"/>
    </xf>
    <xf numFmtId="173" fontId="6" fillId="2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173" fontId="6" fillId="2" borderId="2" xfId="1" applyNumberFormat="1" applyFont="1" applyFill="1" applyBorder="1" applyAlignment="1">
      <alignment horizontal="right"/>
    </xf>
    <xf numFmtId="173" fontId="9" fillId="2" borderId="2" xfId="1" applyNumberFormat="1" applyFont="1" applyFill="1" applyBorder="1"/>
    <xf numFmtId="172" fontId="18" fillId="6" borderId="6" xfId="1" applyNumberFormat="1" applyFont="1" applyFill="1" applyBorder="1" applyAlignment="1">
      <alignment horizontal="center"/>
    </xf>
    <xf numFmtId="170" fontId="6" fillId="2" borderId="8" xfId="2" applyNumberFormat="1" applyFont="1" applyFill="1" applyBorder="1"/>
    <xf numFmtId="170" fontId="9" fillId="2" borderId="21" xfId="1" applyNumberFormat="1" applyFont="1" applyFill="1" applyBorder="1"/>
    <xf numFmtId="170" fontId="9" fillId="2" borderId="10" xfId="1" applyNumberFormat="1" applyFont="1" applyFill="1" applyBorder="1"/>
    <xf numFmtId="165" fontId="9" fillId="0" borderId="0" xfId="2" applyFont="1" applyFill="1"/>
    <xf numFmtId="165" fontId="7" fillId="0" borderId="0" xfId="2" applyFont="1" applyFill="1"/>
    <xf numFmtId="0" fontId="11" fillId="2" borderId="13" xfId="1" applyFont="1" applyFill="1" applyBorder="1" applyAlignment="1">
      <alignment horizontal="left" indent="1"/>
    </xf>
    <xf numFmtId="0" fontId="11" fillId="2" borderId="14" xfId="1" applyFont="1" applyFill="1" applyBorder="1" applyAlignment="1">
      <alignment wrapText="1"/>
    </xf>
    <xf numFmtId="0" fontId="6" fillId="2" borderId="12" xfId="1" applyFont="1" applyFill="1" applyBorder="1" applyAlignment="1">
      <alignment horizontal="left" wrapText="1" indent="3"/>
    </xf>
    <xf numFmtId="164" fontId="9" fillId="3" borderId="13" xfId="1" applyNumberFormat="1" applyFont="1" applyFill="1" applyBorder="1"/>
    <xf numFmtId="43" fontId="7" fillId="0" borderId="0" xfId="0" applyNumberFormat="1" applyFont="1" applyFill="1"/>
    <xf numFmtId="175" fontId="16" fillId="2" borderId="0" xfId="1" applyNumberFormat="1" applyFont="1" applyFill="1" applyBorder="1"/>
    <xf numFmtId="174" fontId="16" fillId="2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1" fillId="2" borderId="0" xfId="1" applyFont="1" applyFill="1"/>
    <xf numFmtId="0" fontId="30" fillId="2" borderId="0" xfId="1" applyFont="1" applyFill="1" applyAlignment="1">
      <alignment horizontal="center" wrapText="1"/>
    </xf>
    <xf numFmtId="0" fontId="31" fillId="2" borderId="0" xfId="0" applyFont="1" applyFill="1" applyAlignment="1">
      <alignment horizontal="center" wrapText="1"/>
    </xf>
    <xf numFmtId="0" fontId="21" fillId="2" borderId="0" xfId="1" applyFont="1" applyFill="1" applyBorder="1"/>
    <xf numFmtId="0" fontId="6" fillId="2" borderId="0" xfId="1" applyFont="1" applyFill="1" applyAlignment="1">
      <alignment horizontal="left"/>
    </xf>
    <xf numFmtId="0" fontId="16" fillId="2" borderId="1" xfId="1" applyFont="1" applyFill="1" applyBorder="1" applyAlignment="1">
      <alignment horizontal="center"/>
    </xf>
    <xf numFmtId="0" fontId="6" fillId="2" borderId="19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16" fillId="2" borderId="5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/>
    </xf>
    <xf numFmtId="0" fontId="7" fillId="2" borderId="10" xfId="1" applyFont="1" applyFill="1" applyBorder="1" applyAlignment="1">
      <alignment wrapText="1"/>
    </xf>
    <xf numFmtId="0" fontId="6" fillId="2" borderId="10" xfId="1" applyFont="1" applyFill="1" applyBorder="1" applyAlignment="1">
      <alignment horizontal="left" wrapText="1" indent="3"/>
    </xf>
    <xf numFmtId="0" fontId="11" fillId="2" borderId="6" xfId="1" applyFont="1" applyFill="1" applyBorder="1" applyAlignment="1">
      <alignment horizontal="left"/>
    </xf>
    <xf numFmtId="0" fontId="11" fillId="2" borderId="0" xfId="1" applyFont="1" applyFill="1" applyBorder="1"/>
    <xf numFmtId="0" fontId="6" fillId="2" borderId="9" xfId="1" applyFont="1" applyFill="1" applyBorder="1"/>
    <xf numFmtId="166" fontId="9" fillId="2" borderId="14" xfId="3" applyFont="1" applyFill="1" applyBorder="1"/>
    <xf numFmtId="0" fontId="15" fillId="2" borderId="0" xfId="1" applyFont="1" applyFill="1" applyBorder="1"/>
    <xf numFmtId="0" fontId="15" fillId="2" borderId="0" xfId="1" applyFont="1" applyFill="1"/>
    <xf numFmtId="0" fontId="11" fillId="2" borderId="0" xfId="1" applyFont="1" applyFill="1"/>
    <xf numFmtId="166" fontId="7" fillId="2" borderId="14" xfId="3" applyFont="1" applyFill="1" applyBorder="1"/>
    <xf numFmtId="166" fontId="7" fillId="2" borderId="14" xfId="3" applyFont="1" applyFill="1" applyBorder="1" applyAlignment="1">
      <alignment horizontal="left"/>
    </xf>
    <xf numFmtId="0" fontId="6" fillId="2" borderId="2" xfId="1" applyFont="1" applyFill="1" applyBorder="1" applyAlignment="1">
      <alignment horizontal="right" wrapText="1" indent="3"/>
    </xf>
    <xf numFmtId="173" fontId="11" fillId="2" borderId="6" xfId="1" applyNumberFormat="1" applyFont="1" applyFill="1" applyBorder="1" applyAlignment="1">
      <alignment horizontal="right"/>
    </xf>
    <xf numFmtId="0" fontId="11" fillId="2" borderId="3" xfId="1" applyFont="1" applyFill="1" applyBorder="1" applyAlignment="1">
      <alignment horizontal="left"/>
    </xf>
    <xf numFmtId="0" fontId="7" fillId="2" borderId="13" xfId="1" applyFont="1" applyFill="1" applyBorder="1"/>
    <xf numFmtId="164" fontId="7" fillId="2" borderId="13" xfId="1" applyNumberFormat="1" applyFont="1" applyFill="1" applyBorder="1"/>
    <xf numFmtId="173" fontId="9" fillId="2" borderId="13" xfId="2" applyNumberFormat="1" applyFont="1" applyFill="1" applyBorder="1"/>
    <xf numFmtId="164" fontId="7" fillId="2" borderId="10" xfId="3" applyNumberFormat="1" applyFont="1" applyFill="1" applyBorder="1"/>
    <xf numFmtId="173" fontId="7" fillId="2" borderId="10" xfId="3" applyNumberFormat="1" applyFont="1" applyFill="1" applyBorder="1"/>
    <xf numFmtId="170" fontId="7" fillId="2" borderId="10" xfId="3" applyNumberFormat="1" applyFont="1" applyFill="1" applyBorder="1"/>
    <xf numFmtId="164" fontId="7" fillId="2" borderId="12" xfId="3" applyNumberFormat="1" applyFont="1" applyFill="1" applyBorder="1"/>
    <xf numFmtId="0" fontId="11" fillId="2" borderId="5" xfId="1" applyFont="1" applyFill="1" applyBorder="1" applyAlignment="1">
      <alignment horizontal="left" indent="1"/>
    </xf>
    <xf numFmtId="164" fontId="7" fillId="2" borderId="8" xfId="3" applyNumberFormat="1" applyFont="1" applyFill="1" applyBorder="1"/>
    <xf numFmtId="173" fontId="7" fillId="2" borderId="8" xfId="3" applyNumberFormat="1" applyFont="1" applyFill="1" applyBorder="1"/>
    <xf numFmtId="0" fontId="11" fillId="2" borderId="2" xfId="1" applyFont="1" applyFill="1" applyBorder="1" applyAlignment="1">
      <alignment wrapText="1"/>
    </xf>
    <xf numFmtId="0" fontId="4" fillId="2" borderId="10" xfId="0" applyFont="1" applyFill="1" applyBorder="1"/>
    <xf numFmtId="0" fontId="11" fillId="2" borderId="13" xfId="1" applyFont="1" applyFill="1" applyBorder="1" applyAlignment="1">
      <alignment wrapText="1"/>
    </xf>
    <xf numFmtId="0" fontId="15" fillId="2" borderId="19" xfId="1" applyFont="1" applyFill="1" applyBorder="1" applyAlignment="1">
      <alignment horizontal="left"/>
    </xf>
    <xf numFmtId="0" fontId="11" fillId="2" borderId="13" xfId="1" applyFont="1" applyFill="1" applyBorder="1"/>
    <xf numFmtId="171" fontId="11" fillId="2" borderId="13" xfId="2" applyNumberFormat="1" applyFont="1" applyFill="1" applyBorder="1"/>
    <xf numFmtId="173" fontId="6" fillId="2" borderId="13" xfId="2" applyNumberFormat="1" applyFont="1" applyFill="1" applyBorder="1"/>
    <xf numFmtId="171" fontId="16" fillId="2" borderId="10" xfId="1" applyNumberFormat="1" applyFont="1" applyFill="1" applyBorder="1"/>
    <xf numFmtId="173" fontId="9" fillId="2" borderId="10" xfId="3" applyNumberFormat="1" applyFont="1" applyFill="1" applyBorder="1" applyAlignment="1">
      <alignment horizontal="center"/>
    </xf>
    <xf numFmtId="164" fontId="9" fillId="2" borderId="12" xfId="3" applyNumberFormat="1" applyFont="1" applyFill="1" applyBorder="1" applyAlignment="1">
      <alignment horizontal="center"/>
    </xf>
    <xf numFmtId="164" fontId="7" fillId="2" borderId="8" xfId="3" applyNumberFormat="1" applyFont="1" applyFill="1" applyBorder="1" applyAlignment="1">
      <alignment horizontal="center"/>
    </xf>
    <xf numFmtId="173" fontId="7" fillId="2" borderId="8" xfId="3" applyNumberFormat="1" applyFont="1" applyFill="1" applyBorder="1" applyAlignment="1">
      <alignment horizontal="center"/>
    </xf>
    <xf numFmtId="0" fontId="4" fillId="2" borderId="0" xfId="0" applyFont="1" applyFill="1" applyBorder="1"/>
    <xf numFmtId="0" fontId="26" fillId="2" borderId="13" xfId="1" applyFont="1" applyFill="1" applyBorder="1" applyAlignment="1">
      <alignment wrapText="1"/>
    </xf>
    <xf numFmtId="0" fontId="15" fillId="2" borderId="6" xfId="1" applyFont="1" applyFill="1" applyBorder="1" applyAlignment="1">
      <alignment horizontal="left"/>
    </xf>
    <xf numFmtId="171" fontId="6" fillId="2" borderId="16" xfId="2" applyNumberFormat="1" applyFont="1" applyFill="1" applyBorder="1"/>
    <xf numFmtId="0" fontId="15" fillId="2" borderId="29" xfId="1" applyFont="1" applyFill="1" applyBorder="1" applyAlignment="1">
      <alignment wrapText="1"/>
    </xf>
    <xf numFmtId="0" fontId="15" fillId="2" borderId="3" xfId="1" applyFont="1" applyFill="1" applyBorder="1" applyAlignment="1">
      <alignment horizontal="left"/>
    </xf>
    <xf numFmtId="0" fontId="15" fillId="2" borderId="13" xfId="1" applyFont="1" applyFill="1" applyBorder="1" applyAlignment="1">
      <alignment horizontal="left" indent="1"/>
    </xf>
    <xf numFmtId="164" fontId="6" fillId="2" borderId="13" xfId="1" applyNumberFormat="1" applyFont="1" applyFill="1" applyBorder="1" applyAlignment="1">
      <alignment horizontal="right"/>
    </xf>
    <xf numFmtId="173" fontId="16" fillId="2" borderId="13" xfId="2" applyNumberFormat="1" applyFont="1" applyFill="1" applyBorder="1"/>
    <xf numFmtId="0" fontId="6" fillId="2" borderId="0" xfId="0" applyFont="1" applyFill="1" applyBorder="1" applyAlignment="1">
      <alignment horizontal="left" wrapText="1" indent="2"/>
    </xf>
    <xf numFmtId="164" fontId="11" fillId="2" borderId="12" xfId="1" applyNumberFormat="1" applyFont="1" applyFill="1" applyBorder="1" applyAlignment="1">
      <alignment horizontal="right"/>
    </xf>
    <xf numFmtId="0" fontId="6" fillId="2" borderId="9" xfId="0" applyFont="1" applyFill="1" applyBorder="1" applyAlignment="1">
      <alignment horizontal="left" wrapText="1" indent="2"/>
    </xf>
    <xf numFmtId="164" fontId="11" fillId="2" borderId="3" xfId="1" applyNumberFormat="1" applyFont="1" applyFill="1" applyBorder="1" applyAlignment="1">
      <alignment horizontal="right"/>
    </xf>
    <xf numFmtId="173" fontId="11" fillId="2" borderId="3" xfId="1" applyNumberFormat="1" applyFont="1" applyFill="1" applyBorder="1" applyAlignment="1">
      <alignment horizontal="right"/>
    </xf>
    <xf numFmtId="0" fontId="11" fillId="2" borderId="13" xfId="1" applyFont="1" applyFill="1" applyBorder="1" applyAlignment="1">
      <alignment horizontal="left" wrapText="1"/>
    </xf>
    <xf numFmtId="173" fontId="6" fillId="2" borderId="13" xfId="1" applyNumberFormat="1" applyFont="1" applyFill="1" applyBorder="1"/>
    <xf numFmtId="164" fontId="8" fillId="2" borderId="10" xfId="3" applyNumberFormat="1" applyFont="1" applyFill="1" applyBorder="1" applyAlignment="1">
      <alignment horizontal="center"/>
    </xf>
    <xf numFmtId="173" fontId="8" fillId="2" borderId="10" xfId="3" applyNumberFormat="1" applyFont="1" applyFill="1" applyBorder="1" applyAlignment="1">
      <alignment horizontal="center"/>
    </xf>
    <xf numFmtId="164" fontId="8" fillId="2" borderId="12" xfId="3" applyNumberFormat="1" applyFont="1" applyFill="1" applyBorder="1" applyAlignment="1">
      <alignment horizontal="center"/>
    </xf>
    <xf numFmtId="164" fontId="11" fillId="2" borderId="8" xfId="1" applyNumberFormat="1" applyFont="1" applyFill="1" applyBorder="1"/>
    <xf numFmtId="173" fontId="11" fillId="2" borderId="8" xfId="1" applyNumberFormat="1" applyFont="1" applyFill="1" applyBorder="1"/>
    <xf numFmtId="164" fontId="6" fillId="2" borderId="13" xfId="1" applyNumberFormat="1" applyFont="1" applyFill="1" applyBorder="1"/>
    <xf numFmtId="173" fontId="11" fillId="2" borderId="13" xfId="1" applyNumberFormat="1" applyFont="1" applyFill="1" applyBorder="1"/>
    <xf numFmtId="173" fontId="11" fillId="2" borderId="10" xfId="1" applyNumberFormat="1" applyFont="1" applyFill="1" applyBorder="1"/>
    <xf numFmtId="0" fontId="6" fillId="2" borderId="10" xfId="1" applyFont="1" applyFill="1" applyBorder="1" applyAlignment="1">
      <alignment horizontal="right" wrapText="1" indent="3"/>
    </xf>
    <xf numFmtId="0" fontId="15" fillId="2" borderId="13" xfId="1" applyFont="1" applyFill="1" applyBorder="1"/>
    <xf numFmtId="0" fontId="6" fillId="2" borderId="13" xfId="1" applyFont="1" applyFill="1" applyBorder="1"/>
    <xf numFmtId="173" fontId="15" fillId="2" borderId="13" xfId="1" applyNumberFormat="1" applyFont="1" applyFill="1" applyBorder="1"/>
    <xf numFmtId="173" fontId="7" fillId="2" borderId="10" xfId="3" applyNumberFormat="1" applyFont="1" applyFill="1" applyBorder="1" applyAlignment="1">
      <alignment horizontal="center"/>
    </xf>
    <xf numFmtId="0" fontId="4" fillId="2" borderId="0" xfId="0" applyFont="1" applyFill="1"/>
    <xf numFmtId="164" fontId="12" fillId="2" borderId="10" xfId="3" applyNumberFormat="1" applyFont="1" applyFill="1" applyBorder="1" applyAlignment="1">
      <alignment horizontal="center"/>
    </xf>
    <xf numFmtId="173" fontId="12" fillId="2" borderId="10" xfId="3" applyNumberFormat="1" applyFont="1" applyFill="1" applyBorder="1" applyAlignment="1">
      <alignment horizontal="center"/>
    </xf>
    <xf numFmtId="0" fontId="6" fillId="2" borderId="2" xfId="1" applyFont="1" applyFill="1" applyBorder="1" applyAlignment="1">
      <alignment horizontal="left" wrapText="1" indent="3"/>
    </xf>
    <xf numFmtId="164" fontId="7" fillId="2" borderId="6" xfId="3" applyNumberFormat="1" applyFont="1" applyFill="1" applyBorder="1" applyAlignment="1">
      <alignment horizontal="center"/>
    </xf>
    <xf numFmtId="173" fontId="7" fillId="2" borderId="6" xfId="3" applyNumberFormat="1" applyFont="1" applyFill="1" applyBorder="1" applyAlignment="1">
      <alignment horizontal="center"/>
    </xf>
    <xf numFmtId="0" fontId="11" fillId="2" borderId="10" xfId="1" applyFont="1" applyFill="1" applyBorder="1" applyAlignment="1">
      <alignment wrapText="1"/>
    </xf>
    <xf numFmtId="171" fontId="11" fillId="2" borderId="6" xfId="2" applyNumberFormat="1" applyFont="1" applyFill="1" applyBorder="1" applyAlignment="1">
      <alignment horizontal="right"/>
    </xf>
    <xf numFmtId="173" fontId="11" fillId="2" borderId="6" xfId="2" applyNumberFormat="1" applyFont="1" applyFill="1" applyBorder="1" applyAlignment="1">
      <alignment horizontal="right"/>
    </xf>
    <xf numFmtId="4" fontId="11" fillId="2" borderId="13" xfId="1" applyNumberFormat="1" applyFont="1" applyFill="1" applyBorder="1" applyAlignment="1">
      <alignment horizontal="left" wrapText="1" indent="1"/>
    </xf>
    <xf numFmtId="169" fontId="11" fillId="2" borderId="13" xfId="4" applyNumberFormat="1" applyFont="1" applyFill="1" applyBorder="1"/>
    <xf numFmtId="173" fontId="11" fillId="2" borderId="13" xfId="4" applyNumberFormat="1" applyFont="1" applyFill="1" applyBorder="1"/>
    <xf numFmtId="173" fontId="8" fillId="2" borderId="12" xfId="3" applyNumberFormat="1" applyFont="1" applyFill="1" applyBorder="1" applyAlignment="1">
      <alignment horizontal="center"/>
    </xf>
    <xf numFmtId="165" fontId="16" fillId="2" borderId="0" xfId="2" applyFont="1" applyFill="1" applyBorder="1"/>
    <xf numFmtId="0" fontId="20" fillId="2" borderId="0" xfId="1" applyFont="1" applyFill="1" applyAlignment="1">
      <alignment horizontal="center"/>
    </xf>
    <xf numFmtId="0" fontId="21" fillId="2" borderId="0" xfId="1" applyFont="1" applyFill="1" applyAlignment="1">
      <alignment horizontal="center"/>
    </xf>
    <xf numFmtId="0" fontId="27" fillId="2" borderId="0" xfId="1" applyFont="1" applyFill="1" applyAlignment="1">
      <alignment horizontal="left"/>
    </xf>
    <xf numFmtId="0" fontId="27" fillId="2" borderId="0" xfId="1" applyFont="1" applyFill="1" applyAlignment="1">
      <alignment horizontal="center"/>
    </xf>
    <xf numFmtId="172" fontId="6" fillId="2" borderId="6" xfId="1" applyNumberFormat="1" applyFont="1" applyFill="1" applyBorder="1" applyAlignment="1">
      <alignment horizontal="center"/>
    </xf>
    <xf numFmtId="165" fontId="6" fillId="2" borderId="0" xfId="2" applyFont="1" applyFill="1" applyBorder="1"/>
    <xf numFmtId="0" fontId="6" fillId="2" borderId="2" xfId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wrapText="1" indent="2"/>
    </xf>
    <xf numFmtId="0" fontId="9" fillId="2" borderId="12" xfId="0" applyFont="1" applyFill="1" applyBorder="1" applyAlignment="1">
      <alignment horizontal="left" wrapText="1" indent="2"/>
    </xf>
    <xf numFmtId="171" fontId="9" fillId="2" borderId="10" xfId="2" applyNumberFormat="1" applyFont="1" applyFill="1" applyBorder="1" applyAlignment="1">
      <alignment horizontal="center"/>
    </xf>
    <xf numFmtId="0" fontId="12" fillId="2" borderId="6" xfId="0" applyFont="1" applyFill="1" applyBorder="1" applyAlignment="1">
      <alignment horizontal="left" wrapText="1" indent="2"/>
    </xf>
    <xf numFmtId="164" fontId="7" fillId="2" borderId="6" xfId="1" applyNumberFormat="1" applyFont="1" applyFill="1" applyBorder="1"/>
    <xf numFmtId="164" fontId="8" fillId="2" borderId="6" xfId="1" applyNumberFormat="1" applyFont="1" applyFill="1" applyBorder="1"/>
    <xf numFmtId="172" fontId="7" fillId="2" borderId="20" xfId="1" applyNumberFormat="1" applyFont="1" applyFill="1" applyBorder="1"/>
    <xf numFmtId="0" fontId="7" fillId="2" borderId="12" xfId="1" applyFont="1" applyFill="1" applyBorder="1"/>
    <xf numFmtId="164" fontId="7" fillId="2" borderId="12" xfId="1" applyNumberFormat="1" applyFont="1" applyFill="1" applyBorder="1"/>
    <xf numFmtId="172" fontId="7" fillId="2" borderId="22" xfId="1" applyNumberFormat="1" applyFont="1" applyFill="1" applyBorder="1"/>
    <xf numFmtId="172" fontId="7" fillId="2" borderId="12" xfId="1" applyNumberFormat="1" applyFont="1" applyFill="1" applyBorder="1"/>
    <xf numFmtId="2" fontId="29" fillId="2" borderId="10" xfId="0" applyNumberFormat="1" applyFont="1" applyFill="1" applyBorder="1" applyAlignment="1">
      <alignment horizontal="left" wrapText="1" indent="2"/>
    </xf>
    <xf numFmtId="2" fontId="9" fillId="2" borderId="2" xfId="0" applyNumberFormat="1" applyFont="1" applyFill="1" applyBorder="1" applyAlignment="1">
      <alignment horizontal="left" wrapText="1" indent="2"/>
    </xf>
    <xf numFmtId="170" fontId="6" fillId="2" borderId="12" xfId="2" applyNumberFormat="1" applyFont="1" applyFill="1" applyBorder="1"/>
    <xf numFmtId="164" fontId="12" fillId="2" borderId="6" xfId="1" applyNumberFormat="1" applyFont="1" applyFill="1" applyBorder="1"/>
    <xf numFmtId="172" fontId="12" fillId="2" borderId="6" xfId="1" applyNumberFormat="1" applyFont="1" applyFill="1" applyBorder="1"/>
    <xf numFmtId="0" fontId="14" fillId="2" borderId="2" xfId="1" applyFont="1" applyFill="1" applyBorder="1"/>
    <xf numFmtId="0" fontId="11" fillId="2" borderId="19" xfId="1" applyFont="1" applyFill="1" applyBorder="1"/>
    <xf numFmtId="0" fontId="6" fillId="2" borderId="4" xfId="1" applyFont="1" applyFill="1" applyBorder="1"/>
    <xf numFmtId="0" fontId="11" fillId="2" borderId="19" xfId="0" applyFont="1" applyFill="1" applyBorder="1" applyAlignment="1">
      <alignment horizontal="left"/>
    </xf>
    <xf numFmtId="0" fontId="11" fillId="2" borderId="10" xfId="1" applyFont="1" applyFill="1" applyBorder="1" applyAlignment="1">
      <alignment horizontal="left" wrapText="1"/>
    </xf>
    <xf numFmtId="0" fontId="11" fillId="2" borderId="19" xfId="1" applyFont="1" applyFill="1" applyBorder="1" applyAlignment="1">
      <alignment horizontal="left" wrapText="1"/>
    </xf>
    <xf numFmtId="0" fontId="11" fillId="2" borderId="19" xfId="1" applyFont="1" applyFill="1" applyBorder="1" applyAlignment="1">
      <alignment horizontal="left"/>
    </xf>
    <xf numFmtId="0" fontId="11" fillId="2" borderId="26" xfId="1" applyFont="1" applyFill="1" applyBorder="1" applyAlignment="1">
      <alignment horizontal="left"/>
    </xf>
    <xf numFmtId="0" fontId="11" fillId="2" borderId="14" xfId="1" applyFont="1" applyFill="1" applyBorder="1" applyAlignment="1">
      <alignment horizontal="left" indent="2"/>
    </xf>
    <xf numFmtId="0" fontId="11" fillId="2" borderId="26" xfId="1" applyFont="1" applyFill="1" applyBorder="1"/>
    <xf numFmtId="0" fontId="7" fillId="2" borderId="14" xfId="1" applyFont="1" applyFill="1" applyBorder="1" applyAlignment="1">
      <alignment wrapText="1"/>
    </xf>
    <xf numFmtId="0" fontId="7" fillId="2" borderId="19" xfId="1" applyFont="1" applyFill="1" applyBorder="1" applyAlignment="1">
      <alignment horizontal="left"/>
    </xf>
    <xf numFmtId="0" fontId="6" fillId="2" borderId="2" xfId="1" applyFont="1" applyFill="1" applyBorder="1"/>
    <xf numFmtId="0" fontId="11" fillId="2" borderId="1" xfId="1" applyFont="1" applyFill="1" applyBorder="1"/>
    <xf numFmtId="170" fontId="11" fillId="2" borderId="10" xfId="2" applyNumberFormat="1" applyFont="1" applyFill="1" applyBorder="1"/>
    <xf numFmtId="170" fontId="11" fillId="2" borderId="12" xfId="2" applyNumberFormat="1" applyFont="1" applyFill="1" applyBorder="1"/>
    <xf numFmtId="164" fontId="11" fillId="2" borderId="6" xfId="1" applyNumberFormat="1" applyFont="1" applyFill="1" applyBorder="1" applyAlignment="1">
      <alignment horizontal="center"/>
    </xf>
    <xf numFmtId="172" fontId="11" fillId="2" borderId="6" xfId="1" applyNumberFormat="1" applyFont="1" applyFill="1" applyBorder="1" applyAlignment="1">
      <alignment horizontal="center"/>
    </xf>
    <xf numFmtId="164" fontId="15" fillId="2" borderId="14" xfId="1" applyNumberFormat="1" applyFont="1" applyFill="1" applyBorder="1" applyAlignment="1">
      <alignment horizontal="center"/>
    </xf>
    <xf numFmtId="0" fontId="17" fillId="2" borderId="15" xfId="1" applyFont="1" applyFill="1" applyBorder="1"/>
    <xf numFmtId="0" fontId="15" fillId="2" borderId="13" xfId="1" applyFont="1" applyFill="1" applyBorder="1" applyAlignment="1">
      <alignment horizontal="left" wrapText="1"/>
    </xf>
    <xf numFmtId="0" fontId="15" fillId="2" borderId="6" xfId="1" applyFont="1" applyFill="1" applyBorder="1" applyAlignment="1">
      <alignment horizontal="left" indent="2"/>
    </xf>
    <xf numFmtId="0" fontId="16" fillId="2" borderId="6" xfId="1" applyFont="1" applyFill="1" applyBorder="1" applyAlignment="1">
      <alignment horizontal="left" indent="2"/>
    </xf>
    <xf numFmtId="171" fontId="15" fillId="2" borderId="20" xfId="2" applyNumberFormat="1" applyFont="1" applyFill="1" applyBorder="1"/>
    <xf numFmtId="0" fontId="15" fillId="2" borderId="2" xfId="1" applyFont="1" applyFill="1" applyBorder="1" applyAlignment="1">
      <alignment horizontal="left" indent="1"/>
    </xf>
    <xf numFmtId="172" fontId="16" fillId="2" borderId="2" xfId="1" applyNumberFormat="1" applyFont="1" applyFill="1" applyBorder="1"/>
    <xf numFmtId="0" fontId="16" fillId="2" borderId="2" xfId="1" applyFont="1" applyFill="1" applyBorder="1"/>
    <xf numFmtId="164" fontId="11" fillId="2" borderId="2" xfId="2" applyNumberFormat="1" applyFont="1" applyFill="1" applyBorder="1"/>
    <xf numFmtId="0" fontId="11" fillId="2" borderId="6" xfId="1" applyFont="1" applyFill="1" applyBorder="1" applyAlignment="1">
      <alignment horizontal="right" wrapText="1" indent="3"/>
    </xf>
    <xf numFmtId="172" fontId="11" fillId="2" borderId="6" xfId="1" applyNumberFormat="1" applyFont="1" applyFill="1" applyBorder="1" applyAlignment="1">
      <alignment horizontal="right"/>
    </xf>
    <xf numFmtId="0" fontId="11" fillId="2" borderId="2" xfId="1" applyFont="1" applyFill="1" applyBorder="1" applyAlignment="1">
      <alignment horizontal="right" wrapText="1" indent="3"/>
    </xf>
    <xf numFmtId="164" fontId="11" fillId="2" borderId="14" xfId="2" applyNumberFormat="1" applyFont="1" applyFill="1" applyBorder="1"/>
    <xf numFmtId="0" fontId="13" fillId="2" borderId="14" xfId="0" applyFont="1" applyFill="1" applyBorder="1" applyAlignment="1">
      <alignment horizontal="left" wrapText="1" indent="2"/>
    </xf>
    <xf numFmtId="0" fontId="11" fillId="2" borderId="2" xfId="1" applyFont="1" applyFill="1" applyBorder="1" applyAlignment="1">
      <alignment horizontal="left" wrapText="1" indent="1"/>
    </xf>
    <xf numFmtId="172" fontId="11" fillId="2" borderId="2" xfId="1" applyNumberFormat="1" applyFont="1" applyFill="1" applyBorder="1"/>
    <xf numFmtId="0" fontId="11" fillId="2" borderId="2" xfId="1" applyFont="1" applyFill="1" applyBorder="1"/>
    <xf numFmtId="0" fontId="6" fillId="2" borderId="2" xfId="1" applyFont="1" applyFill="1" applyBorder="1" applyAlignment="1">
      <alignment horizontal="left" indent="2"/>
    </xf>
    <xf numFmtId="172" fontId="6" fillId="2" borderId="2" xfId="1" applyNumberFormat="1" applyFont="1" applyFill="1" applyBorder="1" applyAlignment="1">
      <alignment horizontal="left" indent="2"/>
    </xf>
    <xf numFmtId="0" fontId="11" fillId="2" borderId="29" xfId="1" applyFont="1" applyFill="1" applyBorder="1" applyAlignment="1">
      <alignment wrapText="1"/>
    </xf>
    <xf numFmtId="164" fontId="11" fillId="2" borderId="6" xfId="1" applyNumberFormat="1" applyFont="1" applyFill="1" applyBorder="1" applyAlignment="1">
      <alignment horizontal="right"/>
    </xf>
    <xf numFmtId="0" fontId="11" fillId="2" borderId="14" xfId="1" applyFont="1" applyFill="1" applyBorder="1" applyAlignment="1">
      <alignment horizontal="left" wrapText="1"/>
    </xf>
    <xf numFmtId="3" fontId="6" fillId="2" borderId="2" xfId="1" applyNumberFormat="1" applyFont="1" applyFill="1" applyBorder="1"/>
    <xf numFmtId="0" fontId="15" fillId="2" borderId="2" xfId="1" applyFont="1" applyFill="1" applyBorder="1" applyAlignment="1">
      <alignment horizontal="left" wrapText="1" indent="1"/>
    </xf>
    <xf numFmtId="164" fontId="11" fillId="2" borderId="1" xfId="1" applyNumberFormat="1" applyFont="1" applyFill="1" applyBorder="1" applyAlignment="1">
      <alignment horizontal="left" wrapText="1" indent="1"/>
    </xf>
    <xf numFmtId="0" fontId="0" fillId="2" borderId="0" xfId="0" applyFill="1"/>
    <xf numFmtId="0" fontId="14" fillId="2" borderId="2" xfId="1" applyFont="1" applyFill="1" applyBorder="1" applyAlignment="1">
      <alignment horizontal="left"/>
    </xf>
    <xf numFmtId="170" fontId="11" fillId="2" borderId="6" xfId="1" applyNumberFormat="1" applyFont="1" applyFill="1" applyBorder="1" applyAlignment="1">
      <alignment horizontal="right"/>
    </xf>
    <xf numFmtId="171" fontId="6" fillId="2" borderId="13" xfId="2" applyNumberFormat="1" applyFont="1" applyFill="1" applyBorder="1"/>
    <xf numFmtId="171" fontId="8" fillId="2" borderId="10" xfId="2" applyNumberFormat="1" applyFont="1" applyFill="1" applyBorder="1"/>
    <xf numFmtId="171" fontId="7" fillId="2" borderId="10" xfId="2" applyNumberFormat="1" applyFont="1" applyFill="1" applyBorder="1"/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297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323</xdr:row>
      <xdr:rowOff>0</xdr:rowOff>
    </xdr:from>
    <xdr:to>
      <xdr:col>1</xdr:col>
      <xdr:colOff>104775</xdr:colOff>
      <xdr:row>323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325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338</xdr:row>
      <xdr:rowOff>0</xdr:rowOff>
    </xdr:from>
    <xdr:to>
      <xdr:col>1</xdr:col>
      <xdr:colOff>104775</xdr:colOff>
      <xdr:row>338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349</xdr:row>
      <xdr:rowOff>0</xdr:rowOff>
    </xdr:from>
    <xdr:to>
      <xdr:col>1</xdr:col>
      <xdr:colOff>104775</xdr:colOff>
      <xdr:row>349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364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374</xdr:row>
      <xdr:rowOff>0</xdr:rowOff>
    </xdr:from>
    <xdr:to>
      <xdr:col>1</xdr:col>
      <xdr:colOff>104775</xdr:colOff>
      <xdr:row>374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376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311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284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256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222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5"/>
  <sheetViews>
    <sheetView showZeros="0" tabSelected="1" zoomScaleNormal="10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B15" sqref="B15"/>
    </sheetView>
  </sheetViews>
  <sheetFormatPr defaultColWidth="9.140625" defaultRowHeight="15" x14ac:dyDescent="0.25"/>
  <cols>
    <col min="1" max="1" width="5.140625" style="49" hidden="1" customWidth="1"/>
    <col min="2" max="2" width="44.5703125" style="80" customWidth="1"/>
    <col min="3" max="3" width="15.5703125" style="80" customWidth="1"/>
    <col min="4" max="4" width="14.85546875" style="80" customWidth="1"/>
    <col min="5" max="5" width="14.28515625" style="80" customWidth="1"/>
    <col min="6" max="6" width="12.7109375" style="80" customWidth="1"/>
    <col min="7" max="7" width="13.42578125" style="184" customWidth="1"/>
    <col min="8" max="8" width="14" style="184" customWidth="1"/>
    <col min="9" max="9" width="14.42578125" style="184" customWidth="1"/>
    <col min="10" max="10" width="11" style="80" customWidth="1"/>
    <col min="11" max="11" width="13.7109375" style="49" customWidth="1"/>
    <col min="12" max="12" width="10" style="485" bestFit="1" customWidth="1"/>
    <col min="13" max="16384" width="9.140625" style="49"/>
  </cols>
  <sheetData>
    <row r="1" spans="1:12" ht="30.75" customHeight="1" x14ac:dyDescent="0.25">
      <c r="B1" s="396" t="s">
        <v>131</v>
      </c>
      <c r="C1" s="397"/>
      <c r="D1" s="397"/>
      <c r="E1" s="397"/>
      <c r="F1" s="397"/>
      <c r="G1" s="397"/>
      <c r="H1" s="397"/>
      <c r="I1" s="397"/>
      <c r="J1" s="397"/>
    </row>
    <row r="2" spans="1:12" ht="15.75" x14ac:dyDescent="0.25">
      <c r="B2" s="486"/>
      <c r="C2" s="486"/>
      <c r="D2" s="486"/>
      <c r="E2" s="486"/>
      <c r="F2" s="487"/>
      <c r="G2" s="486"/>
      <c r="H2" s="486"/>
      <c r="I2" s="486"/>
      <c r="J2" s="486"/>
    </row>
    <row r="3" spans="1:12" ht="18.75" hidden="1" x14ac:dyDescent="0.3">
      <c r="B3" s="488">
        <v>5</v>
      </c>
      <c r="C3" s="65"/>
      <c r="D3" s="65"/>
      <c r="E3" s="65"/>
      <c r="F3" s="489"/>
      <c r="G3" s="160"/>
      <c r="H3" s="160"/>
      <c r="I3" s="160"/>
      <c r="J3" s="65"/>
    </row>
    <row r="4" spans="1:12" ht="18.75" customHeight="1" thickBot="1" x14ac:dyDescent="0.35">
      <c r="B4" s="488"/>
      <c r="C4" s="65"/>
      <c r="D4" s="65"/>
      <c r="E4" s="65"/>
      <c r="F4" s="489"/>
      <c r="G4" s="160"/>
      <c r="H4" s="160"/>
      <c r="I4" s="160"/>
      <c r="J4" s="65"/>
    </row>
    <row r="5" spans="1:12" ht="31.5" customHeight="1" thickBot="1" x14ac:dyDescent="0.3">
      <c r="B5" s="400" t="s">
        <v>0</v>
      </c>
      <c r="C5" s="401" t="s">
        <v>102</v>
      </c>
      <c r="D5" s="402"/>
      <c r="E5" s="402"/>
      <c r="F5" s="403"/>
      <c r="G5" s="401" t="s">
        <v>101</v>
      </c>
      <c r="H5" s="402"/>
      <c r="I5" s="402"/>
      <c r="J5" s="403"/>
    </row>
    <row r="6" spans="1:12" ht="60.75" thickBot="1" x14ac:dyDescent="0.3">
      <c r="B6" s="404"/>
      <c r="C6" s="149" t="s">
        <v>128</v>
      </c>
      <c r="D6" s="149" t="s">
        <v>132</v>
      </c>
      <c r="E6" s="149" t="s">
        <v>103</v>
      </c>
      <c r="F6" s="405" t="s">
        <v>35</v>
      </c>
      <c r="G6" s="161" t="s">
        <v>129</v>
      </c>
      <c r="H6" s="161" t="s">
        <v>133</v>
      </c>
      <c r="I6" s="161" t="s">
        <v>104</v>
      </c>
      <c r="J6" s="405" t="s">
        <v>35</v>
      </c>
    </row>
    <row r="7" spans="1:12" s="99" customFormat="1" ht="15.75" thickBot="1" x14ac:dyDescent="0.3">
      <c r="B7" s="406">
        <v>1</v>
      </c>
      <c r="C7" s="406">
        <v>2</v>
      </c>
      <c r="D7" s="406">
        <v>3</v>
      </c>
      <c r="E7" s="406">
        <v>4</v>
      </c>
      <c r="F7" s="406">
        <v>5</v>
      </c>
      <c r="G7" s="490">
        <v>6</v>
      </c>
      <c r="H7" s="490">
        <v>7</v>
      </c>
      <c r="I7" s="490">
        <v>8</v>
      </c>
      <c r="J7" s="406">
        <v>9</v>
      </c>
      <c r="K7" s="48"/>
      <c r="L7" s="491"/>
    </row>
    <row r="8" spans="1:12" ht="13.9" customHeight="1" x14ac:dyDescent="0.25">
      <c r="B8" s="113"/>
      <c r="C8" s="66"/>
      <c r="D8" s="66"/>
      <c r="E8" s="66"/>
      <c r="F8" s="66"/>
      <c r="G8" s="162"/>
      <c r="H8" s="162"/>
      <c r="I8" s="162"/>
      <c r="J8" s="492"/>
      <c r="K8" s="48"/>
    </row>
    <row r="9" spans="1:12" ht="28.5" customHeight="1" x14ac:dyDescent="0.25">
      <c r="A9" s="49">
        <v>1</v>
      </c>
      <c r="B9" s="407" t="s">
        <v>59</v>
      </c>
      <c r="C9" s="58"/>
      <c r="D9" s="332"/>
      <c r="E9" s="58"/>
      <c r="F9" s="58"/>
      <c r="G9" s="333"/>
      <c r="H9" s="163"/>
      <c r="I9" s="163"/>
      <c r="J9" s="83"/>
      <c r="K9" s="48"/>
    </row>
    <row r="10" spans="1:12" ht="30" customHeight="1" x14ac:dyDescent="0.25">
      <c r="B10" s="121" t="s">
        <v>120</v>
      </c>
      <c r="C10" s="52">
        <f>SUM(C11:C12)</f>
        <v>1533</v>
      </c>
      <c r="D10" s="52">
        <f>SUM(D11:D12)</f>
        <v>639</v>
      </c>
      <c r="E10" s="52">
        <f>SUM(E11:E12)</f>
        <v>285</v>
      </c>
      <c r="F10" s="52">
        <f t="shared" ref="F10:F15" si="0">E10/D10*100</f>
        <v>44.600938967136152</v>
      </c>
      <c r="G10" s="281">
        <f>SUM(G11:G12)</f>
        <v>2329.9957899999999</v>
      </c>
      <c r="H10" s="281">
        <f>SUM(H11:H12)</f>
        <v>970.83</v>
      </c>
      <c r="I10" s="281">
        <f>SUM(I11:I12)</f>
        <v>341.96605999999997</v>
      </c>
      <c r="J10" s="52">
        <f>I10/H10*100</f>
        <v>35.22409278658467</v>
      </c>
      <c r="K10" s="48"/>
    </row>
    <row r="11" spans="1:12" ht="30" customHeight="1" x14ac:dyDescent="0.25">
      <c r="A11" s="49">
        <v>1</v>
      </c>
      <c r="B11" s="493" t="s">
        <v>79</v>
      </c>
      <c r="C11" s="52">
        <v>1179</v>
      </c>
      <c r="D11" s="321">
        <f>ROUND(C11/12*$B$3,0)</f>
        <v>491</v>
      </c>
      <c r="E11" s="52">
        <v>235</v>
      </c>
      <c r="F11" s="52">
        <f t="shared" si="0"/>
        <v>47.861507128309569</v>
      </c>
      <c r="G11" s="281">
        <v>1750.6734000000001</v>
      </c>
      <c r="H11" s="378">
        <f>ROUND(G11/12*$B$3,2)</f>
        <v>729.45</v>
      </c>
      <c r="I11" s="281">
        <v>257.44092000000001</v>
      </c>
      <c r="J11" s="52">
        <f t="shared" ref="J11:J17" si="1">I11/H11*100</f>
        <v>35.292469668928646</v>
      </c>
      <c r="K11" s="48"/>
    </row>
    <row r="12" spans="1:12" ht="30" x14ac:dyDescent="0.25">
      <c r="A12" s="49">
        <v>1</v>
      </c>
      <c r="B12" s="493" t="s">
        <v>80</v>
      </c>
      <c r="C12" s="52">
        <v>354</v>
      </c>
      <c r="D12" s="321">
        <f>ROUND(C12/12*$B$3,0)</f>
        <v>148</v>
      </c>
      <c r="E12" s="52">
        <v>50</v>
      </c>
      <c r="F12" s="322">
        <f t="shared" si="0"/>
        <v>33.783783783783782</v>
      </c>
      <c r="G12" s="281">
        <v>579.32239000000004</v>
      </c>
      <c r="H12" s="281">
        <f>ROUND(G12/12*$B$3,2)</f>
        <v>241.38</v>
      </c>
      <c r="I12" s="281">
        <v>84.525139999999993</v>
      </c>
      <c r="J12" s="322">
        <f t="shared" si="1"/>
        <v>35.017457950120139</v>
      </c>
      <c r="K12" s="48"/>
    </row>
    <row r="13" spans="1:12" ht="30" x14ac:dyDescent="0.25">
      <c r="A13" s="49">
        <v>1</v>
      </c>
      <c r="B13" s="493" t="s">
        <v>112</v>
      </c>
      <c r="C13" s="52">
        <f>SUM(C14)</f>
        <v>0</v>
      </c>
      <c r="D13" s="52">
        <f>SUM(D14)</f>
        <v>0</v>
      </c>
      <c r="E13" s="52">
        <f>SUM(E14)</f>
        <v>0</v>
      </c>
      <c r="F13" s="52"/>
      <c r="G13" s="281">
        <f>SUM(G14)</f>
        <v>0</v>
      </c>
      <c r="H13" s="281">
        <f>SUM(H14)</f>
        <v>0</v>
      </c>
      <c r="I13" s="281">
        <f>SUM(I14)</f>
        <v>0</v>
      </c>
      <c r="J13" s="52"/>
      <c r="K13" s="48"/>
    </row>
    <row r="14" spans="1:12" ht="30" x14ac:dyDescent="0.25">
      <c r="A14" s="49">
        <v>1</v>
      </c>
      <c r="B14" s="494" t="s">
        <v>108</v>
      </c>
      <c r="C14" s="322"/>
      <c r="D14" s="322">
        <f>ROUND(C14/12*$B$3,0)</f>
        <v>0</v>
      </c>
      <c r="E14" s="322"/>
      <c r="F14" s="322"/>
      <c r="G14" s="281"/>
      <c r="H14" s="281">
        <f>ROUND(G14/12*$B$3,2)</f>
        <v>0</v>
      </c>
      <c r="I14" s="281"/>
      <c r="J14" s="322"/>
      <c r="K14" s="48"/>
    </row>
    <row r="15" spans="1:12" ht="30" x14ac:dyDescent="0.25">
      <c r="A15" s="49">
        <v>1</v>
      </c>
      <c r="B15" s="408" t="s">
        <v>123</v>
      </c>
      <c r="C15" s="495">
        <v>100</v>
      </c>
      <c r="D15" s="52">
        <f>ROUND(C15/12*$B$3,0)</f>
        <v>42</v>
      </c>
      <c r="E15" s="495">
        <v>15</v>
      </c>
      <c r="F15" s="52">
        <f t="shared" si="0"/>
        <v>35.714285714285715</v>
      </c>
      <c r="G15" s="281">
        <f>81102/1000</f>
        <v>81.102000000000004</v>
      </c>
      <c r="H15" s="281">
        <f>ROUND(G15/12*$B$3,2)</f>
        <v>33.79</v>
      </c>
      <c r="I15" s="281">
        <v>12.165299999999998</v>
      </c>
      <c r="J15" s="52">
        <f t="shared" si="1"/>
        <v>36.002663509914171</v>
      </c>
      <c r="K15" s="48"/>
    </row>
    <row r="16" spans="1:12" ht="15.75" thickBot="1" x14ac:dyDescent="0.3">
      <c r="A16" s="49">
        <v>1</v>
      </c>
      <c r="B16" s="344"/>
      <c r="C16" s="288"/>
      <c r="D16" s="288"/>
      <c r="E16" s="288"/>
      <c r="F16" s="288"/>
      <c r="G16" s="342"/>
      <c r="H16" s="320"/>
      <c r="I16" s="320"/>
      <c r="J16" s="288"/>
      <c r="K16" s="48"/>
    </row>
    <row r="17" spans="1:12" s="413" customFormat="1" ht="15.75" thickBot="1" x14ac:dyDescent="0.3">
      <c r="A17" s="49">
        <v>1</v>
      </c>
      <c r="B17" s="496" t="s">
        <v>3</v>
      </c>
      <c r="C17" s="497"/>
      <c r="D17" s="497"/>
      <c r="E17" s="497"/>
      <c r="F17" s="498"/>
      <c r="G17" s="499">
        <f>G13+G10+G15</f>
        <v>2411.0977899999998</v>
      </c>
      <c r="H17" s="499">
        <f>H13+H10+H15</f>
        <v>1004.62</v>
      </c>
      <c r="I17" s="499">
        <f>I13+I10+I15</f>
        <v>354.13135999999997</v>
      </c>
      <c r="J17" s="498">
        <f t="shared" si="1"/>
        <v>35.250279707750195</v>
      </c>
      <c r="K17" s="48"/>
      <c r="L17" s="485"/>
    </row>
    <row r="18" spans="1:12" ht="15" customHeight="1" x14ac:dyDescent="0.25">
      <c r="A18" s="49">
        <v>1</v>
      </c>
      <c r="B18" s="120"/>
      <c r="C18" s="47"/>
      <c r="D18" s="100"/>
      <c r="E18" s="47"/>
      <c r="F18" s="195"/>
      <c r="G18" s="190"/>
      <c r="H18" s="164"/>
      <c r="I18" s="164"/>
      <c r="J18" s="47"/>
      <c r="K18" s="48"/>
    </row>
    <row r="19" spans="1:12" ht="15" customHeight="1" x14ac:dyDescent="0.25">
      <c r="A19" s="49">
        <v>1</v>
      </c>
      <c r="B19" s="500" t="s">
        <v>87</v>
      </c>
      <c r="C19" s="501"/>
      <c r="D19" s="501"/>
      <c r="E19" s="501"/>
      <c r="F19" s="150"/>
      <c r="G19" s="502"/>
      <c r="H19" s="503"/>
      <c r="I19" s="503"/>
      <c r="J19" s="501"/>
      <c r="K19" s="48"/>
    </row>
    <row r="20" spans="1:12" ht="51" customHeight="1" x14ac:dyDescent="0.25">
      <c r="A20" s="49">
        <v>1</v>
      </c>
      <c r="B20" s="121" t="s">
        <v>120</v>
      </c>
      <c r="C20" s="52">
        <f>C10</f>
        <v>1533</v>
      </c>
      <c r="D20" s="52">
        <f>D10</f>
        <v>639</v>
      </c>
      <c r="E20" s="52">
        <f>E10</f>
        <v>285</v>
      </c>
      <c r="F20" s="52">
        <f>E20/D20*100</f>
        <v>44.600938967136152</v>
      </c>
      <c r="G20" s="281">
        <f>G10</f>
        <v>2329.9957899999999</v>
      </c>
      <c r="H20" s="281">
        <f>H10</f>
        <v>970.83</v>
      </c>
      <c r="I20" s="281">
        <f>I10</f>
        <v>341.96605999999997</v>
      </c>
      <c r="J20" s="52">
        <f>I20/H20*100</f>
        <v>35.22409278658467</v>
      </c>
      <c r="K20" s="48"/>
    </row>
    <row r="21" spans="1:12" ht="42.75" customHeight="1" x14ac:dyDescent="0.25">
      <c r="A21" s="49">
        <v>1</v>
      </c>
      <c r="B21" s="122" t="s">
        <v>79</v>
      </c>
      <c r="C21" s="52">
        <f t="shared" ref="C21:E24" si="2">SUM(C11)</f>
        <v>1179</v>
      </c>
      <c r="D21" s="52">
        <f t="shared" si="2"/>
        <v>491</v>
      </c>
      <c r="E21" s="52">
        <f t="shared" si="2"/>
        <v>235</v>
      </c>
      <c r="F21" s="52">
        <f>E21/D21*100</f>
        <v>47.861507128309569</v>
      </c>
      <c r="G21" s="281">
        <f t="shared" ref="G21:I24" si="3">SUM(G11)</f>
        <v>1750.6734000000001</v>
      </c>
      <c r="H21" s="281">
        <f t="shared" si="3"/>
        <v>729.45</v>
      </c>
      <c r="I21" s="281">
        <f t="shared" si="3"/>
        <v>257.44092000000001</v>
      </c>
      <c r="J21" s="52">
        <f t="shared" ref="J21:J26" si="4">I21/H21*100</f>
        <v>35.292469668928646</v>
      </c>
      <c r="K21" s="48"/>
    </row>
    <row r="22" spans="1:12" ht="37.5" customHeight="1" x14ac:dyDescent="0.25">
      <c r="A22" s="49">
        <v>1</v>
      </c>
      <c r="B22" s="122" t="s">
        <v>80</v>
      </c>
      <c r="C22" s="52">
        <f t="shared" si="2"/>
        <v>354</v>
      </c>
      <c r="D22" s="52">
        <f t="shared" si="2"/>
        <v>148</v>
      </c>
      <c r="E22" s="52">
        <f t="shared" si="2"/>
        <v>50</v>
      </c>
      <c r="F22" s="52">
        <f>E22/D22*100</f>
        <v>33.783783783783782</v>
      </c>
      <c r="G22" s="281">
        <f t="shared" si="3"/>
        <v>579.32239000000004</v>
      </c>
      <c r="H22" s="281">
        <f t="shared" si="3"/>
        <v>241.38</v>
      </c>
      <c r="I22" s="281">
        <f t="shared" si="3"/>
        <v>84.525139999999993</v>
      </c>
      <c r="J22" s="52">
        <f t="shared" si="4"/>
        <v>35.017457950120139</v>
      </c>
      <c r="K22" s="48"/>
    </row>
    <row r="23" spans="1:12" ht="30" x14ac:dyDescent="0.25">
      <c r="A23" s="49">
        <v>1</v>
      </c>
      <c r="B23" s="504" t="s">
        <v>112</v>
      </c>
      <c r="C23" s="52">
        <f t="shared" si="2"/>
        <v>0</v>
      </c>
      <c r="D23" s="52">
        <f t="shared" si="2"/>
        <v>0</v>
      </c>
      <c r="E23" s="52">
        <f t="shared" si="2"/>
        <v>0</v>
      </c>
      <c r="F23" s="52"/>
      <c r="G23" s="281">
        <f t="shared" si="3"/>
        <v>0</v>
      </c>
      <c r="H23" s="281">
        <f t="shared" si="3"/>
        <v>0</v>
      </c>
      <c r="I23" s="281">
        <f t="shared" si="3"/>
        <v>0</v>
      </c>
      <c r="J23" s="52"/>
      <c r="K23" s="48"/>
    </row>
    <row r="24" spans="1:12" ht="37.5" customHeight="1" x14ac:dyDescent="0.25">
      <c r="A24" s="49">
        <v>1</v>
      </c>
      <c r="B24" s="505" t="s">
        <v>108</v>
      </c>
      <c r="C24" s="322">
        <f t="shared" si="2"/>
        <v>0</v>
      </c>
      <c r="D24" s="322">
        <f t="shared" si="2"/>
        <v>0</v>
      </c>
      <c r="E24" s="322">
        <f t="shared" si="2"/>
        <v>0</v>
      </c>
      <c r="F24" s="322"/>
      <c r="G24" s="506">
        <f t="shared" si="3"/>
        <v>0</v>
      </c>
      <c r="H24" s="506">
        <f t="shared" si="3"/>
        <v>0</v>
      </c>
      <c r="I24" s="506">
        <f t="shared" si="3"/>
        <v>0</v>
      </c>
      <c r="J24" s="322"/>
      <c r="K24" s="48"/>
    </row>
    <row r="25" spans="1:12" ht="37.5" customHeight="1" thickBot="1" x14ac:dyDescent="0.3">
      <c r="A25" s="49">
        <v>1</v>
      </c>
      <c r="B25" s="505" t="s">
        <v>123</v>
      </c>
      <c r="C25" s="288">
        <f>SUM(C15)</f>
        <v>100</v>
      </c>
      <c r="D25" s="288">
        <f t="shared" ref="D25:J25" si="5">SUM(D15)</f>
        <v>42</v>
      </c>
      <c r="E25" s="288">
        <f t="shared" si="5"/>
        <v>15</v>
      </c>
      <c r="F25" s="288">
        <f t="shared" si="5"/>
        <v>35.714285714285715</v>
      </c>
      <c r="G25" s="288">
        <f t="shared" si="5"/>
        <v>81.102000000000004</v>
      </c>
      <c r="H25" s="288">
        <f t="shared" si="5"/>
        <v>33.79</v>
      </c>
      <c r="I25" s="288">
        <f t="shared" si="5"/>
        <v>12.165299999999998</v>
      </c>
      <c r="J25" s="288">
        <f t="shared" si="5"/>
        <v>36.002663509914171</v>
      </c>
      <c r="K25" s="48"/>
    </row>
    <row r="26" spans="1:12" s="413" customFormat="1" ht="15" customHeight="1" thickBot="1" x14ac:dyDescent="0.3">
      <c r="A26" s="49">
        <v>1</v>
      </c>
      <c r="B26" s="235" t="s">
        <v>105</v>
      </c>
      <c r="C26" s="507">
        <f t="shared" ref="C26:I26" si="6">SUM(C17)</f>
        <v>0</v>
      </c>
      <c r="D26" s="507">
        <f t="shared" si="6"/>
        <v>0</v>
      </c>
      <c r="E26" s="507">
        <f t="shared" si="6"/>
        <v>0</v>
      </c>
      <c r="F26" s="498"/>
      <c r="G26" s="508">
        <f t="shared" si="6"/>
        <v>2411.0977899999998</v>
      </c>
      <c r="H26" s="508">
        <f t="shared" si="6"/>
        <v>1004.62</v>
      </c>
      <c r="I26" s="508">
        <f t="shared" si="6"/>
        <v>354.13135999999997</v>
      </c>
      <c r="J26" s="498">
        <f t="shared" si="4"/>
        <v>35.250279707750195</v>
      </c>
      <c r="K26" s="48"/>
      <c r="L26" s="485"/>
    </row>
    <row r="27" spans="1:12" s="413" customFormat="1" ht="15" customHeight="1" x14ac:dyDescent="0.25">
      <c r="A27" s="49">
        <v>1</v>
      </c>
      <c r="B27" s="51"/>
      <c r="C27" s="287"/>
      <c r="D27" s="287"/>
      <c r="E27" s="287"/>
      <c r="F27" s="288"/>
      <c r="G27" s="289"/>
      <c r="H27" s="290"/>
      <c r="I27" s="290"/>
      <c r="J27" s="291"/>
      <c r="K27" s="48"/>
      <c r="L27" s="485"/>
    </row>
    <row r="28" spans="1:12" ht="15" customHeight="1" x14ac:dyDescent="0.25">
      <c r="A28" s="49">
        <v>1</v>
      </c>
      <c r="B28" s="509" t="s">
        <v>1</v>
      </c>
      <c r="C28" s="70"/>
      <c r="D28" s="70"/>
      <c r="E28" s="70"/>
      <c r="F28" s="70"/>
      <c r="G28" s="292"/>
      <c r="H28" s="165"/>
      <c r="I28" s="165"/>
      <c r="J28" s="71"/>
      <c r="K28" s="48"/>
    </row>
    <row r="29" spans="1:12" ht="33.75" customHeight="1" x14ac:dyDescent="0.25">
      <c r="A29" s="49">
        <v>1</v>
      </c>
      <c r="B29" s="478" t="s">
        <v>60</v>
      </c>
      <c r="C29" s="58"/>
      <c r="D29" s="58"/>
      <c r="E29" s="58"/>
      <c r="F29" s="58"/>
      <c r="G29" s="293"/>
      <c r="H29" s="166"/>
      <c r="I29" s="166"/>
      <c r="J29" s="54"/>
      <c r="K29" s="48"/>
    </row>
    <row r="30" spans="1:12" ht="30" x14ac:dyDescent="0.25">
      <c r="A30" s="49">
        <v>1</v>
      </c>
      <c r="B30" s="121" t="s">
        <v>120</v>
      </c>
      <c r="C30" s="54">
        <f>SUM(C31,C32)</f>
        <v>17727</v>
      </c>
      <c r="D30" s="54">
        <f>SUM(D31,D32)</f>
        <v>7387</v>
      </c>
      <c r="E30" s="54">
        <f>SUM(E31:E32)</f>
        <v>8070</v>
      </c>
      <c r="F30" s="54">
        <f>E30/D30*100</f>
        <v>109.2459726546636</v>
      </c>
      <c r="G30" s="281">
        <f>SUM(G31,G32)</f>
        <v>24357.382740000001</v>
      </c>
      <c r="H30" s="281">
        <f>SUM(H31,H32)</f>
        <v>10148.91</v>
      </c>
      <c r="I30" s="281">
        <f>SUM(I31:I32)</f>
        <v>10810.97876</v>
      </c>
      <c r="J30" s="54">
        <f>I30/H30*100</f>
        <v>106.52354548419484</v>
      </c>
      <c r="K30" s="48"/>
    </row>
    <row r="31" spans="1:12" ht="32.25" customHeight="1" x14ac:dyDescent="0.25">
      <c r="A31" s="49">
        <v>1</v>
      </c>
      <c r="B31" s="57" t="s">
        <v>79</v>
      </c>
      <c r="C31" s="54">
        <v>13636</v>
      </c>
      <c r="D31" s="50">
        <f t="shared" ref="D31:D37" si="7">ROUND(C31/12*$B$3,0)</f>
        <v>5682</v>
      </c>
      <c r="E31" s="54">
        <v>6333</v>
      </c>
      <c r="F31" s="54">
        <f t="shared" ref="F31:F37" si="8">E31/D31*100</f>
        <v>111.45723336853221</v>
      </c>
      <c r="G31" s="281">
        <v>18036.9084</v>
      </c>
      <c r="H31" s="281">
        <f t="shared" ref="H31:H32" si="9">ROUND(G31/12*$B$3,2)</f>
        <v>7515.38</v>
      </c>
      <c r="I31" s="281">
        <v>8248.1051900000002</v>
      </c>
      <c r="J31" s="54">
        <f t="shared" ref="J31:J38" si="10">I31/H31*100</f>
        <v>109.74967586469346</v>
      </c>
      <c r="K31" s="48"/>
    </row>
    <row r="32" spans="1:12" ht="30" customHeight="1" x14ac:dyDescent="0.25">
      <c r="A32" s="49">
        <v>1</v>
      </c>
      <c r="B32" s="57" t="s">
        <v>80</v>
      </c>
      <c r="C32" s="98">
        <v>4091</v>
      </c>
      <c r="D32" s="98">
        <f t="shared" si="7"/>
        <v>1705</v>
      </c>
      <c r="E32" s="98">
        <v>1737</v>
      </c>
      <c r="F32" s="98">
        <f t="shared" si="8"/>
        <v>101.87683284457478</v>
      </c>
      <c r="G32" s="281">
        <v>6320.4743399999998</v>
      </c>
      <c r="H32" s="281">
        <f t="shared" si="9"/>
        <v>2633.53</v>
      </c>
      <c r="I32" s="281">
        <v>2562.8735700000002</v>
      </c>
      <c r="J32" s="54">
        <f t="shared" si="10"/>
        <v>97.317044802983062</v>
      </c>
      <c r="K32" s="48"/>
    </row>
    <row r="33" spans="1:11" ht="30" customHeight="1" x14ac:dyDescent="0.25">
      <c r="A33" s="49">
        <v>1</v>
      </c>
      <c r="B33" s="121" t="s">
        <v>112</v>
      </c>
      <c r="C33" s="98">
        <f>SUM(C34)</f>
        <v>800</v>
      </c>
      <c r="D33" s="98">
        <f t="shared" ref="D33:H33" si="11">SUM(D34)</f>
        <v>333</v>
      </c>
      <c r="E33" s="98">
        <f>E34</f>
        <v>236</v>
      </c>
      <c r="F33" s="98">
        <f t="shared" si="8"/>
        <v>70.870870870870874</v>
      </c>
      <c r="G33" s="281">
        <f t="shared" si="11"/>
        <v>1413.68</v>
      </c>
      <c r="H33" s="281">
        <f t="shared" si="11"/>
        <v>589.03</v>
      </c>
      <c r="I33" s="281">
        <f>I34</f>
        <v>403.26312000000001</v>
      </c>
      <c r="J33" s="54">
        <f t="shared" si="10"/>
        <v>68.462237916574708</v>
      </c>
      <c r="K33" s="48"/>
    </row>
    <row r="34" spans="1:11" ht="30" customHeight="1" x14ac:dyDescent="0.25">
      <c r="A34" s="49">
        <v>1</v>
      </c>
      <c r="B34" s="146" t="s">
        <v>108</v>
      </c>
      <c r="C34" s="98">
        <v>800</v>
      </c>
      <c r="D34" s="98">
        <f t="shared" si="7"/>
        <v>333</v>
      </c>
      <c r="E34" s="54">
        <v>236</v>
      </c>
      <c r="F34" s="54">
        <f t="shared" si="8"/>
        <v>70.870870870870874</v>
      </c>
      <c r="G34" s="281">
        <f>1413680/1000</f>
        <v>1413.68</v>
      </c>
      <c r="H34" s="281">
        <f t="shared" ref="H34:H37" si="12">ROUND(G34/12*$B$3,2)</f>
        <v>589.03</v>
      </c>
      <c r="I34" s="281">
        <v>403.26312000000001</v>
      </c>
      <c r="J34" s="54">
        <f t="shared" si="10"/>
        <v>68.462237916574708</v>
      </c>
      <c r="K34" s="48"/>
    </row>
    <row r="35" spans="1:11" ht="30" customHeight="1" x14ac:dyDescent="0.25">
      <c r="A35" s="49">
        <v>1</v>
      </c>
      <c r="B35" s="57" t="s">
        <v>123</v>
      </c>
      <c r="C35" s="98">
        <v>27842.799999999999</v>
      </c>
      <c r="D35" s="98">
        <f t="shared" si="7"/>
        <v>11601</v>
      </c>
      <c r="E35" s="98">
        <f>2447+E36+E37</f>
        <v>11319</v>
      </c>
      <c r="F35" s="98">
        <f t="shared" si="8"/>
        <v>97.569175071114557</v>
      </c>
      <c r="G35" s="281">
        <v>22581.229859999999</v>
      </c>
      <c r="H35" s="281">
        <f t="shared" si="12"/>
        <v>9408.85</v>
      </c>
      <c r="I35" s="281">
        <f>1979.503+I36+I37</f>
        <v>9171.7651399999995</v>
      </c>
      <c r="J35" s="54">
        <f>I35/H35*100</f>
        <v>97.480193009772705</v>
      </c>
      <c r="K35" s="48"/>
    </row>
    <row r="36" spans="1:11" ht="30" x14ac:dyDescent="0.25">
      <c r="A36" s="49">
        <v>1</v>
      </c>
      <c r="B36" s="57" t="s">
        <v>124</v>
      </c>
      <c r="C36" s="98">
        <v>12364.4</v>
      </c>
      <c r="D36" s="98">
        <f t="shared" si="7"/>
        <v>5152</v>
      </c>
      <c r="E36" s="98">
        <v>4905</v>
      </c>
      <c r="F36" s="98">
        <f t="shared" si="8"/>
        <v>95.205745341614914</v>
      </c>
      <c r="G36" s="281">
        <v>10027.847719373913</v>
      </c>
      <c r="H36" s="281">
        <f t="shared" si="12"/>
        <v>4178.2700000000004</v>
      </c>
      <c r="I36" s="281">
        <v>3978.0531000000001</v>
      </c>
      <c r="J36" s="54">
        <f>I36/H36*100</f>
        <v>95.208138775138991</v>
      </c>
      <c r="K36" s="48"/>
    </row>
    <row r="37" spans="1:11" ht="15.75" thickBot="1" x14ac:dyDescent="0.3">
      <c r="A37" s="49">
        <v>1</v>
      </c>
      <c r="B37" s="57" t="s">
        <v>125</v>
      </c>
      <c r="C37" s="98">
        <v>8485.6</v>
      </c>
      <c r="D37" s="98">
        <f t="shared" si="7"/>
        <v>3536</v>
      </c>
      <c r="E37" s="98">
        <v>3967</v>
      </c>
      <c r="F37" s="98">
        <f t="shared" si="8"/>
        <v>112.18891402714932</v>
      </c>
      <c r="G37" s="281">
        <v>6882.0407466208862</v>
      </c>
      <c r="H37" s="281">
        <f t="shared" si="12"/>
        <v>2867.52</v>
      </c>
      <c r="I37" s="281">
        <v>3214.2090399999997</v>
      </c>
      <c r="J37" s="54">
        <f>I37/H37*100</f>
        <v>112.09020477625265</v>
      </c>
      <c r="K37" s="48"/>
    </row>
    <row r="38" spans="1:11" ht="15.75" thickBot="1" x14ac:dyDescent="0.3">
      <c r="A38" s="49">
        <v>1</v>
      </c>
      <c r="B38" s="510" t="s">
        <v>3</v>
      </c>
      <c r="C38" s="294"/>
      <c r="D38" s="294"/>
      <c r="E38" s="294"/>
      <c r="F38" s="295"/>
      <c r="G38" s="296">
        <f>G30+G33+G35</f>
        <v>48352.292600000001</v>
      </c>
      <c r="H38" s="296">
        <f>H30+H33+H35</f>
        <v>20146.79</v>
      </c>
      <c r="I38" s="296">
        <f>I30+I33+I35</f>
        <v>20386.007019999997</v>
      </c>
      <c r="J38" s="193">
        <f t="shared" si="10"/>
        <v>101.18737039498598</v>
      </c>
      <c r="K38" s="48"/>
    </row>
    <row r="39" spans="1:11" ht="15" customHeight="1" x14ac:dyDescent="0.25">
      <c r="A39" s="49">
        <v>1</v>
      </c>
      <c r="B39" s="511"/>
      <c r="C39" s="72"/>
      <c r="D39" s="72"/>
      <c r="E39" s="72"/>
      <c r="F39" s="72"/>
      <c r="G39" s="297"/>
      <c r="H39" s="167"/>
      <c r="I39" s="167"/>
      <c r="J39" s="298"/>
      <c r="K39" s="48"/>
    </row>
    <row r="40" spans="1:11" ht="43.5" x14ac:dyDescent="0.25">
      <c r="A40" s="49">
        <v>1</v>
      </c>
      <c r="B40" s="478" t="s">
        <v>61</v>
      </c>
      <c r="C40" s="58"/>
      <c r="D40" s="58"/>
      <c r="E40" s="58"/>
      <c r="F40" s="58"/>
      <c r="G40" s="168"/>
      <c r="H40" s="168"/>
      <c r="I40" s="168"/>
      <c r="J40" s="58"/>
      <c r="K40" s="48"/>
    </row>
    <row r="41" spans="1:11" ht="30" customHeight="1" x14ac:dyDescent="0.25">
      <c r="A41" s="49">
        <v>1</v>
      </c>
      <c r="B41" s="121" t="s">
        <v>120</v>
      </c>
      <c r="C41" s="54">
        <f>SUM(C42:C43)</f>
        <v>200</v>
      </c>
      <c r="D41" s="54">
        <f>SUM(D42:D43)</f>
        <v>84</v>
      </c>
      <c r="E41" s="54">
        <f>SUM(E42:E43)</f>
        <v>123</v>
      </c>
      <c r="F41" s="54">
        <f t="shared" ref="F41:F47" si="13">E41/D41*100</f>
        <v>146.42857142857142</v>
      </c>
      <c r="G41" s="281">
        <f>SUM(G42:G43)</f>
        <v>1093.6799999999998</v>
      </c>
      <c r="H41" s="281">
        <f>SUM(H42:H43)</f>
        <v>455.71</v>
      </c>
      <c r="I41" s="281">
        <f>SUM(I42:I43)</f>
        <v>672.61320000000001</v>
      </c>
      <c r="J41" s="54">
        <f>I41/H41*100</f>
        <v>147.59676109806676</v>
      </c>
      <c r="K41" s="48"/>
    </row>
    <row r="42" spans="1:11" ht="30" x14ac:dyDescent="0.25">
      <c r="A42" s="49">
        <v>1</v>
      </c>
      <c r="B42" s="57" t="s">
        <v>114</v>
      </c>
      <c r="C42" s="54">
        <v>90</v>
      </c>
      <c r="D42" s="50">
        <f t="shared" ref="D42:D47" si="14">ROUND(C42/12*$B$3,0)</f>
        <v>38</v>
      </c>
      <c r="E42" s="54">
        <v>90</v>
      </c>
      <c r="F42" s="54">
        <f t="shared" si="13"/>
        <v>236.84210526315786</v>
      </c>
      <c r="G42" s="281">
        <v>492.15599999999995</v>
      </c>
      <c r="H42" s="281">
        <f t="shared" ref="H42:H43" si="15">ROUND(G42/12*$B$3,2)</f>
        <v>205.07</v>
      </c>
      <c r="I42" s="281">
        <v>492.15600000000001</v>
      </c>
      <c r="J42" s="54">
        <f>I42/H42*100</f>
        <v>239.99414833959136</v>
      </c>
      <c r="K42" s="48"/>
    </row>
    <row r="43" spans="1:11" ht="30" x14ac:dyDescent="0.25">
      <c r="A43" s="49">
        <v>1</v>
      </c>
      <c r="B43" s="57" t="s">
        <v>115</v>
      </c>
      <c r="C43" s="54">
        <v>110</v>
      </c>
      <c r="D43" s="50">
        <f t="shared" si="14"/>
        <v>46</v>
      </c>
      <c r="E43" s="54">
        <v>33</v>
      </c>
      <c r="F43" s="54">
        <f t="shared" si="13"/>
        <v>71.739130434782609</v>
      </c>
      <c r="G43" s="281">
        <v>601.524</v>
      </c>
      <c r="H43" s="281">
        <f t="shared" si="15"/>
        <v>250.64</v>
      </c>
      <c r="I43" s="281">
        <v>180.4572</v>
      </c>
      <c r="J43" s="54">
        <f t="shared" ref="J43:J48" si="16">I43/H43*100</f>
        <v>71.998563676986919</v>
      </c>
      <c r="K43" s="48"/>
    </row>
    <row r="44" spans="1:11" ht="30" x14ac:dyDescent="0.25">
      <c r="A44" s="49">
        <v>1</v>
      </c>
      <c r="B44" s="121" t="s">
        <v>112</v>
      </c>
      <c r="C44" s="54">
        <f>SUM(C45:C46)</f>
        <v>11295</v>
      </c>
      <c r="D44" s="54">
        <f>SUM(D45:D46)</f>
        <v>4706</v>
      </c>
      <c r="E44" s="54">
        <f>SUM(E45:E46)</f>
        <v>4749</v>
      </c>
      <c r="F44" s="54">
        <f t="shared" si="13"/>
        <v>100.91372715682108</v>
      </c>
      <c r="G44" s="281">
        <f>SUM(G45:G46)</f>
        <v>21932.256000000001</v>
      </c>
      <c r="H44" s="281">
        <f>SUM(H45:H46)</f>
        <v>9138.44</v>
      </c>
      <c r="I44" s="281">
        <f>SUM(I45:I46)</f>
        <v>8512.556630000001</v>
      </c>
      <c r="J44" s="54">
        <f t="shared" si="16"/>
        <v>93.151091761832433</v>
      </c>
      <c r="K44" s="48"/>
    </row>
    <row r="45" spans="1:11" ht="60" x14ac:dyDescent="0.25">
      <c r="A45" s="49">
        <v>1</v>
      </c>
      <c r="B45" s="57" t="s">
        <v>118</v>
      </c>
      <c r="C45" s="54">
        <v>8600</v>
      </c>
      <c r="D45" s="50">
        <f t="shared" si="14"/>
        <v>3583</v>
      </c>
      <c r="E45" s="50">
        <v>3500</v>
      </c>
      <c r="F45" s="54">
        <f t="shared" si="13"/>
        <v>97.683505442366737</v>
      </c>
      <c r="G45" s="281">
        <f>19730980/1000</f>
        <v>19730.98</v>
      </c>
      <c r="H45" s="281">
        <f t="shared" ref="H45:H47" si="17">ROUND(G45/12*$B$3,2)</f>
        <v>8221.24</v>
      </c>
      <c r="I45" s="281">
        <v>7380.3956800000005</v>
      </c>
      <c r="J45" s="54">
        <f t="shared" si="16"/>
        <v>89.772293230704875</v>
      </c>
      <c r="K45" s="48"/>
    </row>
    <row r="46" spans="1:11" ht="45" x14ac:dyDescent="0.25">
      <c r="A46" s="49">
        <v>1</v>
      </c>
      <c r="B46" s="57" t="s">
        <v>109</v>
      </c>
      <c r="C46" s="54">
        <v>2695</v>
      </c>
      <c r="D46" s="50">
        <f t="shared" si="14"/>
        <v>1123</v>
      </c>
      <c r="E46" s="50">
        <v>1249</v>
      </c>
      <c r="F46" s="54">
        <f t="shared" si="13"/>
        <v>111.219946571683</v>
      </c>
      <c r="G46" s="281">
        <f>2201276/1000</f>
        <v>2201.2759999999998</v>
      </c>
      <c r="H46" s="281">
        <f t="shared" si="17"/>
        <v>917.2</v>
      </c>
      <c r="I46" s="281">
        <v>1132.16095</v>
      </c>
      <c r="J46" s="54">
        <f t="shared" si="16"/>
        <v>123.43664958569558</v>
      </c>
      <c r="K46" s="48"/>
    </row>
    <row r="47" spans="1:11" ht="32.25" customHeight="1" thickBot="1" x14ac:dyDescent="0.3">
      <c r="A47" s="49">
        <v>1</v>
      </c>
      <c r="B47" s="351" t="s">
        <v>123</v>
      </c>
      <c r="C47" s="346">
        <v>8700</v>
      </c>
      <c r="D47" s="347">
        <f t="shared" si="14"/>
        <v>3625</v>
      </c>
      <c r="E47" s="345">
        <v>3749</v>
      </c>
      <c r="F47" s="54">
        <f t="shared" si="13"/>
        <v>103.42068965517241</v>
      </c>
      <c r="G47" s="320">
        <v>7055.8739999999998</v>
      </c>
      <c r="H47" s="281">
        <f t="shared" si="17"/>
        <v>2939.95</v>
      </c>
      <c r="I47" s="377">
        <v>3017.2602399999996</v>
      </c>
      <c r="J47" s="284">
        <f>I47/H47*100</f>
        <v>102.62964472184902</v>
      </c>
      <c r="K47" s="48"/>
    </row>
    <row r="48" spans="1:11" ht="15.75" thickBot="1" x14ac:dyDescent="0.3">
      <c r="A48" s="49">
        <v>1</v>
      </c>
      <c r="B48" s="147" t="s">
        <v>3</v>
      </c>
      <c r="C48" s="350"/>
      <c r="D48" s="193"/>
      <c r="E48" s="307"/>
      <c r="F48" s="299"/>
      <c r="G48" s="309">
        <f>G41+G44+G47</f>
        <v>30081.81</v>
      </c>
      <c r="H48" s="309">
        <f>H41+H44+H47</f>
        <v>12534.099999999999</v>
      </c>
      <c r="I48" s="309">
        <f>I41+I44+I47</f>
        <v>12202.43007</v>
      </c>
      <c r="J48" s="300">
        <f t="shared" si="16"/>
        <v>97.353859232015068</v>
      </c>
      <c r="K48" s="48"/>
    </row>
    <row r="49" spans="1:12" ht="15" customHeight="1" x14ac:dyDescent="0.25">
      <c r="A49" s="49">
        <v>1</v>
      </c>
      <c r="B49" s="338"/>
      <c r="C49" s="73"/>
      <c r="D49" s="73"/>
      <c r="E49" s="283"/>
      <c r="F49" s="73"/>
      <c r="G49" s="171"/>
      <c r="H49" s="171"/>
      <c r="I49" s="348"/>
      <c r="J49" s="301"/>
      <c r="K49" s="48"/>
    </row>
    <row r="50" spans="1:12" ht="29.25" customHeight="1" x14ac:dyDescent="0.25">
      <c r="A50" s="49">
        <v>1</v>
      </c>
      <c r="B50" s="478" t="s">
        <v>62</v>
      </c>
      <c r="C50" s="58"/>
      <c r="D50" s="58"/>
      <c r="E50" s="58"/>
      <c r="F50" s="58"/>
      <c r="G50" s="169"/>
      <c r="H50" s="169"/>
      <c r="I50" s="349"/>
      <c r="J50" s="302"/>
      <c r="K50" s="48"/>
    </row>
    <row r="51" spans="1:12" ht="33.6" customHeight="1" x14ac:dyDescent="0.25">
      <c r="A51" s="49">
        <v>1</v>
      </c>
      <c r="B51" s="121" t="s">
        <v>120</v>
      </c>
      <c r="C51" s="54">
        <f>SUM(C52:C53)</f>
        <v>340</v>
      </c>
      <c r="D51" s="54">
        <f>SUM(D52:D53)</f>
        <v>142</v>
      </c>
      <c r="E51" s="54">
        <f>SUM(E52:E53)</f>
        <v>357</v>
      </c>
      <c r="F51" s="54">
        <f t="shared" ref="F51:F58" si="18">E51/D51*100</f>
        <v>251.40845070422534</v>
      </c>
      <c r="G51" s="281">
        <f>SUM(G52:G53)</f>
        <v>1859.2559999999999</v>
      </c>
      <c r="H51" s="281">
        <f>SUM(H52:H53)</f>
        <v>774.69999999999993</v>
      </c>
      <c r="I51" s="281">
        <f>SUM(I52:I53)</f>
        <v>1952.2188000000001</v>
      </c>
      <c r="J51" s="56">
        <f>I51/H51*100</f>
        <v>251.99674712792051</v>
      </c>
      <c r="K51" s="48"/>
    </row>
    <row r="52" spans="1:12" ht="30" customHeight="1" x14ac:dyDescent="0.25">
      <c r="A52" s="49">
        <v>1</v>
      </c>
      <c r="B52" s="57" t="s">
        <v>114</v>
      </c>
      <c r="C52" s="54">
        <v>230</v>
      </c>
      <c r="D52" s="50">
        <f t="shared" ref="D52:D58" si="19">ROUND(C52/12*$B$3,0)</f>
        <v>96</v>
      </c>
      <c r="E52" s="50">
        <v>213</v>
      </c>
      <c r="F52" s="54">
        <f t="shared" si="18"/>
        <v>221.875</v>
      </c>
      <c r="G52" s="281">
        <v>1257.732</v>
      </c>
      <c r="H52" s="281">
        <f t="shared" ref="H52:H53" si="20">ROUND(G52/12*$B$3,2)</f>
        <v>524.05999999999995</v>
      </c>
      <c r="I52" s="281">
        <v>1164.7692000000002</v>
      </c>
      <c r="J52" s="56">
        <f t="shared" ref="J52:J59" si="21">I52/H52*100</f>
        <v>222.25874899820636</v>
      </c>
      <c r="K52" s="48"/>
    </row>
    <row r="53" spans="1:12" ht="36" customHeight="1" x14ac:dyDescent="0.25">
      <c r="A53" s="49">
        <v>1</v>
      </c>
      <c r="B53" s="57" t="s">
        <v>115</v>
      </c>
      <c r="C53" s="54">
        <v>110</v>
      </c>
      <c r="D53" s="50">
        <f t="shared" si="19"/>
        <v>46</v>
      </c>
      <c r="E53" s="54">
        <v>144</v>
      </c>
      <c r="F53" s="54">
        <f t="shared" si="18"/>
        <v>313.04347826086956</v>
      </c>
      <c r="G53" s="281">
        <v>601.524</v>
      </c>
      <c r="H53" s="281">
        <f t="shared" si="20"/>
        <v>250.64</v>
      </c>
      <c r="I53" s="281">
        <v>787.44960000000003</v>
      </c>
      <c r="J53" s="56">
        <f t="shared" si="21"/>
        <v>314.17555059048834</v>
      </c>
      <c r="K53" s="48"/>
    </row>
    <row r="54" spans="1:12" ht="30" x14ac:dyDescent="0.25">
      <c r="A54" s="49">
        <v>1</v>
      </c>
      <c r="B54" s="121" t="s">
        <v>112</v>
      </c>
      <c r="C54" s="54">
        <f>SUM(C55:C56)</f>
        <v>24285</v>
      </c>
      <c r="D54" s="54">
        <f>SUM(D55:D56)</f>
        <v>10119</v>
      </c>
      <c r="E54" s="54">
        <f>SUM(E55:E56)</f>
        <v>8040</v>
      </c>
      <c r="F54" s="54">
        <f t="shared" si="18"/>
        <v>79.454491550548482</v>
      </c>
      <c r="G54" s="281">
        <f>SUM(G55:G56)</f>
        <v>53186.117999999995</v>
      </c>
      <c r="H54" s="281">
        <f>SUM(H55:H56)</f>
        <v>22160.880000000001</v>
      </c>
      <c r="I54" s="280">
        <f>SUM(I55:I56)</f>
        <v>20336.947510000002</v>
      </c>
      <c r="J54" s="54">
        <f t="shared" si="21"/>
        <v>91.769584556208954</v>
      </c>
      <c r="K54" s="48"/>
    </row>
    <row r="55" spans="1:12" ht="60" x14ac:dyDescent="0.25">
      <c r="A55" s="49">
        <v>1</v>
      </c>
      <c r="B55" s="57" t="s">
        <v>118</v>
      </c>
      <c r="C55" s="54">
        <v>22572</v>
      </c>
      <c r="D55" s="50">
        <f t="shared" si="19"/>
        <v>9405</v>
      </c>
      <c r="E55" s="50">
        <v>7429</v>
      </c>
      <c r="F55" s="54">
        <f t="shared" si="18"/>
        <v>78.98989898989899</v>
      </c>
      <c r="G55" s="281">
        <f>51786939.6/1000</f>
        <v>51786.939599999998</v>
      </c>
      <c r="H55" s="281">
        <f t="shared" ref="H55:H58" si="22">ROUND(G55/12*$B$3,2)</f>
        <v>21577.89</v>
      </c>
      <c r="I55" s="281">
        <v>19791.525080000003</v>
      </c>
      <c r="J55" s="54">
        <f t="shared" si="21"/>
        <v>91.721317886039841</v>
      </c>
      <c r="K55" s="48"/>
    </row>
    <row r="56" spans="1:12" ht="45" x14ac:dyDescent="0.25">
      <c r="A56" s="49">
        <v>1</v>
      </c>
      <c r="B56" s="57" t="s">
        <v>109</v>
      </c>
      <c r="C56" s="54">
        <v>1713</v>
      </c>
      <c r="D56" s="50">
        <f t="shared" si="19"/>
        <v>714</v>
      </c>
      <c r="E56" s="50">
        <v>611</v>
      </c>
      <c r="F56" s="54">
        <f t="shared" si="18"/>
        <v>85.574229691876752</v>
      </c>
      <c r="G56" s="281">
        <f>1399178.4/1000</f>
        <v>1399.1784</v>
      </c>
      <c r="H56" s="281">
        <f t="shared" si="22"/>
        <v>582.99</v>
      </c>
      <c r="I56" s="281">
        <v>545.42243000000008</v>
      </c>
      <c r="J56" s="54">
        <f t="shared" si="21"/>
        <v>93.55605241942402</v>
      </c>
      <c r="K56" s="48"/>
    </row>
    <row r="57" spans="1:12" ht="33.75" customHeight="1" x14ac:dyDescent="0.25">
      <c r="A57" s="49">
        <v>1</v>
      </c>
      <c r="B57" s="146" t="s">
        <v>123</v>
      </c>
      <c r="C57" s="98">
        <v>17187</v>
      </c>
      <c r="D57" s="150">
        <f t="shared" si="19"/>
        <v>7161</v>
      </c>
      <c r="E57" s="150">
        <f>7644+E58</f>
        <v>7983</v>
      </c>
      <c r="F57" s="98">
        <f t="shared" si="18"/>
        <v>111.47884373690826</v>
      </c>
      <c r="G57" s="281">
        <v>13939.000739999999</v>
      </c>
      <c r="H57" s="281">
        <f t="shared" si="22"/>
        <v>5807.92</v>
      </c>
      <c r="I57" s="281">
        <f>6165.24188+I58</f>
        <v>6438.2627399999992</v>
      </c>
      <c r="J57" s="98">
        <f>I57/H57*100</f>
        <v>110.85315810135124</v>
      </c>
      <c r="K57" s="48"/>
    </row>
    <row r="58" spans="1:12" ht="20.45" customHeight="1" thickBot="1" x14ac:dyDescent="0.3">
      <c r="A58" s="49">
        <v>1</v>
      </c>
      <c r="B58" s="146" t="s">
        <v>125</v>
      </c>
      <c r="C58" s="98">
        <v>200</v>
      </c>
      <c r="D58" s="150">
        <f t="shared" si="19"/>
        <v>83</v>
      </c>
      <c r="E58" s="150">
        <v>339</v>
      </c>
      <c r="F58" s="98">
        <f t="shared" si="18"/>
        <v>408.43373493975906</v>
      </c>
      <c r="G58" s="281">
        <v>162.20399999999998</v>
      </c>
      <c r="H58" s="281">
        <f t="shared" si="22"/>
        <v>67.59</v>
      </c>
      <c r="I58" s="281">
        <v>273.02085999999997</v>
      </c>
      <c r="J58" s="98">
        <f>I58/H58*100</f>
        <v>403.93676579375642</v>
      </c>
      <c r="K58" s="48"/>
    </row>
    <row r="59" spans="1:12" s="410" customFormat="1" ht="15" customHeight="1" thickBot="1" x14ac:dyDescent="0.3">
      <c r="A59" s="49">
        <v>1</v>
      </c>
      <c r="B59" s="512" t="s">
        <v>3</v>
      </c>
      <c r="C59" s="294"/>
      <c r="D59" s="294"/>
      <c r="E59" s="294"/>
      <c r="F59" s="303"/>
      <c r="G59" s="296">
        <f>G54+G51+G57</f>
        <v>68984.374739999999</v>
      </c>
      <c r="H59" s="296">
        <f>H54+H51+H57</f>
        <v>28743.5</v>
      </c>
      <c r="I59" s="296">
        <f>I54+I51+I57</f>
        <v>28727.429049999999</v>
      </c>
      <c r="J59" s="304">
        <f t="shared" si="21"/>
        <v>99.944088402595369</v>
      </c>
      <c r="K59" s="48"/>
      <c r="L59" s="485"/>
    </row>
    <row r="60" spans="1:12" ht="15" customHeight="1" x14ac:dyDescent="0.25">
      <c r="A60" s="49">
        <v>1</v>
      </c>
      <c r="B60" s="338"/>
      <c r="C60" s="74"/>
      <c r="D60" s="74"/>
      <c r="E60" s="74"/>
      <c r="F60" s="73"/>
      <c r="G60" s="172"/>
      <c r="H60" s="172"/>
      <c r="I60" s="172"/>
      <c r="J60" s="74"/>
      <c r="K60" s="48"/>
    </row>
    <row r="61" spans="1:12" ht="33" customHeight="1" x14ac:dyDescent="0.25">
      <c r="A61" s="49">
        <v>1</v>
      </c>
      <c r="B61" s="513" t="s">
        <v>63</v>
      </c>
      <c r="C61" s="60"/>
      <c r="D61" s="60"/>
      <c r="E61" s="60"/>
      <c r="F61" s="58"/>
      <c r="G61" s="173"/>
      <c r="H61" s="173"/>
      <c r="I61" s="173"/>
      <c r="J61" s="60"/>
      <c r="K61" s="48"/>
    </row>
    <row r="62" spans="1:12" ht="30" x14ac:dyDescent="0.25">
      <c r="A62" s="49">
        <v>1</v>
      </c>
      <c r="B62" s="121" t="s">
        <v>120</v>
      </c>
      <c r="C62" s="54">
        <f>SUM(C63:C64)</f>
        <v>19270</v>
      </c>
      <c r="D62" s="54">
        <f>SUM(D63:D64)</f>
        <v>8029</v>
      </c>
      <c r="E62" s="54">
        <f>SUM(E63:E64)</f>
        <v>7742</v>
      </c>
      <c r="F62" s="54">
        <f t="shared" ref="F62:F67" si="23">E62/D62*100</f>
        <v>96.425457715780297</v>
      </c>
      <c r="G62" s="281">
        <f>SUM(G63:G64)</f>
        <v>27113.701850000001</v>
      </c>
      <c r="H62" s="281">
        <f>SUM(H63:H64)</f>
        <v>11297.380000000001</v>
      </c>
      <c r="I62" s="281">
        <f>SUM(I63:I64)</f>
        <v>8865.4533700000011</v>
      </c>
      <c r="J62" s="54">
        <f t="shared" ref="J62:J68" si="24">I62/H62*100</f>
        <v>78.473534306184263</v>
      </c>
      <c r="K62" s="48"/>
    </row>
    <row r="63" spans="1:12" ht="30" customHeight="1" x14ac:dyDescent="0.25">
      <c r="A63" s="49">
        <v>1</v>
      </c>
      <c r="B63" s="57" t="s">
        <v>79</v>
      </c>
      <c r="C63" s="54">
        <v>14823</v>
      </c>
      <c r="D63" s="50">
        <f>ROUND(C63/12*$B$3,0)</f>
        <v>6176</v>
      </c>
      <c r="E63" s="54">
        <v>5885</v>
      </c>
      <c r="F63" s="54">
        <f t="shared" si="23"/>
        <v>95.288212435233163</v>
      </c>
      <c r="G63" s="281">
        <v>20194.4162</v>
      </c>
      <c r="H63" s="281">
        <f t="shared" ref="H63:H64" si="25">ROUND(G63/12*$B$3,2)</f>
        <v>8414.34</v>
      </c>
      <c r="I63" s="281">
        <v>5956.6435600000004</v>
      </c>
      <c r="J63" s="54">
        <f t="shared" si="24"/>
        <v>70.791572006835963</v>
      </c>
      <c r="K63" s="48"/>
    </row>
    <row r="64" spans="1:12" ht="28.5" customHeight="1" x14ac:dyDescent="0.25">
      <c r="A64" s="49">
        <v>1</v>
      </c>
      <c r="B64" s="57" t="s">
        <v>80</v>
      </c>
      <c r="C64" s="54">
        <v>4447</v>
      </c>
      <c r="D64" s="50">
        <f>ROUND(C64/12*$B$3,0)</f>
        <v>1853</v>
      </c>
      <c r="E64" s="54">
        <v>1857</v>
      </c>
      <c r="F64" s="98">
        <f t="shared" si="23"/>
        <v>100.21586616297895</v>
      </c>
      <c r="G64" s="281">
        <v>6919.2856500000007</v>
      </c>
      <c r="H64" s="281">
        <f t="shared" si="25"/>
        <v>2883.04</v>
      </c>
      <c r="I64" s="281">
        <v>2908.8098100000007</v>
      </c>
      <c r="J64" s="54">
        <f t="shared" si="24"/>
        <v>100.89384157000947</v>
      </c>
      <c r="K64" s="48"/>
    </row>
    <row r="65" spans="1:11" ht="28.5" customHeight="1" x14ac:dyDescent="0.25">
      <c r="A65" s="49">
        <v>1</v>
      </c>
      <c r="B65" s="121" t="s">
        <v>112</v>
      </c>
      <c r="C65" s="98">
        <f>SUM(C66)</f>
        <v>500</v>
      </c>
      <c r="D65" s="98">
        <f t="shared" ref="D65:I65" si="26">SUM(D66)</f>
        <v>208</v>
      </c>
      <c r="E65" s="98">
        <f t="shared" si="26"/>
        <v>207</v>
      </c>
      <c r="F65" s="98">
        <f t="shared" si="23"/>
        <v>99.519230769230774</v>
      </c>
      <c r="G65" s="281">
        <f t="shared" si="26"/>
        <v>883.55</v>
      </c>
      <c r="H65" s="281">
        <f t="shared" si="26"/>
        <v>368.15</v>
      </c>
      <c r="I65" s="281">
        <f t="shared" si="26"/>
        <v>365.24091999999996</v>
      </c>
      <c r="J65" s="54">
        <f t="shared" si="24"/>
        <v>99.209811218253435</v>
      </c>
      <c r="K65" s="48"/>
    </row>
    <row r="66" spans="1:11" ht="28.5" customHeight="1" x14ac:dyDescent="0.25">
      <c r="A66" s="49">
        <v>1</v>
      </c>
      <c r="B66" s="146" t="s">
        <v>108</v>
      </c>
      <c r="C66" s="98">
        <v>500</v>
      </c>
      <c r="D66" s="98">
        <f>ROUND(C66/12*$B$3,0)</f>
        <v>208</v>
      </c>
      <c r="E66" s="98">
        <v>207</v>
      </c>
      <c r="F66" s="98">
        <f t="shared" si="23"/>
        <v>99.519230769230774</v>
      </c>
      <c r="G66" s="281">
        <f>883550/1000</f>
        <v>883.55</v>
      </c>
      <c r="H66" s="281">
        <f>ROUND(G66/12*$B$3,2)</f>
        <v>368.15</v>
      </c>
      <c r="I66" s="281">
        <v>365.24091999999996</v>
      </c>
      <c r="J66" s="98">
        <f t="shared" si="24"/>
        <v>99.209811218253435</v>
      </c>
      <c r="K66" s="48"/>
    </row>
    <row r="67" spans="1:11" ht="28.5" customHeight="1" thickBot="1" x14ac:dyDescent="0.3">
      <c r="A67" s="49">
        <v>1</v>
      </c>
      <c r="B67" s="57" t="s">
        <v>123</v>
      </c>
      <c r="C67" s="98">
        <v>18000</v>
      </c>
      <c r="D67" s="98">
        <f>ROUND(C67/12*$B$3,0)</f>
        <v>7500</v>
      </c>
      <c r="E67" s="98">
        <v>7681</v>
      </c>
      <c r="F67" s="98">
        <f t="shared" si="23"/>
        <v>102.41333333333333</v>
      </c>
      <c r="G67" s="281">
        <v>14598.36</v>
      </c>
      <c r="H67" s="281">
        <f>ROUND(G67/12*$B$3,2)</f>
        <v>6082.65</v>
      </c>
      <c r="I67" s="281">
        <v>6226.7560899999999</v>
      </c>
      <c r="J67" s="98">
        <f>I67/H67*100</f>
        <v>102.36913335470561</v>
      </c>
      <c r="K67" s="48"/>
    </row>
    <row r="68" spans="1:11" ht="15.75" customHeight="1" thickBot="1" x14ac:dyDescent="0.3">
      <c r="A68" s="49">
        <v>1</v>
      </c>
      <c r="B68" s="510" t="s">
        <v>3</v>
      </c>
      <c r="C68" s="294"/>
      <c r="D68" s="294"/>
      <c r="E68" s="294"/>
      <c r="F68" s="303"/>
      <c r="G68" s="296">
        <f>G65+G62+G67</f>
        <v>42595.611850000001</v>
      </c>
      <c r="H68" s="296">
        <f>H65+H62+H67</f>
        <v>17748.18</v>
      </c>
      <c r="I68" s="296">
        <f>I65+I62+I67</f>
        <v>15457.450380000002</v>
      </c>
      <c r="J68" s="304">
        <f t="shared" si="24"/>
        <v>87.093157608273088</v>
      </c>
      <c r="K68" s="48"/>
    </row>
    <row r="69" spans="1:11" x14ac:dyDescent="0.25">
      <c r="A69" s="49">
        <v>1</v>
      </c>
      <c r="B69" s="78"/>
      <c r="C69" s="74"/>
      <c r="D69" s="74"/>
      <c r="E69" s="74"/>
      <c r="F69" s="73"/>
      <c r="G69" s="172"/>
      <c r="H69" s="172"/>
      <c r="I69" s="172"/>
      <c r="J69" s="74"/>
      <c r="K69" s="48"/>
    </row>
    <row r="70" spans="1:11" ht="29.25" x14ac:dyDescent="0.25">
      <c r="A70" s="49">
        <v>1</v>
      </c>
      <c r="B70" s="513" t="s">
        <v>64</v>
      </c>
      <c r="C70" s="60"/>
      <c r="D70" s="60"/>
      <c r="E70" s="60"/>
      <c r="F70" s="58"/>
      <c r="G70" s="173"/>
      <c r="H70" s="173"/>
      <c r="I70" s="173"/>
      <c r="J70" s="60"/>
      <c r="K70" s="48"/>
    </row>
    <row r="71" spans="1:11" ht="44.25" customHeight="1" x14ac:dyDescent="0.25">
      <c r="A71" s="49">
        <v>1</v>
      </c>
      <c r="B71" s="121" t="s">
        <v>120</v>
      </c>
      <c r="C71" s="54">
        <f>SUM(C72:C73)</f>
        <v>11144</v>
      </c>
      <c r="D71" s="54">
        <f>SUM(D72:D73)</f>
        <v>4644</v>
      </c>
      <c r="E71" s="54">
        <f>SUM(E72:E73)</f>
        <v>4668</v>
      </c>
      <c r="F71" s="54">
        <f t="shared" ref="F71:F76" si="27">E71/D71*100</f>
        <v>100.51679586563307</v>
      </c>
      <c r="G71" s="281">
        <f>SUM(G72:G73)</f>
        <v>15344.157569999999</v>
      </c>
      <c r="H71" s="281">
        <f>SUM(H72:H73)</f>
        <v>6393.4</v>
      </c>
      <c r="I71" s="281">
        <f>SUM(I72:I73)</f>
        <v>6186.8523499999992</v>
      </c>
      <c r="J71" s="54">
        <f t="shared" ref="J71:J77" si="28">I71/H71*100</f>
        <v>96.769361372665557</v>
      </c>
      <c r="K71" s="48"/>
    </row>
    <row r="72" spans="1:11" ht="29.25" customHeight="1" x14ac:dyDescent="0.25">
      <c r="A72" s="49">
        <v>1</v>
      </c>
      <c r="B72" s="57" t="s">
        <v>79</v>
      </c>
      <c r="C72" s="54">
        <v>8572</v>
      </c>
      <c r="D72" s="50">
        <f>ROUND(C72/12*$B$3,0)</f>
        <v>3572</v>
      </c>
      <c r="E72" s="54">
        <v>3583</v>
      </c>
      <c r="F72" s="54">
        <f t="shared" si="27"/>
        <v>100.30795072788354</v>
      </c>
      <c r="G72" s="281">
        <v>11435.6788</v>
      </c>
      <c r="H72" s="281">
        <f t="shared" ref="H72:H73" si="29">ROUND(G72/12*$B$3,2)</f>
        <v>4764.87</v>
      </c>
      <c r="I72" s="281">
        <v>4526.8742599999996</v>
      </c>
      <c r="J72" s="54">
        <f t="shared" si="28"/>
        <v>95.005199722133028</v>
      </c>
      <c r="K72" s="48"/>
    </row>
    <row r="73" spans="1:11" ht="30" x14ac:dyDescent="0.25">
      <c r="A73" s="49">
        <v>1</v>
      </c>
      <c r="B73" s="57" t="s">
        <v>80</v>
      </c>
      <c r="C73" s="98">
        <v>2572</v>
      </c>
      <c r="D73" s="150">
        <f>ROUND(C73/12*$B$3,0)</f>
        <v>1072</v>
      </c>
      <c r="E73" s="98">
        <v>1085</v>
      </c>
      <c r="F73" s="98">
        <f t="shared" si="27"/>
        <v>101.21268656716418</v>
      </c>
      <c r="G73" s="281">
        <v>3908.4787700000002</v>
      </c>
      <c r="H73" s="281">
        <f t="shared" si="29"/>
        <v>1628.53</v>
      </c>
      <c r="I73" s="281">
        <v>1659.9780900000001</v>
      </c>
      <c r="J73" s="98">
        <f t="shared" si="28"/>
        <v>101.93107219394177</v>
      </c>
      <c r="K73" s="48"/>
    </row>
    <row r="74" spans="1:11" ht="30" x14ac:dyDescent="0.25">
      <c r="A74" s="49">
        <v>1</v>
      </c>
      <c r="B74" s="121" t="s">
        <v>112</v>
      </c>
      <c r="C74" s="54">
        <f>SUM(C75)</f>
        <v>960</v>
      </c>
      <c r="D74" s="54">
        <f t="shared" ref="D74:I74" si="30">SUM(D75)</f>
        <v>400</v>
      </c>
      <c r="E74" s="54">
        <f t="shared" si="30"/>
        <v>403</v>
      </c>
      <c r="F74" s="54">
        <f t="shared" si="27"/>
        <v>100.75</v>
      </c>
      <c r="G74" s="281">
        <f t="shared" si="30"/>
        <v>1696.4159999999999</v>
      </c>
      <c r="H74" s="281">
        <f t="shared" si="30"/>
        <v>706.84</v>
      </c>
      <c r="I74" s="281">
        <f t="shared" si="30"/>
        <v>707.34663999999998</v>
      </c>
      <c r="J74" s="98">
        <f t="shared" si="28"/>
        <v>100.07167675853093</v>
      </c>
      <c r="K74" s="48"/>
    </row>
    <row r="75" spans="1:11" ht="30" x14ac:dyDescent="0.25">
      <c r="A75" s="49">
        <v>1</v>
      </c>
      <c r="B75" s="146" t="s">
        <v>108</v>
      </c>
      <c r="C75" s="157">
        <v>960</v>
      </c>
      <c r="D75" s="305">
        <f>ROUND(C75/12*$B$3,0)</f>
        <v>400</v>
      </c>
      <c r="E75" s="157">
        <v>403</v>
      </c>
      <c r="F75" s="306">
        <f t="shared" si="27"/>
        <v>100.75</v>
      </c>
      <c r="G75" s="281">
        <f>1696416/1000</f>
        <v>1696.4159999999999</v>
      </c>
      <c r="H75" s="281">
        <f t="shared" ref="H75:H76" si="31">ROUND(G75/12*$B$3,2)</f>
        <v>706.84</v>
      </c>
      <c r="I75" s="281">
        <v>707.34663999999998</v>
      </c>
      <c r="J75" s="98">
        <f t="shared" si="28"/>
        <v>100.07167675853093</v>
      </c>
      <c r="K75" s="48"/>
    </row>
    <row r="76" spans="1:11" ht="30.75" thickBot="1" x14ac:dyDescent="0.3">
      <c r="A76" s="49">
        <v>1</v>
      </c>
      <c r="B76" s="57" t="s">
        <v>123</v>
      </c>
      <c r="C76" s="98">
        <v>12978</v>
      </c>
      <c r="D76" s="150">
        <f>ROUND(C76/12*$B$3,0)</f>
        <v>5408</v>
      </c>
      <c r="E76" s="98">
        <v>5512</v>
      </c>
      <c r="F76" s="98">
        <f t="shared" si="27"/>
        <v>101.92307692307692</v>
      </c>
      <c r="G76" s="281">
        <v>10525.41756</v>
      </c>
      <c r="H76" s="281">
        <f t="shared" si="31"/>
        <v>4385.59</v>
      </c>
      <c r="I76" s="281">
        <v>4470.3422399999999</v>
      </c>
      <c r="J76" s="98">
        <f>I76/H76*100</f>
        <v>101.9325162634902</v>
      </c>
      <c r="K76" s="48"/>
    </row>
    <row r="77" spans="1:11" ht="15" customHeight="1" thickBot="1" x14ac:dyDescent="0.3">
      <c r="A77" s="49">
        <v>1</v>
      </c>
      <c r="B77" s="409" t="s">
        <v>3</v>
      </c>
      <c r="C77" s="307"/>
      <c r="D77" s="294"/>
      <c r="E77" s="294"/>
      <c r="F77" s="295"/>
      <c r="G77" s="296">
        <f>G74+G71+G76</f>
        <v>27565.991130000002</v>
      </c>
      <c r="H77" s="296">
        <f>H74+H71+H76</f>
        <v>11485.83</v>
      </c>
      <c r="I77" s="296">
        <f>I74+I71+I76</f>
        <v>11364.541229999999</v>
      </c>
      <c r="J77" s="300">
        <f t="shared" si="28"/>
        <v>98.944013884934733</v>
      </c>
      <c r="K77" s="48"/>
    </row>
    <row r="78" spans="1:11" x14ac:dyDescent="0.25">
      <c r="A78" s="49">
        <v>1</v>
      </c>
      <c r="B78" s="78"/>
      <c r="C78" s="74"/>
      <c r="D78" s="74"/>
      <c r="E78" s="74"/>
      <c r="F78" s="73"/>
      <c r="G78" s="172"/>
      <c r="H78" s="172"/>
      <c r="I78" s="172"/>
      <c r="J78" s="74"/>
      <c r="K78" s="48"/>
    </row>
    <row r="79" spans="1:11" ht="29.25" x14ac:dyDescent="0.25">
      <c r="A79" s="49">
        <v>1</v>
      </c>
      <c r="B79" s="478" t="s">
        <v>65</v>
      </c>
      <c r="C79" s="60"/>
      <c r="D79" s="60"/>
      <c r="E79" s="60"/>
      <c r="F79" s="58"/>
      <c r="G79" s="173"/>
      <c r="H79" s="173"/>
      <c r="I79" s="173"/>
      <c r="J79" s="60"/>
      <c r="K79" s="48"/>
    </row>
    <row r="80" spans="1:11" ht="30" x14ac:dyDescent="0.25">
      <c r="A80" s="49">
        <v>1</v>
      </c>
      <c r="B80" s="121" t="s">
        <v>120</v>
      </c>
      <c r="C80" s="54">
        <f>SUM(C81:C82)</f>
        <v>15513</v>
      </c>
      <c r="D80" s="54">
        <f>SUM(D81:D82)</f>
        <v>6464</v>
      </c>
      <c r="E80" s="54">
        <f>SUM(E81:E82)</f>
        <v>5835</v>
      </c>
      <c r="F80" s="54">
        <f t="shared" ref="F80:F85" si="32">E80/D80*100</f>
        <v>90.269183168316829</v>
      </c>
      <c r="G80" s="281">
        <f>SUM(G81:G82)</f>
        <v>22055.219560000001</v>
      </c>
      <c r="H80" s="281">
        <f>SUM(H81:H82)</f>
        <v>9189.68</v>
      </c>
      <c r="I80" s="281">
        <f>SUM(I81:I82)</f>
        <v>8117.8181799999993</v>
      </c>
      <c r="J80" s="56">
        <f t="shared" ref="J80:J99" si="33">I80/H80*100</f>
        <v>88.336244352360467</v>
      </c>
      <c r="K80" s="48"/>
    </row>
    <row r="81" spans="1:11" ht="30" x14ac:dyDescent="0.25">
      <c r="A81" s="49">
        <v>1</v>
      </c>
      <c r="B81" s="57" t="s">
        <v>79</v>
      </c>
      <c r="C81" s="54">
        <v>11933</v>
      </c>
      <c r="D81" s="50">
        <f>ROUND(C81/12*$B$3,0)</f>
        <v>4972</v>
      </c>
      <c r="E81" s="54">
        <v>4796</v>
      </c>
      <c r="F81" s="54">
        <f t="shared" si="32"/>
        <v>96.460176991150433</v>
      </c>
      <c r="G81" s="281">
        <v>16478.485800000002</v>
      </c>
      <c r="H81" s="281">
        <f t="shared" ref="H81:H82" si="34">ROUND(G81/12*$B$3,2)</f>
        <v>6866.04</v>
      </c>
      <c r="I81" s="281">
        <v>6539.6407199999994</v>
      </c>
      <c r="J81" s="56">
        <f t="shared" si="33"/>
        <v>95.24617858328817</v>
      </c>
      <c r="K81" s="48"/>
    </row>
    <row r="82" spans="1:11" ht="30" x14ac:dyDescent="0.25">
      <c r="A82" s="49">
        <v>1</v>
      </c>
      <c r="B82" s="57" t="s">
        <v>80</v>
      </c>
      <c r="C82" s="54">
        <v>3580</v>
      </c>
      <c r="D82" s="50">
        <f>ROUND(C82/12*$B$3,0)</f>
        <v>1492</v>
      </c>
      <c r="E82" s="54">
        <v>1039</v>
      </c>
      <c r="F82" s="98">
        <f t="shared" si="32"/>
        <v>69.638069705093827</v>
      </c>
      <c r="G82" s="281">
        <v>5576.7337600000001</v>
      </c>
      <c r="H82" s="281">
        <f t="shared" si="34"/>
        <v>2323.64</v>
      </c>
      <c r="I82" s="281">
        <v>1578.1774600000001</v>
      </c>
      <c r="J82" s="56">
        <f t="shared" si="33"/>
        <v>67.918329001050083</v>
      </c>
      <c r="K82" s="48"/>
    </row>
    <row r="83" spans="1:11" ht="30" x14ac:dyDescent="0.25">
      <c r="A83" s="49">
        <v>1</v>
      </c>
      <c r="B83" s="121" t="s">
        <v>112</v>
      </c>
      <c r="C83" s="54">
        <f>SUM(C84)</f>
        <v>1800</v>
      </c>
      <c r="D83" s="54">
        <f t="shared" ref="D83:I83" si="35">SUM(D84)</f>
        <v>750</v>
      </c>
      <c r="E83" s="54">
        <f t="shared" si="35"/>
        <v>763</v>
      </c>
      <c r="F83" s="98">
        <f t="shared" si="32"/>
        <v>101.73333333333335</v>
      </c>
      <c r="G83" s="281">
        <f t="shared" si="35"/>
        <v>3180.78</v>
      </c>
      <c r="H83" s="281">
        <f t="shared" si="35"/>
        <v>1325.33</v>
      </c>
      <c r="I83" s="281">
        <f t="shared" si="35"/>
        <v>1357.3549800000001</v>
      </c>
      <c r="J83" s="56">
        <f t="shared" si="33"/>
        <v>102.41637780779126</v>
      </c>
      <c r="K83" s="48"/>
    </row>
    <row r="84" spans="1:11" ht="30" x14ac:dyDescent="0.25">
      <c r="A84" s="49">
        <v>1</v>
      </c>
      <c r="B84" s="146" t="s">
        <v>108</v>
      </c>
      <c r="C84" s="98">
        <v>1800</v>
      </c>
      <c r="D84" s="150">
        <f>ROUND(C84/12*$B$3,0)</f>
        <v>750</v>
      </c>
      <c r="E84" s="158">
        <v>763</v>
      </c>
      <c r="F84" s="98">
        <f t="shared" si="32"/>
        <v>101.73333333333335</v>
      </c>
      <c r="G84" s="281">
        <f>3180780/1000</f>
        <v>3180.78</v>
      </c>
      <c r="H84" s="281">
        <f t="shared" ref="H84:H85" si="36">ROUND(G84/12*$B$3,2)</f>
        <v>1325.33</v>
      </c>
      <c r="I84" s="281">
        <v>1357.3549800000001</v>
      </c>
      <c r="J84" s="284">
        <f t="shared" si="33"/>
        <v>102.41637780779126</v>
      </c>
      <c r="K84" s="48"/>
    </row>
    <row r="85" spans="1:11" ht="30.75" thickBot="1" x14ac:dyDescent="0.3">
      <c r="A85" s="49">
        <v>1</v>
      </c>
      <c r="B85" s="57" t="s">
        <v>123</v>
      </c>
      <c r="C85" s="54">
        <v>19927</v>
      </c>
      <c r="D85" s="50">
        <f>ROUND(C85/12*$B$3,0)</f>
        <v>8303</v>
      </c>
      <c r="E85" s="54">
        <v>8281</v>
      </c>
      <c r="F85" s="98">
        <f t="shared" si="32"/>
        <v>99.735035529326751</v>
      </c>
      <c r="G85" s="281">
        <v>16161.195539999999</v>
      </c>
      <c r="H85" s="281">
        <f t="shared" si="36"/>
        <v>6733.83</v>
      </c>
      <c r="I85" s="281">
        <v>6708.6705000000002</v>
      </c>
      <c r="J85" s="56">
        <f>I85/H85*100</f>
        <v>99.626371619123148</v>
      </c>
      <c r="K85" s="48"/>
    </row>
    <row r="86" spans="1:11" ht="15" customHeight="1" thickBot="1" x14ac:dyDescent="0.3">
      <c r="A86" s="49">
        <v>1</v>
      </c>
      <c r="B86" s="409" t="s">
        <v>3</v>
      </c>
      <c r="C86" s="193"/>
      <c r="D86" s="193"/>
      <c r="E86" s="193"/>
      <c r="F86" s="299"/>
      <c r="G86" s="308">
        <f>G83+G80+G85</f>
        <v>41397.195099999997</v>
      </c>
      <c r="H86" s="308">
        <f>H83+H80+H85</f>
        <v>17248.84</v>
      </c>
      <c r="I86" s="308">
        <f>I83+I80+I85</f>
        <v>16183.843659999999</v>
      </c>
      <c r="J86" s="300">
        <f t="shared" si="33"/>
        <v>93.825692974136217</v>
      </c>
      <c r="K86" s="48"/>
    </row>
    <row r="87" spans="1:11" x14ac:dyDescent="0.25">
      <c r="A87" s="49">
        <v>1</v>
      </c>
      <c r="B87" s="78"/>
      <c r="C87" s="73"/>
      <c r="D87" s="73"/>
      <c r="E87" s="73"/>
      <c r="F87" s="73"/>
      <c r="G87" s="172"/>
      <c r="H87" s="172"/>
      <c r="I87" s="172"/>
      <c r="J87" s="74"/>
      <c r="K87" s="48"/>
    </row>
    <row r="88" spans="1:11" ht="29.25" x14ac:dyDescent="0.25">
      <c r="A88" s="49">
        <v>1</v>
      </c>
      <c r="B88" s="513" t="s">
        <v>66</v>
      </c>
      <c r="C88" s="58"/>
      <c r="D88" s="58"/>
      <c r="E88" s="58"/>
      <c r="F88" s="58"/>
      <c r="G88" s="281"/>
      <c r="H88" s="281"/>
      <c r="I88" s="281"/>
      <c r="J88" s="56"/>
      <c r="K88" s="48"/>
    </row>
    <row r="89" spans="1:11" ht="30" x14ac:dyDescent="0.25">
      <c r="A89" s="49">
        <v>1</v>
      </c>
      <c r="B89" s="121" t="s">
        <v>120</v>
      </c>
      <c r="C89" s="54">
        <f>SUM(C90:C93)</f>
        <v>7431</v>
      </c>
      <c r="D89" s="54">
        <f>SUM(D90:D93)</f>
        <v>3096</v>
      </c>
      <c r="E89" s="54">
        <f>SUM(E90:E93)</f>
        <v>3513</v>
      </c>
      <c r="F89" s="310">
        <f t="shared" ref="F89:F97" si="37">E89/D89*100</f>
        <v>113.46899224806202</v>
      </c>
      <c r="G89" s="281">
        <f>SUM(G90:G93)</f>
        <v>11223.49158</v>
      </c>
      <c r="H89" s="281">
        <f>SUM(H90:H93)</f>
        <v>4676.46</v>
      </c>
      <c r="I89" s="281">
        <f>SUM(I90:I93)</f>
        <v>5586.3432499999999</v>
      </c>
      <c r="J89" s="54">
        <f t="shared" si="33"/>
        <v>119.45666700880579</v>
      </c>
      <c r="K89" s="48"/>
    </row>
    <row r="90" spans="1:11" ht="29.25" customHeight="1" x14ac:dyDescent="0.25">
      <c r="A90" s="49">
        <v>1</v>
      </c>
      <c r="B90" s="57" t="s">
        <v>79</v>
      </c>
      <c r="C90" s="54">
        <v>5594</v>
      </c>
      <c r="D90" s="50">
        <f t="shared" ref="D90:D97" si="38">ROUND(C90/12*$B$3,0)</f>
        <v>2331</v>
      </c>
      <c r="E90" s="50">
        <v>2568</v>
      </c>
      <c r="F90" s="310">
        <f t="shared" si="37"/>
        <v>110.16731016731016</v>
      </c>
      <c r="G90" s="281">
        <v>7756.0923999999995</v>
      </c>
      <c r="H90" s="281">
        <f t="shared" ref="H90:H93" si="39">ROUND(G90/12*$B$3,2)</f>
        <v>3231.71</v>
      </c>
      <c r="I90" s="281">
        <v>3492.22363</v>
      </c>
      <c r="J90" s="54">
        <f t="shared" si="33"/>
        <v>108.06116978317979</v>
      </c>
      <c r="K90" s="48"/>
    </row>
    <row r="91" spans="1:11" ht="26.25" customHeight="1" x14ac:dyDescent="0.25">
      <c r="A91" s="49">
        <v>1</v>
      </c>
      <c r="B91" s="57" t="s">
        <v>80</v>
      </c>
      <c r="C91" s="54">
        <v>1678</v>
      </c>
      <c r="D91" s="50">
        <f t="shared" si="38"/>
        <v>699</v>
      </c>
      <c r="E91" s="50">
        <v>786</v>
      </c>
      <c r="F91" s="310">
        <f t="shared" si="37"/>
        <v>112.44635193133048</v>
      </c>
      <c r="G91" s="281">
        <v>2597.9235800000001</v>
      </c>
      <c r="H91" s="281">
        <f t="shared" si="39"/>
        <v>1082.47</v>
      </c>
      <c r="I91" s="281">
        <v>1224.64402</v>
      </c>
      <c r="J91" s="54">
        <f t="shared" si="33"/>
        <v>113.13422265744084</v>
      </c>
      <c r="K91" s="48"/>
    </row>
    <row r="92" spans="1:11" ht="27.75" customHeight="1" x14ac:dyDescent="0.25">
      <c r="A92" s="49">
        <v>1</v>
      </c>
      <c r="B92" s="57" t="s">
        <v>114</v>
      </c>
      <c r="C92" s="54">
        <v>115</v>
      </c>
      <c r="D92" s="50">
        <f t="shared" si="38"/>
        <v>48</v>
      </c>
      <c r="E92" s="50">
        <v>115</v>
      </c>
      <c r="F92" s="310">
        <f t="shared" si="37"/>
        <v>239.58333333333334</v>
      </c>
      <c r="G92" s="281">
        <v>628.86599999999999</v>
      </c>
      <c r="H92" s="281">
        <f t="shared" si="39"/>
        <v>262.02999999999997</v>
      </c>
      <c r="I92" s="281">
        <v>628.86599999999999</v>
      </c>
      <c r="J92" s="54">
        <f t="shared" si="33"/>
        <v>239.99771018585659</v>
      </c>
      <c r="K92" s="48"/>
    </row>
    <row r="93" spans="1:11" ht="27.75" customHeight="1" x14ac:dyDescent="0.25">
      <c r="A93" s="49">
        <v>1</v>
      </c>
      <c r="B93" s="57" t="s">
        <v>115</v>
      </c>
      <c r="C93" s="54">
        <v>44</v>
      </c>
      <c r="D93" s="50">
        <f t="shared" si="38"/>
        <v>18</v>
      </c>
      <c r="E93" s="50">
        <v>44</v>
      </c>
      <c r="F93" s="310">
        <f t="shared" si="37"/>
        <v>244.44444444444446</v>
      </c>
      <c r="G93" s="281">
        <v>240.60959999999997</v>
      </c>
      <c r="H93" s="281">
        <f t="shared" si="39"/>
        <v>100.25</v>
      </c>
      <c r="I93" s="281">
        <v>240.6096</v>
      </c>
      <c r="J93" s="54">
        <f t="shared" si="33"/>
        <v>240.00957605985036</v>
      </c>
      <c r="K93" s="48"/>
    </row>
    <row r="94" spans="1:11" ht="45.75" customHeight="1" x14ac:dyDescent="0.25">
      <c r="A94" s="49">
        <v>1</v>
      </c>
      <c r="B94" s="121" t="s">
        <v>112</v>
      </c>
      <c r="C94" s="54">
        <f>SUM(C95:C97)</f>
        <v>7029</v>
      </c>
      <c r="D94" s="54">
        <f>SUM(D95:D97)</f>
        <v>2929</v>
      </c>
      <c r="E94" s="54">
        <f>SUM(E95:E97)</f>
        <v>2056</v>
      </c>
      <c r="F94" s="310">
        <f t="shared" si="37"/>
        <v>70.194605667463293</v>
      </c>
      <c r="G94" s="281">
        <f>SUM(G95:G97)</f>
        <v>12477.544699999999</v>
      </c>
      <c r="H94" s="281">
        <f>SUM(H95:H97)</f>
        <v>5198.97</v>
      </c>
      <c r="I94" s="281">
        <f>SUM(I95:I97)</f>
        <v>4115.8176400000002</v>
      </c>
      <c r="J94" s="54">
        <f t="shared" si="33"/>
        <v>79.16602019246119</v>
      </c>
      <c r="K94" s="48"/>
    </row>
    <row r="95" spans="1:11" ht="30" x14ac:dyDescent="0.25">
      <c r="A95" s="49">
        <v>1</v>
      </c>
      <c r="B95" s="57" t="s">
        <v>108</v>
      </c>
      <c r="C95" s="54">
        <v>700</v>
      </c>
      <c r="D95" s="50">
        <f t="shared" si="38"/>
        <v>292</v>
      </c>
      <c r="E95" s="54">
        <v>298</v>
      </c>
      <c r="F95" s="310">
        <f t="shared" si="37"/>
        <v>102.05479452054796</v>
      </c>
      <c r="G95" s="281">
        <f>1236970/1000</f>
        <v>1236.97</v>
      </c>
      <c r="H95" s="281">
        <f t="shared" ref="H95:H98" si="40">ROUND(G95/12*$B$3,2)</f>
        <v>515.4</v>
      </c>
      <c r="I95" s="281">
        <v>531.86893999999995</v>
      </c>
      <c r="J95" s="54">
        <f t="shared" si="33"/>
        <v>103.19537058595265</v>
      </c>
      <c r="K95" s="48"/>
    </row>
    <row r="96" spans="1:11" ht="57" customHeight="1" x14ac:dyDescent="0.25">
      <c r="A96" s="49">
        <v>1</v>
      </c>
      <c r="B96" s="57" t="s">
        <v>118</v>
      </c>
      <c r="C96" s="54">
        <v>4109</v>
      </c>
      <c r="D96" s="50">
        <f t="shared" si="38"/>
        <v>1712</v>
      </c>
      <c r="E96" s="50">
        <v>1080</v>
      </c>
      <c r="F96" s="310">
        <f t="shared" si="37"/>
        <v>63.084112149532714</v>
      </c>
      <c r="G96" s="281">
        <f>9427278.7/1000</f>
        <v>9427.2786999999989</v>
      </c>
      <c r="H96" s="281">
        <f t="shared" si="40"/>
        <v>3928.03</v>
      </c>
      <c r="I96" s="281">
        <v>2999.1336200000001</v>
      </c>
      <c r="J96" s="54">
        <f t="shared" si="33"/>
        <v>76.352105762939686</v>
      </c>
      <c r="K96" s="48"/>
    </row>
    <row r="97" spans="1:12" ht="43.5" customHeight="1" x14ac:dyDescent="0.25">
      <c r="A97" s="49">
        <v>1</v>
      </c>
      <c r="B97" s="57" t="s">
        <v>109</v>
      </c>
      <c r="C97" s="54">
        <v>2220</v>
      </c>
      <c r="D97" s="50">
        <f t="shared" si="38"/>
        <v>925</v>
      </c>
      <c r="E97" s="50">
        <v>678</v>
      </c>
      <c r="F97" s="310">
        <f t="shared" si="37"/>
        <v>73.297297297297291</v>
      </c>
      <c r="G97" s="281">
        <f>1813296/1000</f>
        <v>1813.296</v>
      </c>
      <c r="H97" s="281">
        <f t="shared" si="40"/>
        <v>755.54</v>
      </c>
      <c r="I97" s="281">
        <v>584.81507999999997</v>
      </c>
      <c r="J97" s="54">
        <f t="shared" si="33"/>
        <v>77.403589485665876</v>
      </c>
      <c r="K97" s="48"/>
    </row>
    <row r="98" spans="1:12" ht="30" customHeight="1" thickBot="1" x14ac:dyDescent="0.3">
      <c r="A98" s="49">
        <v>1</v>
      </c>
      <c r="B98" s="57" t="s">
        <v>123</v>
      </c>
      <c r="C98" s="54">
        <v>17404</v>
      </c>
      <c r="D98" s="50">
        <f>ROUND(C98/12*$B$3,0)</f>
        <v>7252</v>
      </c>
      <c r="E98" s="50">
        <v>7419</v>
      </c>
      <c r="F98" s="310">
        <f>E98/D98*100</f>
        <v>102.30281301709874</v>
      </c>
      <c r="G98" s="281">
        <v>14114.99208</v>
      </c>
      <c r="H98" s="281">
        <f t="shared" si="40"/>
        <v>5881.25</v>
      </c>
      <c r="I98" s="281">
        <v>5976.7443799999992</v>
      </c>
      <c r="J98" s="284">
        <f>I98/H98*100</f>
        <v>101.62370890541976</v>
      </c>
      <c r="K98" s="48"/>
    </row>
    <row r="99" spans="1:12" s="413" customFormat="1" ht="15.75" thickBot="1" x14ac:dyDescent="0.3">
      <c r="A99" s="49">
        <v>1</v>
      </c>
      <c r="B99" s="147" t="s">
        <v>3</v>
      </c>
      <c r="C99" s="193"/>
      <c r="D99" s="193"/>
      <c r="E99" s="193"/>
      <c r="F99" s="311"/>
      <c r="G99" s="308">
        <f>G94+G89+G98</f>
        <v>37816.028359999997</v>
      </c>
      <c r="H99" s="308">
        <f>H94+H89+H98</f>
        <v>15756.68</v>
      </c>
      <c r="I99" s="308">
        <f>I94+I89+I98</f>
        <v>15678.905269999999</v>
      </c>
      <c r="J99" s="300">
        <f t="shared" si="33"/>
        <v>99.50640153890285</v>
      </c>
      <c r="K99" s="48"/>
      <c r="L99" s="485"/>
    </row>
    <row r="100" spans="1:12" ht="15" customHeight="1" x14ac:dyDescent="0.25">
      <c r="A100" s="49">
        <v>1</v>
      </c>
      <c r="B100" s="78"/>
      <c r="C100" s="74"/>
      <c r="D100" s="74"/>
      <c r="E100" s="74"/>
      <c r="F100" s="73"/>
      <c r="G100" s="172"/>
      <c r="H100" s="172"/>
      <c r="I100" s="172"/>
      <c r="J100" s="74"/>
      <c r="K100" s="48"/>
    </row>
    <row r="101" spans="1:12" ht="29.25" x14ac:dyDescent="0.25">
      <c r="A101" s="49">
        <v>1</v>
      </c>
      <c r="B101" s="513" t="s">
        <v>67</v>
      </c>
      <c r="C101" s="60"/>
      <c r="D101" s="60"/>
      <c r="E101" s="60"/>
      <c r="F101" s="58"/>
      <c r="G101" s="173"/>
      <c r="H101" s="173"/>
      <c r="I101" s="168"/>
      <c r="J101" s="60"/>
      <c r="K101" s="48"/>
    </row>
    <row r="102" spans="1:12" ht="42" customHeight="1" x14ac:dyDescent="0.25">
      <c r="A102" s="49">
        <v>1</v>
      </c>
      <c r="B102" s="121" t="s">
        <v>120</v>
      </c>
      <c r="C102" s="54">
        <f>SUM(C103:C106)</f>
        <v>5469</v>
      </c>
      <c r="D102" s="50">
        <f>SUM(D103:D106)</f>
        <v>2279</v>
      </c>
      <c r="E102" s="54">
        <f>SUM(E103:E106)</f>
        <v>2311</v>
      </c>
      <c r="F102" s="54">
        <f t="shared" ref="F102:F110" si="41">E102/D102*100</f>
        <v>101.40412461605968</v>
      </c>
      <c r="G102" s="281">
        <f>SUM(G103:G106)</f>
        <v>7993.9445299999998</v>
      </c>
      <c r="H102" s="281">
        <f>SUM(H103:H106)</f>
        <v>3330.8100000000004</v>
      </c>
      <c r="I102" s="281">
        <f>SUM(I103:I106)</f>
        <v>3548.3889599999998</v>
      </c>
      <c r="J102" s="54">
        <f t="shared" ref="J102:J112" si="42">I102/H102*100</f>
        <v>106.53231376151744</v>
      </c>
      <c r="K102" s="48"/>
    </row>
    <row r="103" spans="1:12" ht="35.25" customHeight="1" x14ac:dyDescent="0.25">
      <c r="A103" s="49">
        <v>1</v>
      </c>
      <c r="B103" s="57" t="s">
        <v>79</v>
      </c>
      <c r="C103" s="54">
        <v>4104</v>
      </c>
      <c r="D103" s="50">
        <f t="shared" ref="D103:D110" si="43">ROUND(C103/12*$B$3,0)</f>
        <v>1710</v>
      </c>
      <c r="E103" s="54">
        <v>1697</v>
      </c>
      <c r="F103" s="54">
        <f t="shared" si="41"/>
        <v>99.239766081871352</v>
      </c>
      <c r="G103" s="281">
        <v>5420.0132000000003</v>
      </c>
      <c r="H103" s="281">
        <f t="shared" ref="H103:H106" si="44">ROUND(G103/12*$B$3,2)</f>
        <v>2258.34</v>
      </c>
      <c r="I103" s="281">
        <v>2139.8894599999999</v>
      </c>
      <c r="J103" s="54">
        <f t="shared" si="42"/>
        <v>94.754973121850554</v>
      </c>
      <c r="K103" s="48"/>
    </row>
    <row r="104" spans="1:12" ht="31.5" customHeight="1" x14ac:dyDescent="0.25">
      <c r="A104" s="49">
        <v>1</v>
      </c>
      <c r="B104" s="57" t="s">
        <v>80</v>
      </c>
      <c r="C104" s="54">
        <v>1231</v>
      </c>
      <c r="D104" s="50">
        <f t="shared" si="43"/>
        <v>513</v>
      </c>
      <c r="E104" s="54">
        <v>491</v>
      </c>
      <c r="F104" s="54">
        <f t="shared" si="41"/>
        <v>95.711500974658875</v>
      </c>
      <c r="G104" s="281">
        <v>1841.1657299999999</v>
      </c>
      <c r="H104" s="281">
        <f t="shared" si="44"/>
        <v>767.15</v>
      </c>
      <c r="I104" s="281">
        <v>735.88630000000001</v>
      </c>
      <c r="J104" s="54">
        <f t="shared" si="42"/>
        <v>95.924695300788628</v>
      </c>
      <c r="K104" s="48"/>
    </row>
    <row r="105" spans="1:12" ht="28.5" customHeight="1" x14ac:dyDescent="0.25">
      <c r="A105" s="49">
        <v>1</v>
      </c>
      <c r="B105" s="57" t="s">
        <v>114</v>
      </c>
      <c r="C105" s="54">
        <v>90</v>
      </c>
      <c r="D105" s="50">
        <f t="shared" si="43"/>
        <v>38</v>
      </c>
      <c r="E105" s="54">
        <v>81</v>
      </c>
      <c r="F105" s="54">
        <f t="shared" si="41"/>
        <v>213.15789473684214</v>
      </c>
      <c r="G105" s="281">
        <v>492.15599999999995</v>
      </c>
      <c r="H105" s="281">
        <f t="shared" si="44"/>
        <v>205.07</v>
      </c>
      <c r="I105" s="281">
        <v>442.94040000000001</v>
      </c>
      <c r="J105" s="54">
        <f t="shared" si="42"/>
        <v>215.99473350563224</v>
      </c>
      <c r="K105" s="48"/>
    </row>
    <row r="106" spans="1:12" ht="27.75" customHeight="1" x14ac:dyDescent="0.25">
      <c r="A106" s="49">
        <v>1</v>
      </c>
      <c r="B106" s="57" t="s">
        <v>115</v>
      </c>
      <c r="C106" s="54">
        <v>44</v>
      </c>
      <c r="D106" s="50">
        <f t="shared" si="43"/>
        <v>18</v>
      </c>
      <c r="E106" s="54">
        <v>42</v>
      </c>
      <c r="F106" s="54">
        <f t="shared" si="41"/>
        <v>233.33333333333334</v>
      </c>
      <c r="G106" s="281">
        <v>240.60959999999997</v>
      </c>
      <c r="H106" s="281">
        <f t="shared" si="44"/>
        <v>100.25</v>
      </c>
      <c r="I106" s="281">
        <v>229.67280000000002</v>
      </c>
      <c r="J106" s="54">
        <f t="shared" si="42"/>
        <v>229.10004987531175</v>
      </c>
      <c r="K106" s="48"/>
    </row>
    <row r="107" spans="1:12" ht="43.5" customHeight="1" x14ac:dyDescent="0.25">
      <c r="A107" s="49">
        <v>1</v>
      </c>
      <c r="B107" s="121" t="s">
        <v>112</v>
      </c>
      <c r="C107" s="54">
        <f>SUM(C108:C110)</f>
        <v>7090</v>
      </c>
      <c r="D107" s="54">
        <f>SUM(D108:D110)</f>
        <v>2955</v>
      </c>
      <c r="E107" s="54">
        <f>SUM(E108:E110)</f>
        <v>3034</v>
      </c>
      <c r="F107" s="54">
        <f t="shared" si="41"/>
        <v>102.67343485617597</v>
      </c>
      <c r="G107" s="281">
        <f>SUM(G108:G110)</f>
        <v>13724.020400000001</v>
      </c>
      <c r="H107" s="281">
        <f>SUM(H108:H110)</f>
        <v>5718.3399999999992</v>
      </c>
      <c r="I107" s="281">
        <f>SUM(I108:I110)</f>
        <v>6015.2388099999998</v>
      </c>
      <c r="J107" s="54">
        <f t="shared" si="42"/>
        <v>105.19204541877538</v>
      </c>
      <c r="K107" s="48"/>
    </row>
    <row r="108" spans="1:12" ht="43.5" customHeight="1" x14ac:dyDescent="0.25">
      <c r="A108" s="49">
        <v>1</v>
      </c>
      <c r="B108" s="57" t="s">
        <v>108</v>
      </c>
      <c r="C108" s="54">
        <v>3528</v>
      </c>
      <c r="D108" s="50">
        <f t="shared" si="43"/>
        <v>1470</v>
      </c>
      <c r="E108" s="54">
        <v>1468</v>
      </c>
      <c r="F108" s="54">
        <f t="shared" si="41"/>
        <v>99.863945578231295</v>
      </c>
      <c r="G108" s="281">
        <f>6234328.8/1000</f>
        <v>6234.3288000000002</v>
      </c>
      <c r="H108" s="281">
        <f t="shared" ref="H108:H111" si="45">ROUND(G108/12*$B$3,2)</f>
        <v>2597.64</v>
      </c>
      <c r="I108" s="281">
        <v>2606.5785799999999</v>
      </c>
      <c r="J108" s="54">
        <f t="shared" si="42"/>
        <v>100.34410387890547</v>
      </c>
      <c r="K108" s="48"/>
    </row>
    <row r="109" spans="1:12" ht="59.25" customHeight="1" x14ac:dyDescent="0.25">
      <c r="A109" s="49">
        <v>1</v>
      </c>
      <c r="B109" s="57" t="s">
        <v>118</v>
      </c>
      <c r="C109" s="54">
        <v>3100</v>
      </c>
      <c r="D109" s="50">
        <f t="shared" si="43"/>
        <v>1292</v>
      </c>
      <c r="E109" s="54">
        <v>1321</v>
      </c>
      <c r="F109" s="54">
        <f t="shared" si="41"/>
        <v>102.24458204334366</v>
      </c>
      <c r="G109" s="281">
        <f>7112330/1000</f>
        <v>7112.33</v>
      </c>
      <c r="H109" s="281">
        <f t="shared" si="45"/>
        <v>2963.47</v>
      </c>
      <c r="I109" s="281">
        <v>3175.2903799999999</v>
      </c>
      <c r="J109" s="54">
        <f t="shared" si="42"/>
        <v>107.14771467232671</v>
      </c>
      <c r="K109" s="48"/>
    </row>
    <row r="110" spans="1:12" ht="45" x14ac:dyDescent="0.25">
      <c r="A110" s="49">
        <v>1</v>
      </c>
      <c r="B110" s="57" t="s">
        <v>109</v>
      </c>
      <c r="C110" s="54">
        <v>462</v>
      </c>
      <c r="D110" s="50">
        <f t="shared" si="43"/>
        <v>193</v>
      </c>
      <c r="E110" s="54">
        <v>245</v>
      </c>
      <c r="F110" s="54">
        <f t="shared" si="41"/>
        <v>126.94300518134716</v>
      </c>
      <c r="G110" s="281">
        <f>377361.6/1000</f>
        <v>377.36159999999995</v>
      </c>
      <c r="H110" s="281">
        <f t="shared" si="45"/>
        <v>157.22999999999999</v>
      </c>
      <c r="I110" s="281">
        <v>233.36985000000001</v>
      </c>
      <c r="J110" s="54">
        <f t="shared" si="42"/>
        <v>148.42577752337343</v>
      </c>
      <c r="K110" s="48"/>
    </row>
    <row r="111" spans="1:12" ht="30.75" customHeight="1" thickBot="1" x14ac:dyDescent="0.3">
      <c r="A111" s="49">
        <v>1</v>
      </c>
      <c r="B111" s="57" t="s">
        <v>123</v>
      </c>
      <c r="C111" s="54">
        <v>11976</v>
      </c>
      <c r="D111" s="50">
        <f>ROUND(C111/12*$B$3,0)</f>
        <v>4990</v>
      </c>
      <c r="E111" s="54">
        <v>4958</v>
      </c>
      <c r="F111" s="54">
        <f>E111/D111*100</f>
        <v>99.358717434869732</v>
      </c>
      <c r="G111" s="281">
        <v>9712.7755199999992</v>
      </c>
      <c r="H111" s="281">
        <f t="shared" si="45"/>
        <v>4046.99</v>
      </c>
      <c r="I111" s="281">
        <v>4003.73992</v>
      </c>
      <c r="J111" s="54">
        <f>I111/H111*100</f>
        <v>98.931302523603975</v>
      </c>
      <c r="K111" s="48"/>
    </row>
    <row r="112" spans="1:12" ht="15.75" thickBot="1" x14ac:dyDescent="0.3">
      <c r="A112" s="49">
        <v>1</v>
      </c>
      <c r="B112" s="514" t="s">
        <v>3</v>
      </c>
      <c r="C112" s="294"/>
      <c r="D112" s="294"/>
      <c r="E112" s="294"/>
      <c r="F112" s="295"/>
      <c r="G112" s="312">
        <f>G107+G102+G111</f>
        <v>31430.740450000001</v>
      </c>
      <c r="H112" s="312">
        <f>H107+H102+H111</f>
        <v>13096.14</v>
      </c>
      <c r="I112" s="312">
        <f>I107+I102+I111</f>
        <v>13567.367689999999</v>
      </c>
      <c r="J112" s="193">
        <f t="shared" si="42"/>
        <v>103.59821817726444</v>
      </c>
      <c r="K112" s="48"/>
    </row>
    <row r="113" spans="1:11" x14ac:dyDescent="0.25">
      <c r="A113" s="49">
        <v>1</v>
      </c>
      <c r="B113" s="78"/>
      <c r="C113" s="74"/>
      <c r="D113" s="74"/>
      <c r="E113" s="74"/>
      <c r="F113" s="73"/>
      <c r="G113" s="172"/>
      <c r="H113" s="172"/>
      <c r="I113" s="172"/>
      <c r="J113" s="74"/>
      <c r="K113" s="48"/>
    </row>
    <row r="114" spans="1:11" ht="29.25" x14ac:dyDescent="0.25">
      <c r="A114" s="49">
        <v>1</v>
      </c>
      <c r="B114" s="513" t="s">
        <v>68</v>
      </c>
      <c r="C114" s="60"/>
      <c r="D114" s="60"/>
      <c r="E114" s="60"/>
      <c r="F114" s="58"/>
      <c r="G114" s="173"/>
      <c r="H114" s="173"/>
      <c r="I114" s="173"/>
      <c r="J114" s="60"/>
      <c r="K114" s="48"/>
    </row>
    <row r="115" spans="1:11" ht="30" x14ac:dyDescent="0.25">
      <c r="A115" s="49">
        <v>1</v>
      </c>
      <c r="B115" s="121" t="s">
        <v>120</v>
      </c>
      <c r="C115" s="54">
        <f>SUM(C116:C117)</f>
        <v>27938</v>
      </c>
      <c r="D115" s="54">
        <f>SUM(D116:D117)</f>
        <v>11641</v>
      </c>
      <c r="E115" s="54">
        <f>SUM(E116:E117)</f>
        <v>11249</v>
      </c>
      <c r="F115" s="54">
        <f t="shared" ref="F115:F121" si="46">E115/D115*100</f>
        <v>96.632591701743848</v>
      </c>
      <c r="G115" s="281">
        <f>SUM(G116:G117)</f>
        <v>39132.471449999997</v>
      </c>
      <c r="H115" s="281">
        <f>SUM(H116:H117)</f>
        <v>16305.2</v>
      </c>
      <c r="I115" s="281">
        <f>SUM(I116:I117)</f>
        <v>15716.617389999999</v>
      </c>
      <c r="J115" s="54">
        <f t="shared" ref="J115:J122" si="47">I115/H115*100</f>
        <v>96.390215330078746</v>
      </c>
      <c r="K115" s="48"/>
    </row>
    <row r="116" spans="1:11" ht="37.5" customHeight="1" x14ac:dyDescent="0.25">
      <c r="A116" s="49">
        <v>1</v>
      </c>
      <c r="B116" s="57" t="s">
        <v>79</v>
      </c>
      <c r="C116" s="54">
        <v>21491</v>
      </c>
      <c r="D116" s="50">
        <f>ROUND(C116/12*$B$3,0)</f>
        <v>8955</v>
      </c>
      <c r="E116" s="54">
        <v>8888</v>
      </c>
      <c r="F116" s="54">
        <f t="shared" si="46"/>
        <v>99.251814628699051</v>
      </c>
      <c r="G116" s="281">
        <v>29651.855799999998</v>
      </c>
      <c r="H116" s="281">
        <f t="shared" ref="H116:H117" si="48">ROUND(G116/12*$B$3,2)</f>
        <v>12354.94</v>
      </c>
      <c r="I116" s="281">
        <v>12117.577160000001</v>
      </c>
      <c r="J116" s="54">
        <f t="shared" si="47"/>
        <v>98.078802163345188</v>
      </c>
      <c r="K116" s="48"/>
    </row>
    <row r="117" spans="1:11" ht="27.75" customHeight="1" x14ac:dyDescent="0.25">
      <c r="A117" s="49">
        <v>1</v>
      </c>
      <c r="B117" s="57" t="s">
        <v>80</v>
      </c>
      <c r="C117" s="54">
        <v>6447</v>
      </c>
      <c r="D117" s="50">
        <f>ROUND(C117/12*$B$3,0)</f>
        <v>2686</v>
      </c>
      <c r="E117" s="54">
        <v>2361</v>
      </c>
      <c r="F117" s="54">
        <f t="shared" si="46"/>
        <v>87.90022338049144</v>
      </c>
      <c r="G117" s="281">
        <v>9480.6156499999979</v>
      </c>
      <c r="H117" s="281">
        <f t="shared" si="48"/>
        <v>3950.26</v>
      </c>
      <c r="I117" s="281">
        <v>3599.0402299999996</v>
      </c>
      <c r="J117" s="54">
        <f t="shared" si="47"/>
        <v>91.108945487132473</v>
      </c>
      <c r="K117" s="48"/>
    </row>
    <row r="118" spans="1:11" ht="27.75" customHeight="1" x14ac:dyDescent="0.25">
      <c r="A118" s="49">
        <v>1</v>
      </c>
      <c r="B118" s="121" t="s">
        <v>112</v>
      </c>
      <c r="C118" s="54">
        <f>SUM(C119)</f>
        <v>6000</v>
      </c>
      <c r="D118" s="54">
        <f t="shared" ref="D118:I118" si="49">SUM(D119)</f>
        <v>2500</v>
      </c>
      <c r="E118" s="54">
        <f t="shared" si="49"/>
        <v>2521</v>
      </c>
      <c r="F118" s="54">
        <f t="shared" si="46"/>
        <v>100.84</v>
      </c>
      <c r="G118" s="281">
        <f t="shared" si="49"/>
        <v>10602.6</v>
      </c>
      <c r="H118" s="281">
        <f t="shared" si="49"/>
        <v>4417.75</v>
      </c>
      <c r="I118" s="281">
        <f t="shared" si="49"/>
        <v>4450.8680700000004</v>
      </c>
      <c r="J118" s="54">
        <f t="shared" si="47"/>
        <v>100.7496592156641</v>
      </c>
      <c r="K118" s="48"/>
    </row>
    <row r="119" spans="1:11" ht="27.75" customHeight="1" x14ac:dyDescent="0.25">
      <c r="A119" s="49">
        <v>1</v>
      </c>
      <c r="B119" s="146" t="s">
        <v>108</v>
      </c>
      <c r="C119" s="98">
        <v>6000</v>
      </c>
      <c r="D119" s="150">
        <f>ROUND(C119/12*$B$3,0)</f>
        <v>2500</v>
      </c>
      <c r="E119" s="158">
        <v>2521</v>
      </c>
      <c r="F119" s="98">
        <f t="shared" si="46"/>
        <v>100.84</v>
      </c>
      <c r="G119" s="281">
        <f>10602600/1000</f>
        <v>10602.6</v>
      </c>
      <c r="H119" s="281">
        <f t="shared" ref="H119:H121" si="50">ROUND(G119/12*$B$3,2)</f>
        <v>4417.75</v>
      </c>
      <c r="I119" s="281">
        <v>4450.8680700000004</v>
      </c>
      <c r="J119" s="98">
        <f t="shared" si="47"/>
        <v>100.7496592156641</v>
      </c>
      <c r="K119" s="48"/>
    </row>
    <row r="120" spans="1:11" ht="27.75" customHeight="1" x14ac:dyDescent="0.25">
      <c r="A120" s="49">
        <v>1</v>
      </c>
      <c r="B120" s="146" t="s">
        <v>123</v>
      </c>
      <c r="C120" s="98">
        <v>55185</v>
      </c>
      <c r="D120" s="150">
        <f>ROUND(C120/12*$B$3,0)</f>
        <v>22994</v>
      </c>
      <c r="E120" s="158">
        <f>18229+E121</f>
        <v>23868</v>
      </c>
      <c r="F120" s="98">
        <f t="shared" si="46"/>
        <v>103.80099156301642</v>
      </c>
      <c r="G120" s="281">
        <v>44756.138699999996</v>
      </c>
      <c r="H120" s="281">
        <f t="shared" si="50"/>
        <v>18648.39</v>
      </c>
      <c r="I120" s="281">
        <f>14713.21657+I121</f>
        <v>19267.288670000002</v>
      </c>
      <c r="J120" s="98">
        <f t="shared" si="47"/>
        <v>103.31877802855904</v>
      </c>
      <c r="K120" s="48"/>
    </row>
    <row r="121" spans="1:11" ht="27.75" customHeight="1" thickBot="1" x14ac:dyDescent="0.3">
      <c r="A121" s="49">
        <v>1</v>
      </c>
      <c r="B121" s="57" t="s">
        <v>124</v>
      </c>
      <c r="C121" s="54">
        <v>13500</v>
      </c>
      <c r="D121" s="50">
        <f>ROUND(C121/12*$B$3,0)</f>
        <v>5625</v>
      </c>
      <c r="E121" s="54">
        <v>5639</v>
      </c>
      <c r="F121" s="54">
        <f t="shared" si="46"/>
        <v>100.2488888888889</v>
      </c>
      <c r="G121" s="281">
        <v>10948.769999999999</v>
      </c>
      <c r="H121" s="281">
        <f t="shared" si="50"/>
        <v>4561.99</v>
      </c>
      <c r="I121" s="281">
        <v>4554.0720999999994</v>
      </c>
      <c r="J121" s="54"/>
      <c r="K121" s="48"/>
    </row>
    <row r="122" spans="1:11" ht="15.75" thickBot="1" x14ac:dyDescent="0.3">
      <c r="A122" s="49">
        <v>1</v>
      </c>
      <c r="B122" s="147" t="s">
        <v>3</v>
      </c>
      <c r="C122" s="193"/>
      <c r="D122" s="193"/>
      <c r="E122" s="193"/>
      <c r="F122" s="295"/>
      <c r="G122" s="308">
        <f>G115+G118+G120</f>
        <v>94491.210149999999</v>
      </c>
      <c r="H122" s="308">
        <f>H115+H118+H120</f>
        <v>39371.339999999997</v>
      </c>
      <c r="I122" s="308">
        <f>I115+I118+I120</f>
        <v>39434.774130000005</v>
      </c>
      <c r="J122" s="193">
        <f t="shared" si="47"/>
        <v>100.16111752863888</v>
      </c>
      <c r="K122" s="48"/>
    </row>
    <row r="123" spans="1:11" ht="15" customHeight="1" x14ac:dyDescent="0.25">
      <c r="A123" s="49">
        <v>1</v>
      </c>
      <c r="B123" s="78"/>
      <c r="C123" s="74"/>
      <c r="D123" s="74"/>
      <c r="E123" s="74"/>
      <c r="F123" s="73"/>
      <c r="G123" s="172"/>
      <c r="H123" s="172"/>
      <c r="I123" s="172"/>
      <c r="J123" s="74"/>
      <c r="K123" s="48"/>
    </row>
    <row r="124" spans="1:11" ht="29.25" x14ac:dyDescent="0.25">
      <c r="A124" s="49">
        <v>1</v>
      </c>
      <c r="B124" s="513" t="s">
        <v>69</v>
      </c>
      <c r="C124" s="60"/>
      <c r="D124" s="60"/>
      <c r="E124" s="60"/>
      <c r="F124" s="58"/>
      <c r="G124" s="173"/>
      <c r="H124" s="173"/>
      <c r="I124" s="173"/>
      <c r="J124" s="60"/>
      <c r="K124" s="48"/>
    </row>
    <row r="125" spans="1:11" ht="36" customHeight="1" x14ac:dyDescent="0.25">
      <c r="A125" s="49">
        <v>1</v>
      </c>
      <c r="B125" s="121" t="s">
        <v>120</v>
      </c>
      <c r="C125" s="54">
        <f>SUM(C126:C129)</f>
        <v>6342</v>
      </c>
      <c r="D125" s="50">
        <f>SUM(D126:D129)</f>
        <v>2643</v>
      </c>
      <c r="E125" s="54">
        <f>SUM(E126:E129)</f>
        <v>2720</v>
      </c>
      <c r="F125" s="54">
        <f>E125/D125*100</f>
        <v>102.91335603480893</v>
      </c>
      <c r="G125" s="281">
        <f>SUM(G126:G129)</f>
        <v>8530.2624799999994</v>
      </c>
      <c r="H125" s="281">
        <f>SUM(H126:H129)</f>
        <v>3554.2799999999997</v>
      </c>
      <c r="I125" s="281">
        <f>SUM(I126:I129)</f>
        <v>4005.32116</v>
      </c>
      <c r="J125" s="54">
        <f t="shared" ref="J125:J144" si="51">I125/H125*100</f>
        <v>112.69008519306303</v>
      </c>
      <c r="K125" s="48"/>
    </row>
    <row r="126" spans="1:11" ht="26.25" customHeight="1" x14ac:dyDescent="0.25">
      <c r="A126" s="49">
        <v>1</v>
      </c>
      <c r="B126" s="57" t="s">
        <v>79</v>
      </c>
      <c r="C126" s="54">
        <v>4846</v>
      </c>
      <c r="D126" s="50">
        <f t="shared" ref="D126:D133" si="52">ROUND(C126/12*$B$3,0)</f>
        <v>2019</v>
      </c>
      <c r="E126" s="54">
        <v>2022</v>
      </c>
      <c r="F126" s="54">
        <f>E126/D126*100</f>
        <v>100.14858841010401</v>
      </c>
      <c r="G126" s="281">
        <v>6118.4129999999996</v>
      </c>
      <c r="H126" s="281">
        <f t="shared" ref="H126:H129" si="53">ROUND(G126/12*$B$3,2)</f>
        <v>2549.34</v>
      </c>
      <c r="I126" s="281">
        <v>2749.5137199999999</v>
      </c>
      <c r="J126" s="54">
        <f t="shared" si="51"/>
        <v>107.85198208163681</v>
      </c>
      <c r="K126" s="48"/>
    </row>
    <row r="127" spans="1:11" ht="27" customHeight="1" x14ac:dyDescent="0.25">
      <c r="A127" s="49">
        <v>1</v>
      </c>
      <c r="B127" s="57" t="s">
        <v>80</v>
      </c>
      <c r="C127" s="54">
        <v>1454</v>
      </c>
      <c r="D127" s="50">
        <f t="shared" si="52"/>
        <v>606</v>
      </c>
      <c r="E127" s="54">
        <v>650</v>
      </c>
      <c r="F127" s="54">
        <f>E127/D127*100</f>
        <v>107.26072607260726</v>
      </c>
      <c r="G127" s="281">
        <v>2182.1766799999996</v>
      </c>
      <c r="H127" s="281">
        <f t="shared" si="53"/>
        <v>909.24</v>
      </c>
      <c r="I127" s="281">
        <v>993.32424000000015</v>
      </c>
      <c r="J127" s="54">
        <f t="shared" si="51"/>
        <v>109.24774976903788</v>
      </c>
      <c r="K127" s="48"/>
    </row>
    <row r="128" spans="1:11" ht="30" x14ac:dyDescent="0.25">
      <c r="A128" s="49">
        <v>1</v>
      </c>
      <c r="B128" s="57" t="s">
        <v>114</v>
      </c>
      <c r="C128" s="54"/>
      <c r="D128" s="50">
        <f t="shared" si="52"/>
        <v>0</v>
      </c>
      <c r="E128" s="54"/>
      <c r="F128" s="54"/>
      <c r="G128" s="281"/>
      <c r="H128" s="281">
        <f t="shared" si="53"/>
        <v>0</v>
      </c>
      <c r="I128" s="281"/>
      <c r="J128" s="54"/>
      <c r="K128" s="48"/>
    </row>
    <row r="129" spans="1:11" ht="30" x14ac:dyDescent="0.25">
      <c r="A129" s="49">
        <v>1</v>
      </c>
      <c r="B129" s="57" t="s">
        <v>115</v>
      </c>
      <c r="C129" s="54">
        <v>42</v>
      </c>
      <c r="D129" s="50">
        <f t="shared" si="52"/>
        <v>18</v>
      </c>
      <c r="E129" s="54">
        <v>48</v>
      </c>
      <c r="F129" s="54">
        <f t="shared" ref="F129:F134" si="54">E129/D129*100</f>
        <v>266.66666666666663</v>
      </c>
      <c r="G129" s="281">
        <v>229.6728</v>
      </c>
      <c r="H129" s="281">
        <f t="shared" si="53"/>
        <v>95.7</v>
      </c>
      <c r="I129" s="281">
        <v>262.48320000000001</v>
      </c>
      <c r="J129" s="54">
        <f t="shared" si="51"/>
        <v>274.27711598746083</v>
      </c>
      <c r="K129" s="48"/>
    </row>
    <row r="130" spans="1:11" ht="30" x14ac:dyDescent="0.25">
      <c r="A130" s="49">
        <v>1</v>
      </c>
      <c r="B130" s="121" t="s">
        <v>112</v>
      </c>
      <c r="C130" s="54">
        <f>SUM(C131:C133)</f>
        <v>7520</v>
      </c>
      <c r="D130" s="54">
        <f>SUM(D131:D133)</f>
        <v>3134</v>
      </c>
      <c r="E130" s="54">
        <f>SUM(E131:E133)</f>
        <v>3218</v>
      </c>
      <c r="F130" s="54">
        <f t="shared" si="54"/>
        <v>102.68028079132098</v>
      </c>
      <c r="G130" s="281">
        <f>SUM(G131:G133)</f>
        <v>13390.177</v>
      </c>
      <c r="H130" s="281">
        <f>SUM(H131:H133)</f>
        <v>5579.25</v>
      </c>
      <c r="I130" s="281">
        <f>SUM(I131:I133)</f>
        <v>5944.2541600000004</v>
      </c>
      <c r="J130" s="54">
        <f t="shared" si="51"/>
        <v>106.54217251422683</v>
      </c>
      <c r="K130" s="48"/>
    </row>
    <row r="131" spans="1:11" ht="30" x14ac:dyDescent="0.25">
      <c r="A131" s="49">
        <v>1</v>
      </c>
      <c r="B131" s="57" t="s">
        <v>108</v>
      </c>
      <c r="C131" s="54">
        <v>1470</v>
      </c>
      <c r="D131" s="50">
        <f t="shared" si="52"/>
        <v>613</v>
      </c>
      <c r="E131" s="54">
        <v>663</v>
      </c>
      <c r="F131" s="54">
        <f t="shared" si="54"/>
        <v>108.15660685154975</v>
      </c>
      <c r="G131" s="281">
        <f>2597637/1000</f>
        <v>2597.6370000000002</v>
      </c>
      <c r="H131" s="281">
        <f t="shared" ref="H131:H134" si="55">ROUND(G131/12*$B$3,2)</f>
        <v>1082.3499999999999</v>
      </c>
      <c r="I131" s="281">
        <v>1157.08736</v>
      </c>
      <c r="J131" s="54">
        <f t="shared" si="51"/>
        <v>106.90510093777431</v>
      </c>
      <c r="K131" s="48"/>
    </row>
    <row r="132" spans="1:11" ht="45" customHeight="1" x14ac:dyDescent="0.25">
      <c r="A132" s="49">
        <v>1</v>
      </c>
      <c r="B132" s="57" t="s">
        <v>118</v>
      </c>
      <c r="C132" s="54">
        <v>3960</v>
      </c>
      <c r="D132" s="50">
        <f t="shared" si="52"/>
        <v>1650</v>
      </c>
      <c r="E132" s="54">
        <v>1693</v>
      </c>
      <c r="F132" s="54">
        <f t="shared" si="54"/>
        <v>102.60606060606061</v>
      </c>
      <c r="G132" s="281">
        <f>9085428/1000</f>
        <v>9085.4279999999999</v>
      </c>
      <c r="H132" s="281">
        <f t="shared" si="55"/>
        <v>3785.6</v>
      </c>
      <c r="I132" s="281">
        <v>4071.8604999999998</v>
      </c>
      <c r="J132" s="54">
        <f t="shared" si="51"/>
        <v>107.56182639475908</v>
      </c>
      <c r="K132" s="48"/>
    </row>
    <row r="133" spans="1:11" ht="45" customHeight="1" x14ac:dyDescent="0.25">
      <c r="A133" s="49">
        <v>1</v>
      </c>
      <c r="B133" s="57" t="s">
        <v>109</v>
      </c>
      <c r="C133" s="54">
        <v>2090</v>
      </c>
      <c r="D133" s="50">
        <f t="shared" si="52"/>
        <v>871</v>
      </c>
      <c r="E133" s="54">
        <v>862</v>
      </c>
      <c r="F133" s="54">
        <f t="shared" si="54"/>
        <v>98.966704936854185</v>
      </c>
      <c r="G133" s="281">
        <f>1707112/1000</f>
        <v>1707.1120000000001</v>
      </c>
      <c r="H133" s="281">
        <f t="shared" si="55"/>
        <v>711.3</v>
      </c>
      <c r="I133" s="281">
        <v>715.30630000000008</v>
      </c>
      <c r="J133" s="54">
        <f t="shared" si="51"/>
        <v>100.56323632785042</v>
      </c>
      <c r="K133" s="48"/>
    </row>
    <row r="134" spans="1:11" ht="32.25" customHeight="1" thickBot="1" x14ac:dyDescent="0.3">
      <c r="A134" s="49">
        <v>1</v>
      </c>
      <c r="B134" s="57" t="s">
        <v>123</v>
      </c>
      <c r="C134" s="54">
        <v>12195</v>
      </c>
      <c r="D134" s="50">
        <f>ROUND(C134/12*$B$3,0)</f>
        <v>5081</v>
      </c>
      <c r="E134" s="54">
        <v>5297</v>
      </c>
      <c r="F134" s="54">
        <f t="shared" si="54"/>
        <v>104.2511316669947</v>
      </c>
      <c r="G134" s="281">
        <v>9890.3888999999999</v>
      </c>
      <c r="H134" s="281">
        <f t="shared" si="55"/>
        <v>4121</v>
      </c>
      <c r="I134" s="281">
        <v>4291.7520599999998</v>
      </c>
      <c r="J134" s="54">
        <f>I134/H134*100</f>
        <v>104.14346178112109</v>
      </c>
      <c r="K134" s="48"/>
    </row>
    <row r="135" spans="1:11" ht="15.75" thickBot="1" x14ac:dyDescent="0.3">
      <c r="A135" s="49">
        <v>1</v>
      </c>
      <c r="B135" s="515" t="s">
        <v>3</v>
      </c>
      <c r="C135" s="294"/>
      <c r="D135" s="294"/>
      <c r="E135" s="294"/>
      <c r="F135" s="295"/>
      <c r="G135" s="312">
        <f>G130+G125+G134</f>
        <v>31810.828379999999</v>
      </c>
      <c r="H135" s="312">
        <f>H130+H125+H134</f>
        <v>13254.529999999999</v>
      </c>
      <c r="I135" s="312">
        <f>I130+I125+I134</f>
        <v>14241.327379999999</v>
      </c>
      <c r="J135" s="193">
        <f t="shared" si="51"/>
        <v>107.4449820551917</v>
      </c>
      <c r="K135" s="48"/>
    </row>
    <row r="136" spans="1:11" x14ac:dyDescent="0.25">
      <c r="A136" s="49">
        <v>1</v>
      </c>
      <c r="B136" s="78"/>
      <c r="C136" s="73"/>
      <c r="D136" s="73"/>
      <c r="E136" s="73"/>
      <c r="F136" s="73"/>
      <c r="G136" s="172"/>
      <c r="H136" s="172"/>
      <c r="I136" s="172"/>
      <c r="J136" s="74"/>
      <c r="K136" s="48"/>
    </row>
    <row r="137" spans="1:11" ht="29.25" x14ac:dyDescent="0.25">
      <c r="A137" s="49">
        <v>1</v>
      </c>
      <c r="B137" s="478" t="s">
        <v>70</v>
      </c>
      <c r="C137" s="58"/>
      <c r="D137" s="58"/>
      <c r="E137" s="58"/>
      <c r="F137" s="58"/>
      <c r="G137" s="173"/>
      <c r="H137" s="173"/>
      <c r="I137" s="173"/>
      <c r="J137" s="54"/>
      <c r="K137" s="48"/>
    </row>
    <row r="138" spans="1:11" ht="30" x14ac:dyDescent="0.25">
      <c r="A138" s="49">
        <v>1</v>
      </c>
      <c r="B138" s="121" t="s">
        <v>120</v>
      </c>
      <c r="C138" s="54">
        <f>SUM(C139:C140)</f>
        <v>13530</v>
      </c>
      <c r="D138" s="54">
        <f>SUM(D139:D140)</f>
        <v>5638</v>
      </c>
      <c r="E138" s="54">
        <f>SUM(E139:E140)</f>
        <v>5615</v>
      </c>
      <c r="F138" s="54">
        <f t="shared" ref="F138:F143" si="56">E138/D138*100</f>
        <v>99.592053919829723</v>
      </c>
      <c r="G138" s="170">
        <f>SUM(G139:G140)</f>
        <v>19034.915760000004</v>
      </c>
      <c r="H138" s="170">
        <f>SUM(H139:H140)</f>
        <v>7931.21</v>
      </c>
      <c r="I138" s="170">
        <f>SUM(I139:I140)</f>
        <v>7682.1867600000005</v>
      </c>
      <c r="J138" s="54">
        <f t="shared" si="51"/>
        <v>96.860211241412102</v>
      </c>
      <c r="K138" s="48"/>
    </row>
    <row r="139" spans="1:11" ht="30" x14ac:dyDescent="0.25">
      <c r="A139" s="49">
        <v>1</v>
      </c>
      <c r="B139" s="57" t="s">
        <v>79</v>
      </c>
      <c r="C139" s="54">
        <v>10408</v>
      </c>
      <c r="D139" s="50">
        <f>ROUND(C139/12*$B$3,0)</f>
        <v>4337</v>
      </c>
      <c r="E139" s="54">
        <v>4169</v>
      </c>
      <c r="F139" s="54">
        <f t="shared" si="56"/>
        <v>96.126354623011295</v>
      </c>
      <c r="G139" s="170">
        <v>14164.273200000003</v>
      </c>
      <c r="H139" s="313">
        <f t="shared" ref="H139:H140" si="57">ROUND(G139/12*$B$3,2)</f>
        <v>5901.78</v>
      </c>
      <c r="I139" s="170">
        <v>5486.9773000000005</v>
      </c>
      <c r="J139" s="54">
        <f t="shared" si="51"/>
        <v>92.971566205449889</v>
      </c>
      <c r="K139" s="48"/>
    </row>
    <row r="140" spans="1:11" ht="30" x14ac:dyDescent="0.25">
      <c r="A140" s="49">
        <v>1</v>
      </c>
      <c r="B140" s="146" t="s">
        <v>80</v>
      </c>
      <c r="C140" s="98">
        <v>3122</v>
      </c>
      <c r="D140" s="150">
        <f>ROUND(C140/12*$B$3,0)</f>
        <v>1301</v>
      </c>
      <c r="E140" s="98">
        <v>1446</v>
      </c>
      <c r="F140" s="98">
        <f t="shared" si="56"/>
        <v>111.14527286702535</v>
      </c>
      <c r="G140" s="186">
        <v>4870.6425600000002</v>
      </c>
      <c r="H140" s="313">
        <f t="shared" si="57"/>
        <v>2029.43</v>
      </c>
      <c r="I140" s="186">
        <v>2195.20946</v>
      </c>
      <c r="J140" s="54">
        <f t="shared" si="51"/>
        <v>108.16876955598369</v>
      </c>
      <c r="K140" s="48"/>
    </row>
    <row r="141" spans="1:11" ht="30" x14ac:dyDescent="0.25">
      <c r="A141" s="49">
        <v>1</v>
      </c>
      <c r="B141" s="121" t="s">
        <v>112</v>
      </c>
      <c r="C141" s="54">
        <f>SUM(C142)</f>
        <v>480</v>
      </c>
      <c r="D141" s="54">
        <f t="shared" ref="D141:H141" si="58">SUM(D142)</f>
        <v>200</v>
      </c>
      <c r="E141" s="54">
        <f t="shared" si="58"/>
        <v>185</v>
      </c>
      <c r="F141" s="54">
        <f t="shared" si="56"/>
        <v>92.5</v>
      </c>
      <c r="G141" s="166">
        <f t="shared" si="58"/>
        <v>848.20799999999997</v>
      </c>
      <c r="H141" s="166">
        <f t="shared" si="58"/>
        <v>353.42</v>
      </c>
      <c r="I141" s="166">
        <f>I142</f>
        <v>323.03152</v>
      </c>
      <c r="J141" s="54">
        <f t="shared" si="51"/>
        <v>91.40159583498388</v>
      </c>
      <c r="K141" s="48"/>
    </row>
    <row r="142" spans="1:11" ht="30" x14ac:dyDescent="0.25">
      <c r="A142" s="49">
        <v>1</v>
      </c>
      <c r="B142" s="146" t="s">
        <v>108</v>
      </c>
      <c r="C142" s="157">
        <v>480</v>
      </c>
      <c r="D142" s="150">
        <f>ROUND(C142/12*$B$3,0)</f>
        <v>200</v>
      </c>
      <c r="E142" s="157">
        <v>185</v>
      </c>
      <c r="F142" s="98">
        <f t="shared" si="56"/>
        <v>92.5</v>
      </c>
      <c r="G142" s="269">
        <f>848208/1000</f>
        <v>848.20799999999997</v>
      </c>
      <c r="H142" s="313">
        <f t="shared" ref="H142:H143" si="59">ROUND(G142/12*$B$3,2)</f>
        <v>353.42</v>
      </c>
      <c r="I142" s="269">
        <v>323.03152</v>
      </c>
      <c r="J142" s="98">
        <f t="shared" si="51"/>
        <v>91.40159583498388</v>
      </c>
      <c r="K142" s="48"/>
    </row>
    <row r="143" spans="1:11" ht="30.75" thickBot="1" x14ac:dyDescent="0.3">
      <c r="A143" s="49">
        <v>1</v>
      </c>
      <c r="B143" s="146" t="s">
        <v>123</v>
      </c>
      <c r="C143" s="98">
        <v>13300</v>
      </c>
      <c r="D143" s="150">
        <f>ROUND(C143/12*$B$3,0)</f>
        <v>5542</v>
      </c>
      <c r="E143" s="98">
        <v>5563</v>
      </c>
      <c r="F143" s="98">
        <f t="shared" si="56"/>
        <v>100.37892457596536</v>
      </c>
      <c r="G143" s="186">
        <v>10786.566000000001</v>
      </c>
      <c r="H143" s="313">
        <f t="shared" si="59"/>
        <v>4494.3999999999996</v>
      </c>
      <c r="I143" s="186">
        <v>4478.5650599999999</v>
      </c>
      <c r="J143" s="54">
        <f>I143/H143*100</f>
        <v>99.647673994304029</v>
      </c>
      <c r="K143" s="48"/>
    </row>
    <row r="144" spans="1:11" ht="15.75" thickBot="1" x14ac:dyDescent="0.3">
      <c r="A144" s="49">
        <v>1</v>
      </c>
      <c r="B144" s="516" t="s">
        <v>3</v>
      </c>
      <c r="C144" s="294"/>
      <c r="D144" s="294"/>
      <c r="E144" s="294"/>
      <c r="F144" s="295"/>
      <c r="G144" s="296">
        <f>G138+G141+G143</f>
        <v>30669.689760000001</v>
      </c>
      <c r="H144" s="296">
        <f>H138+H141+H143</f>
        <v>12779.029999999999</v>
      </c>
      <c r="I144" s="296">
        <f>I138+I141+I143</f>
        <v>12483.783340000002</v>
      </c>
      <c r="J144" s="193">
        <f t="shared" si="51"/>
        <v>97.689600384379744</v>
      </c>
      <c r="K144" s="48"/>
    </row>
    <row r="145" spans="1:11" ht="15" customHeight="1" x14ac:dyDescent="0.25">
      <c r="A145" s="49">
        <v>1</v>
      </c>
      <c r="B145" s="517"/>
      <c r="C145" s="74"/>
      <c r="D145" s="74"/>
      <c r="E145" s="74"/>
      <c r="F145" s="73"/>
      <c r="G145" s="172"/>
      <c r="H145" s="172"/>
      <c r="I145" s="172"/>
      <c r="J145" s="74"/>
      <c r="K145" s="48"/>
    </row>
    <row r="146" spans="1:11" ht="33" customHeight="1" x14ac:dyDescent="0.25">
      <c r="A146" s="49">
        <v>1</v>
      </c>
      <c r="B146" s="478" t="s">
        <v>82</v>
      </c>
      <c r="C146" s="58"/>
      <c r="D146" s="58"/>
      <c r="E146" s="58"/>
      <c r="F146" s="58"/>
      <c r="G146" s="166"/>
      <c r="H146" s="166"/>
      <c r="I146" s="166"/>
      <c r="J146" s="54"/>
      <c r="K146" s="48"/>
    </row>
    <row r="147" spans="1:11" ht="30" x14ac:dyDescent="0.25">
      <c r="A147" s="49">
        <v>1</v>
      </c>
      <c r="B147" s="121" t="s">
        <v>120</v>
      </c>
      <c r="C147" s="54">
        <f>SUM(C148:C149)</f>
        <v>178</v>
      </c>
      <c r="D147" s="54">
        <f>SUM(D148:D149)</f>
        <v>74</v>
      </c>
      <c r="E147" s="54">
        <f>SUM(E148:E149)</f>
        <v>197</v>
      </c>
      <c r="F147" s="54">
        <f t="shared" ref="F147:F152" si="60">E147/D147*100</f>
        <v>266.21621621621625</v>
      </c>
      <c r="G147" s="281">
        <f>SUM(G148:G149)</f>
        <v>973.37519999999995</v>
      </c>
      <c r="H147" s="281">
        <f>SUM(H148:H149)</f>
        <v>405.58</v>
      </c>
      <c r="I147" s="281">
        <f>SUM(I148:I149)</f>
        <v>1049.9321000000002</v>
      </c>
      <c r="J147" s="54">
        <f t="shared" ref="J147:J154" si="61">I147/H147*100</f>
        <v>258.87176389368318</v>
      </c>
      <c r="K147" s="48"/>
    </row>
    <row r="148" spans="1:11" ht="30" x14ac:dyDescent="0.25">
      <c r="A148" s="49">
        <v>1</v>
      </c>
      <c r="B148" s="57" t="s">
        <v>114</v>
      </c>
      <c r="C148" s="54">
        <v>89</v>
      </c>
      <c r="D148" s="50">
        <f>ROUND(C148/12*$B$3,0)</f>
        <v>37</v>
      </c>
      <c r="E148" s="54">
        <v>197</v>
      </c>
      <c r="F148" s="54">
        <f t="shared" si="60"/>
        <v>532.43243243243251</v>
      </c>
      <c r="G148" s="281">
        <v>486.68759999999997</v>
      </c>
      <c r="H148" s="281">
        <f t="shared" ref="H148:H149" si="62">ROUND(G148/12*$B$3,2)</f>
        <v>202.79</v>
      </c>
      <c r="I148" s="281">
        <v>1077.2748000000001</v>
      </c>
      <c r="J148" s="54">
        <f t="shared" si="61"/>
        <v>531.22678633068699</v>
      </c>
      <c r="K148" s="48"/>
    </row>
    <row r="149" spans="1:11" ht="30" x14ac:dyDescent="0.25">
      <c r="A149" s="49">
        <v>1</v>
      </c>
      <c r="B149" s="57" t="s">
        <v>115</v>
      </c>
      <c r="C149" s="54">
        <v>89</v>
      </c>
      <c r="D149" s="50">
        <f>ROUND(C149/12*$B$3,0)</f>
        <v>37</v>
      </c>
      <c r="E149" s="54">
        <v>0</v>
      </c>
      <c r="F149" s="54">
        <f t="shared" si="60"/>
        <v>0</v>
      </c>
      <c r="G149" s="281">
        <v>486.68759999999997</v>
      </c>
      <c r="H149" s="281">
        <f t="shared" si="62"/>
        <v>202.79</v>
      </c>
      <c r="I149" s="281">
        <v>-27.342700000000001</v>
      </c>
      <c r="J149" s="54">
        <f t="shared" si="61"/>
        <v>-13.483258543320678</v>
      </c>
      <c r="K149" s="48"/>
    </row>
    <row r="150" spans="1:11" ht="30" customHeight="1" x14ac:dyDescent="0.25">
      <c r="A150" s="49">
        <v>1</v>
      </c>
      <c r="B150" s="121" t="s">
        <v>112</v>
      </c>
      <c r="C150" s="54">
        <f>SUM(C151:C152)</f>
        <v>17815</v>
      </c>
      <c r="D150" s="54">
        <f t="shared" ref="D150:I150" si="63">SUM(D151:D152)</f>
        <v>7423</v>
      </c>
      <c r="E150" s="54">
        <f t="shared" si="63"/>
        <v>10405</v>
      </c>
      <c r="F150" s="54">
        <f t="shared" si="60"/>
        <v>140.17243702007275</v>
      </c>
      <c r="G150" s="281">
        <f>SUM(G151:G152)</f>
        <v>38983.728000000003</v>
      </c>
      <c r="H150" s="281">
        <f t="shared" si="63"/>
        <v>16243.22</v>
      </c>
      <c r="I150" s="281">
        <f t="shared" si="63"/>
        <v>15376.101619999999</v>
      </c>
      <c r="J150" s="54">
        <f t="shared" si="61"/>
        <v>94.661659572424682</v>
      </c>
      <c r="K150" s="48"/>
    </row>
    <row r="151" spans="1:11" ht="60" x14ac:dyDescent="0.25">
      <c r="A151" s="49">
        <v>1</v>
      </c>
      <c r="B151" s="57" t="s">
        <v>118</v>
      </c>
      <c r="C151" s="54">
        <v>15164</v>
      </c>
      <c r="D151" s="50">
        <f>ROUND(C151/12*$B$3,0)</f>
        <v>6318</v>
      </c>
      <c r="E151" s="50">
        <v>8361</v>
      </c>
      <c r="F151" s="54">
        <f t="shared" si="60"/>
        <v>132.33618233618233</v>
      </c>
      <c r="G151" s="281">
        <f>36318391.2/1000</f>
        <v>36318.391200000005</v>
      </c>
      <c r="H151" s="281">
        <f t="shared" ref="H151:H153" si="64">ROUND(G151/12*$B$3,2)</f>
        <v>15132.66</v>
      </c>
      <c r="I151" s="281">
        <v>13379.22522</v>
      </c>
      <c r="J151" s="54">
        <f t="shared" si="61"/>
        <v>88.412911014983493</v>
      </c>
      <c r="K151" s="48"/>
    </row>
    <row r="152" spans="1:11" ht="45" x14ac:dyDescent="0.25">
      <c r="A152" s="49">
        <v>1</v>
      </c>
      <c r="B152" s="146" t="s">
        <v>109</v>
      </c>
      <c r="C152" s="98">
        <v>2651</v>
      </c>
      <c r="D152" s="150">
        <f>ROUND(C152/12*$B$3,0)</f>
        <v>1105</v>
      </c>
      <c r="E152" s="334">
        <v>2044</v>
      </c>
      <c r="F152" s="98">
        <f t="shared" si="60"/>
        <v>184.97737556561086</v>
      </c>
      <c r="G152" s="281">
        <f>2665336.8/1000</f>
        <v>2665.3368</v>
      </c>
      <c r="H152" s="281">
        <f t="shared" si="64"/>
        <v>1110.56</v>
      </c>
      <c r="I152" s="281">
        <v>1996.8763999999999</v>
      </c>
      <c r="J152" s="98">
        <f t="shared" si="61"/>
        <v>179.80806079815588</v>
      </c>
      <c r="K152" s="48"/>
    </row>
    <row r="153" spans="1:11" ht="30.75" thickBot="1" x14ac:dyDescent="0.3">
      <c r="A153" s="49">
        <v>1</v>
      </c>
      <c r="B153" s="57" t="s">
        <v>123</v>
      </c>
      <c r="C153" s="54">
        <v>13860</v>
      </c>
      <c r="D153" s="50">
        <f>ROUND(C153/12*$B$3,0)</f>
        <v>5775</v>
      </c>
      <c r="E153" s="54">
        <v>5789</v>
      </c>
      <c r="F153" s="54">
        <f>E153/D153*100</f>
        <v>100.24242424242425</v>
      </c>
      <c r="G153" s="281">
        <v>11240.7372</v>
      </c>
      <c r="H153" s="281">
        <f t="shared" si="64"/>
        <v>4683.6400000000003</v>
      </c>
      <c r="I153" s="281">
        <v>4676.88897</v>
      </c>
      <c r="J153" s="54">
        <f>I153/H153*100</f>
        <v>99.855859331630953</v>
      </c>
      <c r="K153" s="48"/>
    </row>
    <row r="154" spans="1:11" ht="15" customHeight="1" thickBot="1" x14ac:dyDescent="0.3">
      <c r="A154" s="49">
        <v>1</v>
      </c>
      <c r="B154" s="147" t="s">
        <v>3</v>
      </c>
      <c r="C154" s="193"/>
      <c r="D154" s="193"/>
      <c r="E154" s="314"/>
      <c r="F154" s="315"/>
      <c r="G154" s="312">
        <f>G150+G147+G153</f>
        <v>51197.840400000001</v>
      </c>
      <c r="H154" s="312">
        <f>H150+H147+H153</f>
        <v>21332.44</v>
      </c>
      <c r="I154" s="312">
        <f>I150+I147+I153</f>
        <v>21102.922689999999</v>
      </c>
      <c r="J154" s="193">
        <f t="shared" si="61"/>
        <v>98.924092555750775</v>
      </c>
      <c r="K154" s="48"/>
    </row>
    <row r="155" spans="1:11" ht="15" customHeight="1" x14ac:dyDescent="0.25">
      <c r="A155" s="49">
        <v>1</v>
      </c>
      <c r="B155" s="78"/>
      <c r="C155" s="73"/>
      <c r="D155" s="73"/>
      <c r="E155" s="73"/>
      <c r="F155" s="73"/>
      <c r="G155" s="174"/>
      <c r="H155" s="174"/>
      <c r="I155" s="174"/>
      <c r="J155" s="316"/>
      <c r="K155" s="48"/>
    </row>
    <row r="156" spans="1:11" ht="43.5" customHeight="1" x14ac:dyDescent="0.25">
      <c r="A156" s="49">
        <v>1</v>
      </c>
      <c r="B156" s="478" t="s">
        <v>83</v>
      </c>
      <c r="C156" s="58"/>
      <c r="D156" s="58"/>
      <c r="E156" s="58"/>
      <c r="F156" s="58"/>
      <c r="G156" s="166"/>
      <c r="H156" s="166"/>
      <c r="I156" s="166"/>
      <c r="J156" s="54"/>
      <c r="K156" s="48"/>
    </row>
    <row r="157" spans="1:11" ht="30" x14ac:dyDescent="0.25">
      <c r="A157" s="49">
        <v>1</v>
      </c>
      <c r="B157" s="121" t="s">
        <v>120</v>
      </c>
      <c r="C157" s="54">
        <f>SUM(C158:C159)</f>
        <v>210</v>
      </c>
      <c r="D157" s="54">
        <f>SUM(D158:D159)</f>
        <v>88</v>
      </c>
      <c r="E157" s="54">
        <f>SUM(E158:E159)</f>
        <v>245</v>
      </c>
      <c r="F157" s="54">
        <f t="shared" ref="F157:F162" si="65">E157/D157*100</f>
        <v>278.40909090909093</v>
      </c>
      <c r="G157" s="281">
        <f>SUM(G158:G159)</f>
        <v>1148.364</v>
      </c>
      <c r="H157" s="281">
        <f>SUM(H158:H159)</f>
        <v>478.49</v>
      </c>
      <c r="I157" s="281">
        <f>SUM(I158:I159)</f>
        <v>1339.758</v>
      </c>
      <c r="J157" s="54">
        <f t="shared" ref="J157:J164" si="66">I157/H157*100</f>
        <v>279.99707412903092</v>
      </c>
      <c r="K157" s="48"/>
    </row>
    <row r="158" spans="1:11" ht="30" x14ac:dyDescent="0.25">
      <c r="A158" s="49">
        <v>1</v>
      </c>
      <c r="B158" s="57" t="s">
        <v>114</v>
      </c>
      <c r="C158" s="54">
        <v>60</v>
      </c>
      <c r="D158" s="50">
        <f>ROUND(C158/12*$B$3,0)</f>
        <v>25</v>
      </c>
      <c r="E158" s="54">
        <v>68</v>
      </c>
      <c r="F158" s="54">
        <f t="shared" si="65"/>
        <v>272</v>
      </c>
      <c r="G158" s="281">
        <v>328.10399999999998</v>
      </c>
      <c r="H158" s="281">
        <f t="shared" ref="H158:H159" si="67">ROUND(G158/12*$B$3,2)</f>
        <v>136.71</v>
      </c>
      <c r="I158" s="281">
        <v>371.85119999999995</v>
      </c>
      <c r="J158" s="54">
        <f t="shared" si="66"/>
        <v>271.99999999999994</v>
      </c>
      <c r="K158" s="48"/>
    </row>
    <row r="159" spans="1:11" ht="31.5" customHeight="1" x14ac:dyDescent="0.25">
      <c r="A159" s="49">
        <v>1</v>
      </c>
      <c r="B159" s="57" t="s">
        <v>115</v>
      </c>
      <c r="C159" s="54">
        <v>150</v>
      </c>
      <c r="D159" s="50">
        <f>ROUND(C159/12*$B$3,0)</f>
        <v>63</v>
      </c>
      <c r="E159" s="54">
        <v>177</v>
      </c>
      <c r="F159" s="54">
        <f t="shared" si="65"/>
        <v>280.95238095238091</v>
      </c>
      <c r="G159" s="281">
        <v>820.26</v>
      </c>
      <c r="H159" s="281">
        <f t="shared" si="67"/>
        <v>341.78</v>
      </c>
      <c r="I159" s="281">
        <v>967.90680000000009</v>
      </c>
      <c r="J159" s="56">
        <f t="shared" si="66"/>
        <v>283.19585698402483</v>
      </c>
      <c r="K159" s="48"/>
    </row>
    <row r="160" spans="1:11" ht="30" x14ac:dyDescent="0.25">
      <c r="A160" s="49">
        <v>1</v>
      </c>
      <c r="B160" s="121" t="s">
        <v>112</v>
      </c>
      <c r="C160" s="54">
        <f>SUM(C161:C162)</f>
        <v>17130</v>
      </c>
      <c r="D160" s="54">
        <f t="shared" ref="D160:I160" si="68">SUM(D161:D162)</f>
        <v>7138</v>
      </c>
      <c r="E160" s="54">
        <f t="shared" si="68"/>
        <v>7246</v>
      </c>
      <c r="F160" s="54">
        <f t="shared" si="65"/>
        <v>101.51302885962454</v>
      </c>
      <c r="G160" s="281">
        <f>SUM(G161:G162)</f>
        <v>37040.784</v>
      </c>
      <c r="H160" s="281">
        <f t="shared" si="68"/>
        <v>15433.66</v>
      </c>
      <c r="I160" s="281">
        <f t="shared" si="68"/>
        <v>14561.403760000001</v>
      </c>
      <c r="J160" s="54">
        <f t="shared" si="66"/>
        <v>94.348351330792582</v>
      </c>
      <c r="K160" s="48"/>
    </row>
    <row r="161" spans="1:11" ht="43.5" customHeight="1" x14ac:dyDescent="0.25">
      <c r="A161" s="49">
        <v>1</v>
      </c>
      <c r="B161" s="57" t="s">
        <v>118</v>
      </c>
      <c r="C161" s="54">
        <v>15600</v>
      </c>
      <c r="D161" s="50">
        <f>ROUND(C161/12*$B$3,0)</f>
        <v>6500</v>
      </c>
      <c r="E161" s="50">
        <v>6607</v>
      </c>
      <c r="F161" s="54">
        <f t="shared" si="65"/>
        <v>101.64615384615385</v>
      </c>
      <c r="G161" s="281">
        <f>35791080/1000</f>
        <v>35791.08</v>
      </c>
      <c r="H161" s="281">
        <f t="shared" ref="H161:H163" si="69">ROUND(G161/12*$B$3,2)</f>
        <v>14912.95</v>
      </c>
      <c r="I161" s="281">
        <v>13942.793350000002</v>
      </c>
      <c r="J161" s="54">
        <f t="shared" si="66"/>
        <v>93.494535621724751</v>
      </c>
      <c r="K161" s="48"/>
    </row>
    <row r="162" spans="1:11" ht="43.5" customHeight="1" x14ac:dyDescent="0.25">
      <c r="A162" s="49">
        <v>1</v>
      </c>
      <c r="B162" s="146" t="s">
        <v>109</v>
      </c>
      <c r="C162" s="98">
        <v>1530</v>
      </c>
      <c r="D162" s="150">
        <f>ROUND(C162/12*$B$3,0)</f>
        <v>638</v>
      </c>
      <c r="E162" s="334">
        <v>639</v>
      </c>
      <c r="F162" s="98">
        <f t="shared" si="65"/>
        <v>100.15673981191222</v>
      </c>
      <c r="G162" s="281">
        <f>1249704/1000</f>
        <v>1249.704</v>
      </c>
      <c r="H162" s="281">
        <f t="shared" si="69"/>
        <v>520.71</v>
      </c>
      <c r="I162" s="281">
        <v>618.61041</v>
      </c>
      <c r="J162" s="98">
        <f t="shared" si="66"/>
        <v>118.80133087515124</v>
      </c>
      <c r="K162" s="48"/>
    </row>
    <row r="163" spans="1:11" ht="31.5" customHeight="1" thickBot="1" x14ac:dyDescent="0.3">
      <c r="A163" s="49">
        <v>1</v>
      </c>
      <c r="B163" s="57" t="s">
        <v>123</v>
      </c>
      <c r="C163" s="54">
        <v>22873</v>
      </c>
      <c r="D163" s="50">
        <f>ROUND(C163/12*$B$3,0)</f>
        <v>9530</v>
      </c>
      <c r="E163" s="54">
        <v>9529</v>
      </c>
      <c r="F163" s="54">
        <f>E163/D163*100</f>
        <v>99.989506820566632</v>
      </c>
      <c r="G163" s="281">
        <v>18550.460460000002</v>
      </c>
      <c r="H163" s="281">
        <f t="shared" si="69"/>
        <v>7729.36</v>
      </c>
      <c r="I163" s="281">
        <v>7728.2095799999997</v>
      </c>
      <c r="J163" s="56">
        <f>I163/H163*100</f>
        <v>99.985116232133066</v>
      </c>
      <c r="K163" s="48"/>
    </row>
    <row r="164" spans="1:11" ht="15" customHeight="1" thickBot="1" x14ac:dyDescent="0.3">
      <c r="A164" s="49">
        <v>1</v>
      </c>
      <c r="B164" s="147" t="s">
        <v>3</v>
      </c>
      <c r="C164" s="193"/>
      <c r="D164" s="193"/>
      <c r="E164" s="193"/>
      <c r="F164" s="295"/>
      <c r="G164" s="308">
        <f>G160+G157+G163</f>
        <v>56739.608460000003</v>
      </c>
      <c r="H164" s="308">
        <f>H160+H157+H163</f>
        <v>23641.51</v>
      </c>
      <c r="I164" s="308">
        <f>I160+I157+I163</f>
        <v>23629.371340000002</v>
      </c>
      <c r="J164" s="193">
        <f t="shared" si="66"/>
        <v>99.948655310088071</v>
      </c>
      <c r="K164" s="48"/>
    </row>
    <row r="165" spans="1:11" ht="15" customHeight="1" x14ac:dyDescent="0.25">
      <c r="A165" s="49">
        <v>1</v>
      </c>
      <c r="B165" s="78"/>
      <c r="C165" s="73"/>
      <c r="D165" s="73"/>
      <c r="E165" s="73"/>
      <c r="F165" s="73"/>
      <c r="G165" s="174"/>
      <c r="H165" s="174"/>
      <c r="I165" s="174"/>
      <c r="J165" s="316"/>
      <c r="K165" s="48"/>
    </row>
    <row r="166" spans="1:11" ht="29.25" x14ac:dyDescent="0.25">
      <c r="A166" s="49">
        <v>1</v>
      </c>
      <c r="B166" s="478" t="s">
        <v>84</v>
      </c>
      <c r="C166" s="58"/>
      <c r="D166" s="58"/>
      <c r="E166" s="58"/>
      <c r="F166" s="58"/>
      <c r="G166" s="281"/>
      <c r="H166" s="281"/>
      <c r="I166" s="281"/>
      <c r="J166" s="54"/>
      <c r="K166" s="48"/>
    </row>
    <row r="167" spans="1:11" ht="30" x14ac:dyDescent="0.25">
      <c r="A167" s="49">
        <v>1</v>
      </c>
      <c r="B167" s="121" t="s">
        <v>120</v>
      </c>
      <c r="C167" s="54">
        <f>SUM(C168:C169)</f>
        <v>94</v>
      </c>
      <c r="D167" s="50">
        <f>SUM(D168:D169)</f>
        <v>39</v>
      </c>
      <c r="E167" s="54">
        <f>SUM(E168:E169)</f>
        <v>113</v>
      </c>
      <c r="F167" s="54">
        <f t="shared" ref="F167:F173" si="70">E167/D167*100</f>
        <v>289.74358974358972</v>
      </c>
      <c r="G167" s="281">
        <f>SUM(G168:G169)</f>
        <v>514.02960000000007</v>
      </c>
      <c r="H167" s="281">
        <f>SUM(H168:H169)</f>
        <v>214.18</v>
      </c>
      <c r="I167" s="281">
        <f>SUM(I168:I169)</f>
        <v>617.38234999999997</v>
      </c>
      <c r="J167" s="54">
        <f t="shared" ref="J167:J174" si="71">I167/H167*100</f>
        <v>288.25396862452141</v>
      </c>
      <c r="K167" s="48"/>
    </row>
    <row r="168" spans="1:11" ht="30" x14ac:dyDescent="0.25">
      <c r="A168" s="49">
        <v>1</v>
      </c>
      <c r="B168" s="57" t="s">
        <v>114</v>
      </c>
      <c r="C168" s="54">
        <v>29</v>
      </c>
      <c r="D168" s="50">
        <f>ROUND(C168/12*$B$3,0)</f>
        <v>12</v>
      </c>
      <c r="E168" s="54">
        <v>29</v>
      </c>
      <c r="F168" s="54">
        <f t="shared" si="70"/>
        <v>241.66666666666666</v>
      </c>
      <c r="G168" s="281">
        <v>158.58359999999999</v>
      </c>
      <c r="H168" s="281">
        <f t="shared" ref="H168:H169" si="72">ROUND(G168/12*$B$3,2)</f>
        <v>66.08</v>
      </c>
      <c r="I168" s="281">
        <v>158.58360000000002</v>
      </c>
      <c r="J168" s="54">
        <f t="shared" si="71"/>
        <v>239.98728813559325</v>
      </c>
      <c r="K168" s="48"/>
    </row>
    <row r="169" spans="1:11" ht="30" x14ac:dyDescent="0.25">
      <c r="A169" s="49">
        <v>1</v>
      </c>
      <c r="B169" s="57" t="s">
        <v>115</v>
      </c>
      <c r="C169" s="54">
        <v>65</v>
      </c>
      <c r="D169" s="50">
        <f>ROUND(C169/12*$B$3,0)</f>
        <v>27</v>
      </c>
      <c r="E169" s="54">
        <v>84</v>
      </c>
      <c r="F169" s="54">
        <f t="shared" si="70"/>
        <v>311.11111111111114</v>
      </c>
      <c r="G169" s="281">
        <v>355.44600000000003</v>
      </c>
      <c r="H169" s="281">
        <f t="shared" si="72"/>
        <v>148.1</v>
      </c>
      <c r="I169" s="281">
        <v>458.79874999999998</v>
      </c>
      <c r="J169" s="54">
        <f t="shared" si="71"/>
        <v>309.7898379473329</v>
      </c>
      <c r="K169" s="48"/>
    </row>
    <row r="170" spans="1:11" ht="30" x14ac:dyDescent="0.25">
      <c r="A170" s="49">
        <v>1</v>
      </c>
      <c r="B170" s="121" t="s">
        <v>112</v>
      </c>
      <c r="C170" s="54">
        <f>SUM(C171:C172)</f>
        <v>18325</v>
      </c>
      <c r="D170" s="50">
        <f>SUM(D171:D172)</f>
        <v>7636</v>
      </c>
      <c r="E170" s="54">
        <f>SUM(E171:E172)</f>
        <v>8318</v>
      </c>
      <c r="F170" s="54">
        <f t="shared" si="70"/>
        <v>108.93137768465164</v>
      </c>
      <c r="G170" s="281">
        <f>SUM(G171:G172)</f>
        <v>38610.814999999995</v>
      </c>
      <c r="H170" s="281">
        <f>SUM(H171:H172)</f>
        <v>16087.84</v>
      </c>
      <c r="I170" s="281">
        <f>SUM(I171:I172)</f>
        <v>15483.474670000001</v>
      </c>
      <c r="J170" s="54">
        <f t="shared" si="71"/>
        <v>96.243340746800072</v>
      </c>
      <c r="K170" s="48"/>
    </row>
    <row r="171" spans="1:11" ht="59.25" customHeight="1" x14ac:dyDescent="0.25">
      <c r="A171" s="49">
        <v>1</v>
      </c>
      <c r="B171" s="57" t="s">
        <v>118</v>
      </c>
      <c r="C171" s="54">
        <v>16002</v>
      </c>
      <c r="D171" s="50">
        <f>ROUND(C171/12*$B$3,0)</f>
        <v>6668</v>
      </c>
      <c r="E171" s="54">
        <v>6160</v>
      </c>
      <c r="F171" s="54">
        <f t="shared" si="70"/>
        <v>92.381523695260952</v>
      </c>
      <c r="G171" s="281">
        <f>36713388.6/1000</f>
        <v>36713.388599999998</v>
      </c>
      <c r="H171" s="281">
        <f t="shared" ref="H171:H173" si="73">ROUND(G171/12*$B$3,2)</f>
        <v>15297.25</v>
      </c>
      <c r="I171" s="281">
        <v>13337.144930000002</v>
      </c>
      <c r="J171" s="54">
        <f t="shared" si="71"/>
        <v>87.186552681037455</v>
      </c>
      <c r="K171" s="48"/>
    </row>
    <row r="172" spans="1:11" ht="45" x14ac:dyDescent="0.25">
      <c r="A172" s="49">
        <v>1</v>
      </c>
      <c r="B172" s="57" t="s">
        <v>109</v>
      </c>
      <c r="C172" s="54">
        <v>2323</v>
      </c>
      <c r="D172" s="50">
        <f>ROUND(C172/12*$B$3,0)</f>
        <v>968</v>
      </c>
      <c r="E172" s="54">
        <v>2158</v>
      </c>
      <c r="F172" s="54">
        <f t="shared" si="70"/>
        <v>222.93388429752068</v>
      </c>
      <c r="G172" s="281">
        <f>1897426.4/1000</f>
        <v>1897.4263999999998</v>
      </c>
      <c r="H172" s="281">
        <f t="shared" si="73"/>
        <v>790.59</v>
      </c>
      <c r="I172" s="281">
        <v>2146.3297399999997</v>
      </c>
      <c r="J172" s="54">
        <f t="shared" si="71"/>
        <v>271.4845545731668</v>
      </c>
      <c r="K172" s="48"/>
    </row>
    <row r="173" spans="1:11" ht="31.5" customHeight="1" thickBot="1" x14ac:dyDescent="0.3">
      <c r="A173" s="49">
        <v>1</v>
      </c>
      <c r="B173" s="57" t="s">
        <v>123</v>
      </c>
      <c r="C173" s="54">
        <v>13728</v>
      </c>
      <c r="D173" s="50">
        <f>ROUND(C173/12*$B$3,0)</f>
        <v>5720</v>
      </c>
      <c r="E173" s="54">
        <v>5848</v>
      </c>
      <c r="F173" s="54">
        <f t="shared" si="70"/>
        <v>102.23776223776224</v>
      </c>
      <c r="G173" s="281">
        <v>11133.682560000001</v>
      </c>
      <c r="H173" s="281">
        <f t="shared" si="73"/>
        <v>4639.03</v>
      </c>
      <c r="I173" s="281">
        <v>4692.6601200000005</v>
      </c>
      <c r="J173" s="54">
        <f t="shared" si="71"/>
        <v>101.15606322873533</v>
      </c>
      <c r="K173" s="48"/>
    </row>
    <row r="174" spans="1:11" ht="15.75" thickBot="1" x14ac:dyDescent="0.3">
      <c r="A174" s="49">
        <v>1</v>
      </c>
      <c r="B174" s="518" t="s">
        <v>3</v>
      </c>
      <c r="C174" s="294"/>
      <c r="D174" s="294"/>
      <c r="E174" s="294"/>
      <c r="F174" s="315"/>
      <c r="G174" s="312">
        <f>G170+G167+G173</f>
        <v>50258.527159999998</v>
      </c>
      <c r="H174" s="312">
        <f>H170+H167+H173</f>
        <v>20941.05</v>
      </c>
      <c r="I174" s="312">
        <f>I170+I167+I173</f>
        <v>20793.517140000004</v>
      </c>
      <c r="J174" s="193">
        <f t="shared" si="71"/>
        <v>99.295484896889135</v>
      </c>
      <c r="K174" s="48"/>
    </row>
    <row r="175" spans="1:11" ht="15" customHeight="1" x14ac:dyDescent="0.25">
      <c r="A175" s="49">
        <v>1</v>
      </c>
      <c r="B175" s="78"/>
      <c r="C175" s="73"/>
      <c r="D175" s="73"/>
      <c r="E175" s="73"/>
      <c r="F175" s="73"/>
      <c r="G175" s="174"/>
      <c r="H175" s="174"/>
      <c r="I175" s="174"/>
      <c r="J175" s="316"/>
      <c r="K175" s="48"/>
    </row>
    <row r="176" spans="1:11" ht="31.5" customHeight="1" x14ac:dyDescent="0.25">
      <c r="A176" s="49">
        <v>1</v>
      </c>
      <c r="B176" s="478" t="s">
        <v>85</v>
      </c>
      <c r="C176" s="58"/>
      <c r="D176" s="58"/>
      <c r="E176" s="58"/>
      <c r="F176" s="58"/>
      <c r="G176" s="281"/>
      <c r="H176" s="281"/>
      <c r="I176" s="281"/>
      <c r="J176" s="58"/>
      <c r="K176" s="48"/>
    </row>
    <row r="177" spans="1:11" ht="45" customHeight="1" x14ac:dyDescent="0.25">
      <c r="A177" s="49">
        <v>1</v>
      </c>
      <c r="B177" s="121" t="s">
        <v>120</v>
      </c>
      <c r="C177" s="54">
        <f>SUM(C178:C179)</f>
        <v>224</v>
      </c>
      <c r="D177" s="54">
        <f>SUM(D178:D179)</f>
        <v>94</v>
      </c>
      <c r="E177" s="54">
        <f>SUM(E178:E179)</f>
        <v>120</v>
      </c>
      <c r="F177" s="54">
        <f t="shared" ref="F177:F183" si="74">E177/D177*100</f>
        <v>127.65957446808511</v>
      </c>
      <c r="G177" s="281">
        <f>SUM(G178:G179)</f>
        <v>1224.9215999999999</v>
      </c>
      <c r="H177" s="281">
        <f>SUM(H178:H179)</f>
        <v>510.39</v>
      </c>
      <c r="I177" s="281">
        <f>SUM(I178:I179)</f>
        <v>656.20800000000008</v>
      </c>
      <c r="J177" s="54">
        <f t="shared" ref="J177:J184" si="75">I177/H177*100</f>
        <v>128.56991712220071</v>
      </c>
      <c r="K177" s="48"/>
    </row>
    <row r="178" spans="1:11" ht="30" x14ac:dyDescent="0.25">
      <c r="A178" s="49">
        <v>1</v>
      </c>
      <c r="B178" s="57" t="s">
        <v>114</v>
      </c>
      <c r="C178" s="54">
        <v>143</v>
      </c>
      <c r="D178" s="50">
        <f>ROUND(C178/12*$B$3,0)</f>
        <v>60</v>
      </c>
      <c r="E178" s="50">
        <v>65</v>
      </c>
      <c r="F178" s="54">
        <f t="shared" si="74"/>
        <v>108.33333333333333</v>
      </c>
      <c r="G178" s="281">
        <v>781.98119999999994</v>
      </c>
      <c r="H178" s="281">
        <f t="shared" ref="H178:H179" si="76">ROUND(G178/12*$B$3,2)</f>
        <v>325.83</v>
      </c>
      <c r="I178" s="281">
        <v>355.44600000000003</v>
      </c>
      <c r="J178" s="54">
        <f t="shared" si="75"/>
        <v>109.08940244912992</v>
      </c>
      <c r="K178" s="48"/>
    </row>
    <row r="179" spans="1:11" ht="35.1" customHeight="1" x14ac:dyDescent="0.25">
      <c r="A179" s="49">
        <v>1</v>
      </c>
      <c r="B179" s="57" t="s">
        <v>115</v>
      </c>
      <c r="C179" s="54">
        <v>81</v>
      </c>
      <c r="D179" s="50">
        <f>ROUND(C179/12*$B$3,0)</f>
        <v>34</v>
      </c>
      <c r="E179" s="54">
        <v>55</v>
      </c>
      <c r="F179" s="54">
        <f t="shared" si="74"/>
        <v>161.76470588235296</v>
      </c>
      <c r="G179" s="281">
        <v>442.94039999999995</v>
      </c>
      <c r="H179" s="281">
        <f t="shared" si="76"/>
        <v>184.56</v>
      </c>
      <c r="I179" s="281">
        <v>300.762</v>
      </c>
      <c r="J179" s="54">
        <f t="shared" si="75"/>
        <v>162.96163849154746</v>
      </c>
      <c r="K179" s="48"/>
    </row>
    <row r="180" spans="1:11" ht="39.75" customHeight="1" x14ac:dyDescent="0.25">
      <c r="A180" s="49">
        <v>1</v>
      </c>
      <c r="B180" s="121" t="s">
        <v>112</v>
      </c>
      <c r="C180" s="54">
        <f>SUM(C181:C182)</f>
        <v>19850</v>
      </c>
      <c r="D180" s="54">
        <f>SUM(D181:D182)</f>
        <v>8271</v>
      </c>
      <c r="E180" s="54">
        <f>SUM(E181:E182)</f>
        <v>8496</v>
      </c>
      <c r="F180" s="54">
        <f t="shared" si="74"/>
        <v>102.72034820457019</v>
      </c>
      <c r="G180" s="281">
        <f>SUM(G181:G182)</f>
        <v>35716.479999999996</v>
      </c>
      <c r="H180" s="281">
        <f>SUM(H181:H182)</f>
        <v>14881.869999999999</v>
      </c>
      <c r="I180" s="281">
        <f>SUM(I181:I182)</f>
        <v>14730.033920000002</v>
      </c>
      <c r="J180" s="54">
        <f t="shared" si="75"/>
        <v>98.979724456671121</v>
      </c>
      <c r="K180" s="48"/>
    </row>
    <row r="181" spans="1:11" ht="61.5" customHeight="1" x14ac:dyDescent="0.25">
      <c r="A181" s="49">
        <v>1</v>
      </c>
      <c r="B181" s="57" t="s">
        <v>118</v>
      </c>
      <c r="C181" s="54">
        <v>13200</v>
      </c>
      <c r="D181" s="50">
        <f>ROUND(C181/12*$B$3,0)</f>
        <v>5500</v>
      </c>
      <c r="E181" s="50">
        <v>5410</v>
      </c>
      <c r="F181" s="54">
        <f t="shared" si="74"/>
        <v>98.36363636363636</v>
      </c>
      <c r="G181" s="281">
        <f>30284760/1000</f>
        <v>30284.76</v>
      </c>
      <c r="H181" s="281">
        <f t="shared" ref="H181:H183" si="77">ROUND(G181/12*$B$3,2)</f>
        <v>12618.65</v>
      </c>
      <c r="I181" s="281">
        <v>11803.807200000001</v>
      </c>
      <c r="J181" s="54">
        <f t="shared" si="75"/>
        <v>93.542551699270533</v>
      </c>
      <c r="K181" s="48"/>
    </row>
    <row r="182" spans="1:11" ht="45" x14ac:dyDescent="0.25">
      <c r="A182" s="49">
        <v>1</v>
      </c>
      <c r="B182" s="57" t="s">
        <v>109</v>
      </c>
      <c r="C182" s="54">
        <v>6650</v>
      </c>
      <c r="D182" s="50">
        <f>ROUND(C182/12*$B$3,0)</f>
        <v>2771</v>
      </c>
      <c r="E182" s="50">
        <v>3086</v>
      </c>
      <c r="F182" s="54">
        <f t="shared" si="74"/>
        <v>111.36773727896066</v>
      </c>
      <c r="G182" s="281">
        <f>5431720/1000</f>
        <v>5431.72</v>
      </c>
      <c r="H182" s="281">
        <f t="shared" si="77"/>
        <v>2263.2199999999998</v>
      </c>
      <c r="I182" s="281">
        <v>2926.2267199999997</v>
      </c>
      <c r="J182" s="54">
        <f t="shared" si="75"/>
        <v>129.29484186247913</v>
      </c>
      <c r="K182" s="48"/>
    </row>
    <row r="183" spans="1:11" ht="31.5" customHeight="1" thickBot="1" x14ac:dyDescent="0.3">
      <c r="A183" s="49">
        <v>1</v>
      </c>
      <c r="B183" s="57" t="s">
        <v>123</v>
      </c>
      <c r="C183" s="54">
        <v>10269</v>
      </c>
      <c r="D183" s="50">
        <f>ROUND(C183/12*$B$3,0)</f>
        <v>4279</v>
      </c>
      <c r="E183" s="54">
        <v>4280</v>
      </c>
      <c r="F183" s="54">
        <f t="shared" si="74"/>
        <v>100.02336994624912</v>
      </c>
      <c r="G183" s="281">
        <v>8328.3643799999991</v>
      </c>
      <c r="H183" s="281">
        <f t="shared" si="77"/>
        <v>3470.15</v>
      </c>
      <c r="I183" s="281">
        <v>3471.09818</v>
      </c>
      <c r="J183" s="54">
        <f t="shared" si="75"/>
        <v>100.02732389089807</v>
      </c>
      <c r="K183" s="48"/>
    </row>
    <row r="184" spans="1:11" ht="15.75" thickBot="1" x14ac:dyDescent="0.3">
      <c r="A184" s="49">
        <v>1</v>
      </c>
      <c r="B184" s="510" t="s">
        <v>3</v>
      </c>
      <c r="C184" s="294"/>
      <c r="D184" s="294"/>
      <c r="E184" s="294"/>
      <c r="F184" s="317"/>
      <c r="G184" s="312">
        <f>G180+G177+G183</f>
        <v>45269.765979999996</v>
      </c>
      <c r="H184" s="312">
        <f>H180+H177+H183</f>
        <v>18862.41</v>
      </c>
      <c r="I184" s="312">
        <f>I180+I177+I183</f>
        <v>18857.340100000001</v>
      </c>
      <c r="J184" s="193">
        <f t="shared" si="75"/>
        <v>99.973121674271752</v>
      </c>
      <c r="K184" s="48"/>
    </row>
    <row r="185" spans="1:11" ht="15" customHeight="1" x14ac:dyDescent="0.25">
      <c r="A185" s="49">
        <v>1</v>
      </c>
      <c r="B185" s="120"/>
      <c r="C185" s="47"/>
      <c r="D185" s="47"/>
      <c r="E185" s="47"/>
      <c r="F185" s="195"/>
      <c r="G185" s="175"/>
      <c r="H185" s="175"/>
      <c r="I185" s="175"/>
      <c r="J185" s="318"/>
      <c r="K185" s="48"/>
    </row>
    <row r="186" spans="1:11" ht="43.5" x14ac:dyDescent="0.25">
      <c r="A186" s="49">
        <v>1</v>
      </c>
      <c r="B186" s="519" t="s">
        <v>86</v>
      </c>
      <c r="C186" s="73"/>
      <c r="D186" s="73"/>
      <c r="E186" s="73"/>
      <c r="F186" s="73"/>
      <c r="G186" s="281"/>
      <c r="H186" s="281"/>
      <c r="I186" s="281"/>
      <c r="J186" s="319"/>
      <c r="K186" s="48"/>
    </row>
    <row r="187" spans="1:11" ht="30" customHeight="1" x14ac:dyDescent="0.25">
      <c r="A187" s="49">
        <v>1</v>
      </c>
      <c r="B187" s="121" t="s">
        <v>120</v>
      </c>
      <c r="C187" s="54">
        <f>SUM(C188:C191)</f>
        <v>6522</v>
      </c>
      <c r="D187" s="54">
        <f t="shared" ref="D187:E187" si="78">SUM(D188:D191)</f>
        <v>2717</v>
      </c>
      <c r="E187" s="54">
        <f t="shared" si="78"/>
        <v>1575</v>
      </c>
      <c r="F187" s="54">
        <f t="shared" ref="F187:F197" si="79">E187/D187*100</f>
        <v>57.968347442031657</v>
      </c>
      <c r="G187" s="281">
        <f t="shared" ref="G187:I187" si="80">SUM(G188:G191)</f>
        <v>8133.5897499999992</v>
      </c>
      <c r="H187" s="281">
        <f t="shared" si="80"/>
        <v>3389</v>
      </c>
      <c r="I187" s="281">
        <f t="shared" si="80"/>
        <v>2018.0110999999999</v>
      </c>
      <c r="J187" s="54">
        <f t="shared" ref="J187:J198" si="81">I187/H187*100</f>
        <v>59.545916199468877</v>
      </c>
      <c r="K187" s="48"/>
    </row>
    <row r="188" spans="1:11" ht="27" customHeight="1" x14ac:dyDescent="0.25">
      <c r="A188" s="49">
        <v>1</v>
      </c>
      <c r="B188" s="57" t="s">
        <v>79</v>
      </c>
      <c r="C188" s="54">
        <v>5000</v>
      </c>
      <c r="D188" s="50">
        <f t="shared" ref="D188:D189" si="82">ROUND(C188/12*$B$3,0)</f>
        <v>2083</v>
      </c>
      <c r="E188" s="54">
        <v>1377</v>
      </c>
      <c r="F188" s="54">
        <f t="shared" si="79"/>
        <v>66.106577052328376</v>
      </c>
      <c r="G188" s="281">
        <v>5846.8857999999991</v>
      </c>
      <c r="H188" s="281">
        <f t="shared" ref="H188:H191" si="83">ROUND(G188/12*$B$3,2)</f>
        <v>2436.1999999999998</v>
      </c>
      <c r="I188" s="281">
        <v>1544.93418</v>
      </c>
      <c r="J188" s="54">
        <f t="shared" si="81"/>
        <v>63.415736803218124</v>
      </c>
      <c r="K188" s="48"/>
    </row>
    <row r="189" spans="1:11" ht="30" customHeight="1" x14ac:dyDescent="0.25">
      <c r="A189" s="49">
        <v>1</v>
      </c>
      <c r="B189" s="57" t="s">
        <v>80</v>
      </c>
      <c r="C189" s="98">
        <v>1500</v>
      </c>
      <c r="D189" s="150">
        <f t="shared" si="82"/>
        <v>625</v>
      </c>
      <c r="E189" s="98">
        <v>147</v>
      </c>
      <c r="F189" s="98">
        <f t="shared" si="79"/>
        <v>23.52</v>
      </c>
      <c r="G189" s="281">
        <v>2166.3991499999997</v>
      </c>
      <c r="H189" s="281">
        <f t="shared" si="83"/>
        <v>902.67</v>
      </c>
      <c r="I189" s="281">
        <v>194.18852000000001</v>
      </c>
      <c r="J189" s="54">
        <f t="shared" si="81"/>
        <v>21.512681267794434</v>
      </c>
      <c r="K189" s="48"/>
    </row>
    <row r="190" spans="1:11" ht="30" customHeight="1" x14ac:dyDescent="0.25">
      <c r="B190" s="57" t="s">
        <v>114</v>
      </c>
      <c r="C190" s="98"/>
      <c r="D190" s="150"/>
      <c r="E190" s="98"/>
      <c r="F190" s="158"/>
      <c r="G190" s="281"/>
      <c r="H190" s="281">
        <f t="shared" si="83"/>
        <v>0</v>
      </c>
      <c r="I190" s="281"/>
      <c r="J190" s="306"/>
      <c r="K190" s="48"/>
    </row>
    <row r="191" spans="1:11" ht="30" customHeight="1" x14ac:dyDescent="0.25">
      <c r="B191" s="57" t="s">
        <v>115</v>
      </c>
      <c r="C191" s="98">
        <v>22</v>
      </c>
      <c r="D191" s="150">
        <f>ROUND(C191/12*$B$3,0)</f>
        <v>9</v>
      </c>
      <c r="E191" s="98">
        <v>51</v>
      </c>
      <c r="F191" s="158"/>
      <c r="G191" s="281">
        <v>120.30479999999999</v>
      </c>
      <c r="H191" s="281">
        <f t="shared" si="83"/>
        <v>50.13</v>
      </c>
      <c r="I191" s="281">
        <v>278.88840000000005</v>
      </c>
      <c r="J191" s="54">
        <f t="shared" ref="J191" si="84">I191/H191*100</f>
        <v>556.33034111310599</v>
      </c>
      <c r="K191" s="48"/>
    </row>
    <row r="192" spans="1:11" ht="30" customHeight="1" x14ac:dyDescent="0.25">
      <c r="A192" s="49">
        <v>1</v>
      </c>
      <c r="B192" s="121" t="s">
        <v>112</v>
      </c>
      <c r="C192" s="54">
        <f>SUM(C193:C195)</f>
        <v>8600</v>
      </c>
      <c r="D192" s="54">
        <f t="shared" ref="D192:E192" si="85">SUM(D193:D195)</f>
        <v>3583</v>
      </c>
      <c r="E192" s="54">
        <f t="shared" si="85"/>
        <v>2800</v>
      </c>
      <c r="F192" s="158">
        <f t="shared" si="79"/>
        <v>78.146804353893387</v>
      </c>
      <c r="G192" s="281">
        <f t="shared" ref="G192" si="86">SUM(G193:G195)</f>
        <v>14878.06</v>
      </c>
      <c r="H192" s="281">
        <f t="shared" ref="H192" si="87">SUM(H193:H195)</f>
        <v>6199.2000000000007</v>
      </c>
      <c r="I192" s="281">
        <f t="shared" ref="I192" si="88">SUM(I193:I195)</f>
        <v>5091.24604</v>
      </c>
      <c r="J192" s="320">
        <f t="shared" si="81"/>
        <v>82.12746870563943</v>
      </c>
      <c r="K192" s="48"/>
    </row>
    <row r="193" spans="1:11" ht="30" customHeight="1" x14ac:dyDescent="0.25">
      <c r="A193" s="49">
        <v>1</v>
      </c>
      <c r="B193" s="146" t="s">
        <v>108</v>
      </c>
      <c r="C193" s="54">
        <v>3600</v>
      </c>
      <c r="D193" s="50">
        <f t="shared" ref="D193:D196" si="89">ROUND(C193/12*$B$3,0)</f>
        <v>1500</v>
      </c>
      <c r="E193" s="157">
        <v>1315</v>
      </c>
      <c r="F193" s="98">
        <f t="shared" si="79"/>
        <v>87.666666666666671</v>
      </c>
      <c r="G193" s="281">
        <f>6361560/1000</f>
        <v>6361.56</v>
      </c>
      <c r="H193" s="281">
        <f t="shared" ref="H193:H197" si="90">ROUND(G193/12*$B$3,2)</f>
        <v>2650.65</v>
      </c>
      <c r="I193" s="281">
        <v>2283.15598</v>
      </c>
      <c r="J193" s="320">
        <f t="shared" si="81"/>
        <v>86.135701808990234</v>
      </c>
      <c r="K193" s="48"/>
    </row>
    <row r="194" spans="1:11" ht="66" customHeight="1" x14ac:dyDescent="0.25">
      <c r="B194" s="57" t="s">
        <v>118</v>
      </c>
      <c r="C194" s="316">
        <v>3000</v>
      </c>
      <c r="D194" s="305">
        <f t="shared" si="89"/>
        <v>1250</v>
      </c>
      <c r="E194" s="54">
        <v>621</v>
      </c>
      <c r="F194" s="98">
        <f t="shared" si="79"/>
        <v>49.68</v>
      </c>
      <c r="G194" s="281">
        <f>6882900/1000</f>
        <v>6882.9</v>
      </c>
      <c r="H194" s="281">
        <f t="shared" si="90"/>
        <v>2867.88</v>
      </c>
      <c r="I194" s="281">
        <v>2045.8331000000001</v>
      </c>
      <c r="J194" s="320">
        <f t="shared" si="81"/>
        <v>71.336077520677293</v>
      </c>
      <c r="K194" s="48"/>
    </row>
    <row r="195" spans="1:11" ht="58.5" customHeight="1" x14ac:dyDescent="0.25">
      <c r="B195" s="57" t="s">
        <v>109</v>
      </c>
      <c r="C195" s="157">
        <v>2000</v>
      </c>
      <c r="D195" s="50">
        <f t="shared" si="89"/>
        <v>833</v>
      </c>
      <c r="E195" s="157">
        <v>864</v>
      </c>
      <c r="F195" s="98">
        <f t="shared" si="79"/>
        <v>103.72148859543817</v>
      </c>
      <c r="G195" s="281">
        <f>1633600/1000</f>
        <v>1633.6</v>
      </c>
      <c r="H195" s="281">
        <f t="shared" si="90"/>
        <v>680.67</v>
      </c>
      <c r="I195" s="281">
        <v>762.25695999999994</v>
      </c>
      <c r="J195" s="320">
        <f t="shared" si="81"/>
        <v>111.98627234930289</v>
      </c>
      <c r="K195" s="48"/>
    </row>
    <row r="196" spans="1:11" ht="31.5" customHeight="1" x14ac:dyDescent="0.25">
      <c r="A196" s="49">
        <v>1</v>
      </c>
      <c r="B196" s="57" t="s">
        <v>123</v>
      </c>
      <c r="C196" s="54">
        <v>18200</v>
      </c>
      <c r="D196" s="50">
        <f t="shared" si="89"/>
        <v>7583</v>
      </c>
      <c r="E196" s="54">
        <f>6031+E197</f>
        <v>6725</v>
      </c>
      <c r="F196" s="54">
        <f t="shared" si="79"/>
        <v>88.68521693261242</v>
      </c>
      <c r="G196" s="281">
        <v>14760.564</v>
      </c>
      <c r="H196" s="281">
        <f t="shared" si="90"/>
        <v>6150.24</v>
      </c>
      <c r="I196" s="281">
        <f>4851.47894+I197</f>
        <v>5412.6951200000003</v>
      </c>
      <c r="J196" s="54">
        <f t="shared" si="81"/>
        <v>88.007868310830148</v>
      </c>
      <c r="K196" s="48"/>
    </row>
    <row r="197" spans="1:11" ht="26.25" customHeight="1" thickBot="1" x14ac:dyDescent="0.3">
      <c r="A197" s="49">
        <v>1</v>
      </c>
      <c r="B197" s="57" t="s">
        <v>125</v>
      </c>
      <c r="C197" s="54">
        <v>786</v>
      </c>
      <c r="D197" s="50">
        <f>ROUND(C197/12*$B$3,0)</f>
        <v>328</v>
      </c>
      <c r="E197" s="54">
        <v>694</v>
      </c>
      <c r="F197" s="54">
        <f t="shared" si="79"/>
        <v>211.58536585365852</v>
      </c>
      <c r="G197" s="281">
        <v>637.46172000000001</v>
      </c>
      <c r="H197" s="281">
        <f t="shared" si="90"/>
        <v>265.61</v>
      </c>
      <c r="I197" s="281">
        <v>561.21617999999989</v>
      </c>
      <c r="J197" s="54">
        <f>I197/E197*100</f>
        <v>80.866884726224768</v>
      </c>
      <c r="K197" s="48"/>
    </row>
    <row r="198" spans="1:11" ht="15.75" thickBot="1" x14ac:dyDescent="0.3">
      <c r="A198" s="49">
        <v>1</v>
      </c>
      <c r="B198" s="520" t="s">
        <v>3</v>
      </c>
      <c r="C198" s="294"/>
      <c r="D198" s="294"/>
      <c r="E198" s="294"/>
      <c r="F198" s="295"/>
      <c r="G198" s="296">
        <f>G192+G187+G196</f>
        <v>37772.213749999995</v>
      </c>
      <c r="H198" s="296">
        <f>H192+H187+H196</f>
        <v>15738.44</v>
      </c>
      <c r="I198" s="296">
        <f>I192+I187+I196</f>
        <v>12521.95226</v>
      </c>
      <c r="J198" s="193">
        <f t="shared" si="81"/>
        <v>79.562855403712192</v>
      </c>
      <c r="K198" s="48"/>
    </row>
    <row r="199" spans="1:11" ht="15" customHeight="1" x14ac:dyDescent="0.25">
      <c r="A199" s="49">
        <v>1</v>
      </c>
      <c r="B199" s="521"/>
      <c r="C199" s="71"/>
      <c r="D199" s="71"/>
      <c r="E199" s="71"/>
      <c r="F199" s="71"/>
      <c r="G199" s="176"/>
      <c r="H199" s="176"/>
      <c r="I199" s="176"/>
      <c r="J199" s="70"/>
      <c r="K199" s="48"/>
    </row>
    <row r="200" spans="1:11" ht="43.5" customHeight="1" x14ac:dyDescent="0.25">
      <c r="A200" s="49">
        <v>1</v>
      </c>
      <c r="B200" s="478" t="s">
        <v>127</v>
      </c>
      <c r="C200" s="58"/>
      <c r="D200" s="58"/>
      <c r="E200" s="58"/>
      <c r="F200" s="58"/>
      <c r="G200" s="163"/>
      <c r="H200" s="163"/>
      <c r="I200" s="163"/>
      <c r="J200" s="83"/>
      <c r="K200" s="48"/>
    </row>
    <row r="201" spans="1:11" ht="26.25" customHeight="1" x14ac:dyDescent="0.25">
      <c r="A201" s="49">
        <v>1</v>
      </c>
      <c r="B201" s="121" t="s">
        <v>120</v>
      </c>
      <c r="C201" s="54">
        <f>SUM(C202:C203)</f>
        <v>695</v>
      </c>
      <c r="D201" s="54">
        <f>SUM(D202:D203)</f>
        <v>290</v>
      </c>
      <c r="E201" s="54">
        <f>SUM(E202:E203)</f>
        <v>284</v>
      </c>
      <c r="F201" s="54">
        <f t="shared" ref="F201:F206" si="91">E201/D201*100</f>
        <v>97.931034482758619</v>
      </c>
      <c r="G201" s="281">
        <f>SUM(G202:G203)</f>
        <v>876.21408999999994</v>
      </c>
      <c r="H201" s="281">
        <f>SUM(H202:H203)</f>
        <v>365.08</v>
      </c>
      <c r="I201" s="281">
        <f>SUM(I202:I203)</f>
        <v>304.49808000000002</v>
      </c>
      <c r="J201" s="54">
        <f t="shared" ref="J201:J207" si="92">I201/H201*100</f>
        <v>83.405850772433439</v>
      </c>
      <c r="K201" s="48"/>
    </row>
    <row r="202" spans="1:11" ht="30.75" customHeight="1" x14ac:dyDescent="0.25">
      <c r="A202" s="49">
        <v>1</v>
      </c>
      <c r="B202" s="57" t="s">
        <v>79</v>
      </c>
      <c r="C202" s="54">
        <v>535</v>
      </c>
      <c r="D202" s="50">
        <f>ROUND(C202/12*$B$3,0)</f>
        <v>223</v>
      </c>
      <c r="E202" s="54">
        <v>202</v>
      </c>
      <c r="F202" s="54">
        <f t="shared" si="91"/>
        <v>90.582959641255599</v>
      </c>
      <c r="G202" s="281">
        <v>626.74639999999999</v>
      </c>
      <c r="H202" s="281">
        <f t="shared" ref="H202:H203" si="93">ROUND(G202/12*$B$3,2)</f>
        <v>261.14</v>
      </c>
      <c r="I202" s="281">
        <v>183.51857000000001</v>
      </c>
      <c r="J202" s="54">
        <f t="shared" si="92"/>
        <v>70.275932450026815</v>
      </c>
      <c r="K202" s="48"/>
    </row>
    <row r="203" spans="1:11" ht="33" customHeight="1" x14ac:dyDescent="0.25">
      <c r="A203" s="49">
        <v>1</v>
      </c>
      <c r="B203" s="57" t="s">
        <v>80</v>
      </c>
      <c r="C203" s="54">
        <v>160</v>
      </c>
      <c r="D203" s="50">
        <f>ROUND(C203/12*$B$3,0)</f>
        <v>67</v>
      </c>
      <c r="E203" s="54">
        <v>82</v>
      </c>
      <c r="F203" s="98">
        <f t="shared" si="91"/>
        <v>122.38805970149254</v>
      </c>
      <c r="G203" s="281">
        <v>249.46768999999998</v>
      </c>
      <c r="H203" s="281">
        <f t="shared" si="93"/>
        <v>103.94</v>
      </c>
      <c r="I203" s="281">
        <v>120.97951000000002</v>
      </c>
      <c r="J203" s="54">
        <f t="shared" si="92"/>
        <v>116.39360207812202</v>
      </c>
      <c r="K203" s="48"/>
    </row>
    <row r="204" spans="1:11" ht="30" x14ac:dyDescent="0.25">
      <c r="A204" s="49">
        <v>1</v>
      </c>
      <c r="B204" s="121" t="s">
        <v>112</v>
      </c>
      <c r="C204" s="98">
        <f>SUM(C205)</f>
        <v>300</v>
      </c>
      <c r="D204" s="98">
        <f t="shared" ref="D204:I204" si="94">SUM(D205)</f>
        <v>125</v>
      </c>
      <c r="E204" s="98">
        <f t="shared" si="94"/>
        <v>94</v>
      </c>
      <c r="F204" s="98">
        <f t="shared" si="91"/>
        <v>75.2</v>
      </c>
      <c r="G204" s="281">
        <f>SUM(G205)</f>
        <v>530.13</v>
      </c>
      <c r="H204" s="281">
        <f t="shared" si="94"/>
        <v>220.89</v>
      </c>
      <c r="I204" s="281">
        <f t="shared" si="94"/>
        <v>155.77501999999998</v>
      </c>
      <c r="J204" s="54">
        <f t="shared" si="92"/>
        <v>70.521535605957709</v>
      </c>
      <c r="K204" s="48"/>
    </row>
    <row r="205" spans="1:11" ht="33" customHeight="1" x14ac:dyDescent="0.25">
      <c r="A205" s="49">
        <v>1</v>
      </c>
      <c r="B205" s="146" t="s">
        <v>108</v>
      </c>
      <c r="C205" s="98">
        <v>300</v>
      </c>
      <c r="D205" s="150">
        <f>ROUND(C205/12*$B$3,0)</f>
        <v>125</v>
      </c>
      <c r="E205" s="158">
        <v>94</v>
      </c>
      <c r="F205" s="98">
        <f t="shared" si="91"/>
        <v>75.2</v>
      </c>
      <c r="G205" s="281">
        <f>530130/1000</f>
        <v>530.13</v>
      </c>
      <c r="H205" s="281">
        <f t="shared" ref="H205:H206" si="95">ROUND(G205/12*$B$3,2)</f>
        <v>220.89</v>
      </c>
      <c r="I205" s="281">
        <v>155.77501999999998</v>
      </c>
      <c r="J205" s="98">
        <f t="shared" si="92"/>
        <v>70.521535605957709</v>
      </c>
      <c r="K205" s="48"/>
    </row>
    <row r="206" spans="1:11" ht="31.5" customHeight="1" thickBot="1" x14ac:dyDescent="0.3">
      <c r="A206" s="49">
        <v>1</v>
      </c>
      <c r="B206" s="57" t="s">
        <v>123</v>
      </c>
      <c r="C206" s="54">
        <v>450</v>
      </c>
      <c r="D206" s="50">
        <f>ROUND(C206/12*$B$3,0)</f>
        <v>188</v>
      </c>
      <c r="E206" s="54">
        <v>43</v>
      </c>
      <c r="F206" s="54">
        <f t="shared" si="91"/>
        <v>22.872340425531913</v>
      </c>
      <c r="G206" s="281">
        <v>364.959</v>
      </c>
      <c r="H206" s="281">
        <f t="shared" si="95"/>
        <v>152.07</v>
      </c>
      <c r="I206" s="281">
        <v>33.658279999999998</v>
      </c>
      <c r="J206" s="54">
        <f t="shared" si="92"/>
        <v>22.13341224436115</v>
      </c>
      <c r="K206" s="48"/>
    </row>
    <row r="207" spans="1:11" ht="15.75" thickBot="1" x14ac:dyDescent="0.3">
      <c r="A207" s="49">
        <v>1</v>
      </c>
      <c r="B207" s="147" t="s">
        <v>3</v>
      </c>
      <c r="C207" s="193"/>
      <c r="D207" s="193"/>
      <c r="E207" s="193"/>
      <c r="F207" s="295"/>
      <c r="G207" s="308">
        <f>G204+G201+G206</f>
        <v>1771.3030900000001</v>
      </c>
      <c r="H207" s="308">
        <f>H204+H201+H206</f>
        <v>738.04</v>
      </c>
      <c r="I207" s="308">
        <f>I204+I201+I206</f>
        <v>493.93137999999999</v>
      </c>
      <c r="J207" s="193">
        <f t="shared" si="92"/>
        <v>66.924743916318903</v>
      </c>
      <c r="K207" s="48"/>
    </row>
    <row r="208" spans="1:11" ht="15" customHeight="1" x14ac:dyDescent="0.25">
      <c r="A208" s="49">
        <v>1</v>
      </c>
      <c r="B208" s="338"/>
      <c r="C208" s="74"/>
      <c r="D208" s="74"/>
      <c r="E208" s="74"/>
      <c r="F208" s="73"/>
      <c r="G208" s="172"/>
      <c r="H208" s="172"/>
      <c r="I208" s="172"/>
      <c r="J208" s="74"/>
      <c r="K208" s="48"/>
    </row>
    <row r="209" spans="1:11" ht="29.25" hidden="1" customHeight="1" x14ac:dyDescent="0.25">
      <c r="B209" s="513"/>
      <c r="C209" s="60"/>
      <c r="D209" s="60"/>
      <c r="E209" s="60"/>
      <c r="F209" s="58"/>
      <c r="G209" s="281"/>
      <c r="H209" s="281"/>
      <c r="I209" s="281"/>
      <c r="J209" s="75"/>
      <c r="K209" s="48"/>
    </row>
    <row r="210" spans="1:11" ht="30.75" hidden="1" customHeight="1" x14ac:dyDescent="0.25">
      <c r="B210" s="121"/>
      <c r="C210" s="54"/>
      <c r="D210" s="54"/>
      <c r="E210" s="54"/>
      <c r="F210" s="54"/>
      <c r="G210" s="281"/>
      <c r="H210" s="281"/>
      <c r="I210" s="281"/>
      <c r="J210" s="54"/>
      <c r="K210" s="48"/>
    </row>
    <row r="211" spans="1:11" ht="38.1" hidden="1" customHeight="1" x14ac:dyDescent="0.25">
      <c r="B211" s="57"/>
      <c r="C211" s="54"/>
      <c r="D211" s="50"/>
      <c r="E211" s="54"/>
      <c r="F211" s="54"/>
      <c r="G211" s="281"/>
      <c r="H211" s="281"/>
      <c r="I211" s="281"/>
      <c r="J211" s="54"/>
      <c r="K211" s="48"/>
    </row>
    <row r="212" spans="1:11" ht="38.1" hidden="1" customHeight="1" x14ac:dyDescent="0.25">
      <c r="B212" s="57"/>
      <c r="C212" s="54"/>
      <c r="D212" s="50"/>
      <c r="E212" s="54"/>
      <c r="F212" s="54"/>
      <c r="G212" s="281"/>
      <c r="H212" s="281"/>
      <c r="I212" s="281"/>
      <c r="J212" s="54"/>
      <c r="K212" s="48"/>
    </row>
    <row r="213" spans="1:11" hidden="1" x14ac:dyDescent="0.25">
      <c r="B213" s="57"/>
      <c r="C213" s="54"/>
      <c r="D213" s="50"/>
      <c r="E213" s="54"/>
      <c r="F213" s="54"/>
      <c r="G213" s="281"/>
      <c r="H213" s="281"/>
      <c r="I213" s="281"/>
      <c r="J213" s="54"/>
      <c r="K213" s="48"/>
    </row>
    <row r="214" spans="1:11" hidden="1" x14ac:dyDescent="0.25">
      <c r="B214" s="57"/>
      <c r="C214" s="54"/>
      <c r="D214" s="50"/>
      <c r="E214" s="54"/>
      <c r="F214" s="54"/>
      <c r="G214" s="281"/>
      <c r="H214" s="281"/>
      <c r="I214" s="281"/>
      <c r="J214" s="54"/>
      <c r="K214" s="48"/>
    </row>
    <row r="215" spans="1:11" hidden="1" x14ac:dyDescent="0.25">
      <c r="B215" s="121"/>
      <c r="C215" s="54"/>
      <c r="D215" s="54"/>
      <c r="E215" s="54"/>
      <c r="F215" s="54"/>
      <c r="G215" s="281"/>
      <c r="H215" s="281"/>
      <c r="I215" s="281"/>
      <c r="J215" s="54"/>
      <c r="K215" s="48"/>
    </row>
    <row r="216" spans="1:11" hidden="1" x14ac:dyDescent="0.25">
      <c r="B216" s="57"/>
      <c r="C216" s="54"/>
      <c r="D216" s="50"/>
      <c r="E216" s="54"/>
      <c r="F216" s="54"/>
      <c r="G216" s="281"/>
      <c r="H216" s="281"/>
      <c r="I216" s="281"/>
      <c r="J216" s="54"/>
      <c r="K216" s="48"/>
    </row>
    <row r="217" spans="1:11" ht="45" hidden="1" customHeight="1" x14ac:dyDescent="0.25">
      <c r="B217" s="57"/>
      <c r="C217" s="54"/>
      <c r="D217" s="50"/>
      <c r="E217" s="54"/>
      <c r="F217" s="54"/>
      <c r="G217" s="281"/>
      <c r="H217" s="281"/>
      <c r="I217" s="281"/>
      <c r="J217" s="54"/>
      <c r="K217" s="48"/>
    </row>
    <row r="218" spans="1:11" ht="45" hidden="1" customHeight="1" x14ac:dyDescent="0.25">
      <c r="B218" s="57"/>
      <c r="C218" s="54"/>
      <c r="D218" s="50"/>
      <c r="E218" s="54"/>
      <c r="F218" s="54"/>
      <c r="G218" s="281"/>
      <c r="H218" s="281"/>
      <c r="I218" s="281"/>
      <c r="J218" s="54"/>
      <c r="K218" s="48"/>
    </row>
    <row r="219" spans="1:11" ht="31.5" hidden="1" customHeight="1" thickBot="1" x14ac:dyDescent="0.3">
      <c r="B219" s="57"/>
      <c r="C219" s="54"/>
      <c r="D219" s="50"/>
      <c r="E219" s="54"/>
      <c r="F219" s="54"/>
      <c r="G219" s="281"/>
      <c r="H219" s="281"/>
      <c r="I219" s="281"/>
      <c r="J219" s="54"/>
      <c r="K219" s="48"/>
    </row>
    <row r="220" spans="1:11" ht="15.75" hidden="1" thickBot="1" x14ac:dyDescent="0.3">
      <c r="B220" s="409"/>
      <c r="C220" s="193"/>
      <c r="D220" s="193"/>
      <c r="E220" s="193"/>
      <c r="F220" s="295"/>
      <c r="G220" s="335"/>
      <c r="H220" s="335"/>
      <c r="I220" s="335"/>
      <c r="J220" s="193"/>
      <c r="K220" s="48"/>
    </row>
    <row r="221" spans="1:11" ht="15" hidden="1" customHeight="1" x14ac:dyDescent="0.25">
      <c r="A221" s="49">
        <v>1</v>
      </c>
      <c r="B221" s="120"/>
      <c r="C221" s="47"/>
      <c r="D221" s="47"/>
      <c r="E221" s="47"/>
      <c r="F221" s="195"/>
      <c r="G221" s="164"/>
      <c r="H221" s="164"/>
      <c r="I221" s="164"/>
      <c r="J221" s="47"/>
      <c r="K221" s="48"/>
    </row>
    <row r="222" spans="1:11" ht="29.25" customHeight="1" x14ac:dyDescent="0.25">
      <c r="A222" s="49">
        <v>1</v>
      </c>
      <c r="B222" s="478" t="s">
        <v>88</v>
      </c>
      <c r="C222" s="58"/>
      <c r="D222" s="58"/>
      <c r="E222" s="58"/>
      <c r="F222" s="58"/>
      <c r="G222" s="163"/>
      <c r="H222" s="163"/>
      <c r="I222" s="163"/>
      <c r="J222" s="83"/>
      <c r="K222" s="48"/>
    </row>
    <row r="223" spans="1:11" ht="30" x14ac:dyDescent="0.25">
      <c r="A223" s="49">
        <v>1</v>
      </c>
      <c r="B223" s="121" t="s">
        <v>120</v>
      </c>
      <c r="C223" s="54">
        <f>SUM(C224:C225)</f>
        <v>1933</v>
      </c>
      <c r="D223" s="54">
        <f>SUM(D224:D225)</f>
        <v>806</v>
      </c>
      <c r="E223" s="54">
        <f>SUM(E224:E225)</f>
        <v>736</v>
      </c>
      <c r="F223" s="54">
        <f t="shared" ref="F223:F228" si="96">E223/D223*100</f>
        <v>91.315136476426801</v>
      </c>
      <c r="G223" s="163">
        <f>SUM(G224:G225)</f>
        <v>2873.1963399999995</v>
      </c>
      <c r="H223" s="163">
        <f>SUM(H224:H225)</f>
        <v>1197.17</v>
      </c>
      <c r="I223" s="163">
        <f>SUM(I224:I225)</f>
        <v>728.22471999999993</v>
      </c>
      <c r="J223" s="54">
        <f t="shared" ref="J223:J229" si="97">I223/H223*100</f>
        <v>60.828848033278469</v>
      </c>
      <c r="K223" s="48"/>
    </row>
    <row r="224" spans="1:11" ht="30" x14ac:dyDescent="0.25">
      <c r="A224" s="49">
        <v>1</v>
      </c>
      <c r="B224" s="57" t="s">
        <v>79</v>
      </c>
      <c r="C224" s="54">
        <v>1487</v>
      </c>
      <c r="D224" s="50">
        <f>ROUND(C224/12*$B$3,0)</f>
        <v>620</v>
      </c>
      <c r="E224" s="54">
        <v>612</v>
      </c>
      <c r="F224" s="54">
        <f t="shared" si="96"/>
        <v>98.709677419354833</v>
      </c>
      <c r="G224" s="163">
        <v>2137.0957999999996</v>
      </c>
      <c r="H224" s="163">
        <f t="shared" ref="H224:H225" si="98">ROUND(G224/12*$B$3,2)</f>
        <v>890.46</v>
      </c>
      <c r="I224" s="163">
        <v>553.29264999999987</v>
      </c>
      <c r="J224" s="54">
        <f t="shared" si="97"/>
        <v>62.135598454731245</v>
      </c>
      <c r="K224" s="48"/>
    </row>
    <row r="225" spans="1:11" ht="30" x14ac:dyDescent="0.25">
      <c r="A225" s="49">
        <v>1</v>
      </c>
      <c r="B225" s="57" t="s">
        <v>80</v>
      </c>
      <c r="C225" s="54">
        <v>446</v>
      </c>
      <c r="D225" s="50">
        <f>ROUND(C225/12*$B$3,0)</f>
        <v>186</v>
      </c>
      <c r="E225" s="54">
        <v>124</v>
      </c>
      <c r="F225" s="54">
        <f t="shared" si="96"/>
        <v>66.666666666666657</v>
      </c>
      <c r="G225" s="177">
        <v>736.10054000000002</v>
      </c>
      <c r="H225" s="163">
        <f t="shared" si="98"/>
        <v>306.70999999999998</v>
      </c>
      <c r="I225" s="177">
        <v>174.93207000000001</v>
      </c>
      <c r="J225" s="54">
        <f t="shared" si="97"/>
        <v>57.035007009879045</v>
      </c>
      <c r="K225" s="48"/>
    </row>
    <row r="226" spans="1:11" ht="30" x14ac:dyDescent="0.25">
      <c r="A226" s="49">
        <v>1</v>
      </c>
      <c r="B226" s="121" t="s">
        <v>112</v>
      </c>
      <c r="C226" s="98">
        <f>SUM(C227)</f>
        <v>60</v>
      </c>
      <c r="D226" s="98">
        <f t="shared" ref="D226:I226" si="99">SUM(D227)</f>
        <v>25</v>
      </c>
      <c r="E226" s="98">
        <f t="shared" si="99"/>
        <v>3</v>
      </c>
      <c r="F226" s="54">
        <f t="shared" si="96"/>
        <v>12</v>
      </c>
      <c r="G226" s="177">
        <f>SUM(G227)</f>
        <v>106.026</v>
      </c>
      <c r="H226" s="177">
        <f t="shared" si="99"/>
        <v>44.18</v>
      </c>
      <c r="I226" s="177">
        <f t="shared" si="99"/>
        <v>5.0836999999999994</v>
      </c>
      <c r="J226" s="177">
        <f t="shared" si="97"/>
        <v>11.506790402897238</v>
      </c>
      <c r="K226" s="48"/>
    </row>
    <row r="227" spans="1:11" ht="30" x14ac:dyDescent="0.25">
      <c r="A227" s="49">
        <v>1</v>
      </c>
      <c r="B227" s="146" t="s">
        <v>108</v>
      </c>
      <c r="C227" s="98">
        <v>60</v>
      </c>
      <c r="D227" s="150">
        <f>ROUND(C227/12*$B$3,0)</f>
        <v>25</v>
      </c>
      <c r="E227" s="98">
        <v>3</v>
      </c>
      <c r="F227" s="98">
        <f t="shared" si="96"/>
        <v>12</v>
      </c>
      <c r="G227" s="177">
        <f>106026/1000</f>
        <v>106.026</v>
      </c>
      <c r="H227" s="177">
        <f t="shared" ref="H227:H228" si="100">ROUND(G227/12*$B$3,2)</f>
        <v>44.18</v>
      </c>
      <c r="I227" s="177">
        <v>5.0836999999999994</v>
      </c>
      <c r="J227" s="177">
        <f t="shared" si="97"/>
        <v>11.506790402897238</v>
      </c>
      <c r="K227" s="48"/>
    </row>
    <row r="228" spans="1:11" ht="31.5" customHeight="1" thickBot="1" x14ac:dyDescent="0.3">
      <c r="A228" s="49">
        <v>1</v>
      </c>
      <c r="B228" s="57" t="s">
        <v>123</v>
      </c>
      <c r="C228" s="54">
        <v>1500</v>
      </c>
      <c r="D228" s="50">
        <f>ROUND(C228/12*$B$3,0)</f>
        <v>625</v>
      </c>
      <c r="E228" s="54">
        <v>692</v>
      </c>
      <c r="F228" s="54">
        <f t="shared" si="96"/>
        <v>110.72</v>
      </c>
      <c r="G228" s="281">
        <v>1216.53</v>
      </c>
      <c r="H228" s="281">
        <f t="shared" si="100"/>
        <v>506.89</v>
      </c>
      <c r="I228" s="177">
        <v>557.7326700000001</v>
      </c>
      <c r="J228" s="56">
        <f t="shared" si="97"/>
        <v>110.03031624218274</v>
      </c>
      <c r="K228" s="48"/>
    </row>
    <row r="229" spans="1:11" ht="15.75" thickBot="1" x14ac:dyDescent="0.3">
      <c r="A229" s="49">
        <v>1</v>
      </c>
      <c r="B229" s="147" t="s">
        <v>3</v>
      </c>
      <c r="C229" s="193"/>
      <c r="D229" s="193"/>
      <c r="E229" s="193"/>
      <c r="F229" s="295"/>
      <c r="G229" s="308">
        <f>G223+G226+G228</f>
        <v>4195.7523399999991</v>
      </c>
      <c r="H229" s="308">
        <f>H223+H226+H228</f>
        <v>1748.2400000000002</v>
      </c>
      <c r="I229" s="308">
        <f>I223+I226+I228</f>
        <v>1291.0410900000002</v>
      </c>
      <c r="J229" s="193">
        <f t="shared" si="97"/>
        <v>73.848046606873197</v>
      </c>
      <c r="K229" s="48"/>
    </row>
    <row r="230" spans="1:11" ht="15" customHeight="1" x14ac:dyDescent="0.25">
      <c r="A230" s="49">
        <v>1</v>
      </c>
      <c r="B230" s="338"/>
      <c r="C230" s="55"/>
      <c r="D230" s="55"/>
      <c r="E230" s="55"/>
      <c r="F230" s="319"/>
      <c r="G230" s="174"/>
      <c r="H230" s="174"/>
      <c r="I230" s="174"/>
      <c r="J230" s="316"/>
      <c r="K230" s="48"/>
    </row>
    <row r="231" spans="1:11" ht="38.25" customHeight="1" x14ac:dyDescent="0.25">
      <c r="A231" s="49">
        <v>1</v>
      </c>
      <c r="B231" s="112" t="s">
        <v>89</v>
      </c>
      <c r="C231" s="54"/>
      <c r="D231" s="54"/>
      <c r="E231" s="54"/>
      <c r="F231" s="54"/>
      <c r="G231" s="166"/>
      <c r="H231" s="166"/>
      <c r="I231" s="166"/>
      <c r="J231" s="54"/>
      <c r="K231" s="48"/>
    </row>
    <row r="232" spans="1:11" ht="30" x14ac:dyDescent="0.25">
      <c r="A232" s="49">
        <v>1</v>
      </c>
      <c r="B232" s="121" t="s">
        <v>120</v>
      </c>
      <c r="C232" s="54">
        <f>SUM(C233:C234)</f>
        <v>1338</v>
      </c>
      <c r="D232" s="54">
        <f>SUM(D233:D234)</f>
        <v>558</v>
      </c>
      <c r="E232" s="54">
        <f>SUM(E233:E234)</f>
        <v>529</v>
      </c>
      <c r="F232" s="54">
        <f t="shared" ref="F232:F237" si="101">E232/D232*100</f>
        <v>94.802867383512549</v>
      </c>
      <c r="G232" s="281">
        <f>SUM(G233:G234)</f>
        <v>1478.7047299999999</v>
      </c>
      <c r="H232" s="281">
        <f>SUM(H233:H234)</f>
        <v>616.12</v>
      </c>
      <c r="I232" s="281">
        <f>SUM(I233:I234)</f>
        <v>502.72127</v>
      </c>
      <c r="J232" s="54">
        <f t="shared" ref="J232:J238" si="102">I232/H232*100</f>
        <v>81.594700707654354</v>
      </c>
      <c r="K232" s="48"/>
    </row>
    <row r="233" spans="1:11" ht="30" x14ac:dyDescent="0.25">
      <c r="A233" s="49">
        <v>1</v>
      </c>
      <c r="B233" s="57" t="s">
        <v>79</v>
      </c>
      <c r="C233" s="54">
        <v>1029</v>
      </c>
      <c r="D233" s="50">
        <f>ROUND(C233/12*$B$3,0)</f>
        <v>429</v>
      </c>
      <c r="E233" s="54">
        <v>426</v>
      </c>
      <c r="F233" s="54">
        <f t="shared" si="101"/>
        <v>99.300699300699307</v>
      </c>
      <c r="G233" s="281">
        <v>1048.5454</v>
      </c>
      <c r="H233" s="281">
        <f t="shared" ref="H233:H234" si="103">ROUND(G233/12*$B$3,2)</f>
        <v>436.89</v>
      </c>
      <c r="I233" s="281">
        <v>373.46285</v>
      </c>
      <c r="J233" s="54">
        <f t="shared" si="102"/>
        <v>85.482123646684528</v>
      </c>
      <c r="K233" s="48"/>
    </row>
    <row r="234" spans="1:11" ht="30" x14ac:dyDescent="0.25">
      <c r="A234" s="49">
        <v>1</v>
      </c>
      <c r="B234" s="57" t="s">
        <v>80</v>
      </c>
      <c r="C234" s="54">
        <v>309</v>
      </c>
      <c r="D234" s="50">
        <f>ROUND(C234/12*$B$3,0)</f>
        <v>129</v>
      </c>
      <c r="E234" s="54">
        <v>103</v>
      </c>
      <c r="F234" s="54">
        <f t="shared" si="101"/>
        <v>79.84496124031007</v>
      </c>
      <c r="G234" s="281">
        <v>430.15933000000007</v>
      </c>
      <c r="H234" s="281">
        <f t="shared" si="103"/>
        <v>179.23</v>
      </c>
      <c r="I234" s="281">
        <v>129.25842</v>
      </c>
      <c r="J234" s="54">
        <f t="shared" si="102"/>
        <v>72.118741282151433</v>
      </c>
      <c r="K234" s="48"/>
    </row>
    <row r="235" spans="1:11" ht="30" x14ac:dyDescent="0.25">
      <c r="A235" s="49">
        <v>1</v>
      </c>
      <c r="B235" s="121" t="s">
        <v>112</v>
      </c>
      <c r="C235" s="98">
        <f>SUM(C236)</f>
        <v>400</v>
      </c>
      <c r="D235" s="98">
        <f t="shared" ref="D235:I235" si="104">SUM(D236)</f>
        <v>167</v>
      </c>
      <c r="E235" s="98">
        <f t="shared" si="104"/>
        <v>167</v>
      </c>
      <c r="F235" s="54">
        <f t="shared" si="101"/>
        <v>100</v>
      </c>
      <c r="G235" s="281">
        <f>SUM(G236)</f>
        <v>706.84</v>
      </c>
      <c r="H235" s="281">
        <f t="shared" si="104"/>
        <v>294.52</v>
      </c>
      <c r="I235" s="281">
        <f t="shared" si="104"/>
        <v>299.74659999999994</v>
      </c>
      <c r="J235" s="54">
        <f t="shared" si="102"/>
        <v>101.77461632486757</v>
      </c>
      <c r="K235" s="48"/>
    </row>
    <row r="236" spans="1:11" ht="30" x14ac:dyDescent="0.25">
      <c r="A236" s="49">
        <v>1</v>
      </c>
      <c r="B236" s="146" t="s">
        <v>108</v>
      </c>
      <c r="C236" s="98">
        <v>400</v>
      </c>
      <c r="D236" s="150">
        <f>ROUND(C236/12*$B$3,0)</f>
        <v>167</v>
      </c>
      <c r="E236" s="98">
        <v>167</v>
      </c>
      <c r="F236" s="98">
        <f t="shared" si="101"/>
        <v>100</v>
      </c>
      <c r="G236" s="281">
        <f>706840/1000</f>
        <v>706.84</v>
      </c>
      <c r="H236" s="281">
        <f t="shared" ref="H236:H237" si="105">ROUND(G236/12*$B$3,2)</f>
        <v>294.52</v>
      </c>
      <c r="I236" s="281">
        <v>299.74659999999994</v>
      </c>
      <c r="J236" s="306">
        <f t="shared" si="102"/>
        <v>101.77461632486757</v>
      </c>
      <c r="K236" s="48"/>
    </row>
    <row r="237" spans="1:11" ht="31.5" customHeight="1" thickBot="1" x14ac:dyDescent="0.3">
      <c r="A237" s="49">
        <v>1</v>
      </c>
      <c r="B237" s="57" t="s">
        <v>123</v>
      </c>
      <c r="C237" s="54">
        <v>370</v>
      </c>
      <c r="D237" s="50">
        <f>ROUND(C237/12*$B$3,0)</f>
        <v>154</v>
      </c>
      <c r="E237" s="54">
        <v>234</v>
      </c>
      <c r="F237" s="54">
        <f t="shared" si="101"/>
        <v>151.94805194805195</v>
      </c>
      <c r="G237" s="281">
        <v>300.07739999999995</v>
      </c>
      <c r="H237" s="281">
        <f t="shared" si="105"/>
        <v>125.03</v>
      </c>
      <c r="I237" s="281">
        <v>189.77868000000001</v>
      </c>
      <c r="J237" s="54">
        <f t="shared" si="102"/>
        <v>151.78651523634329</v>
      </c>
      <c r="K237" s="48"/>
    </row>
    <row r="238" spans="1:11" ht="15.75" thickBot="1" x14ac:dyDescent="0.3">
      <c r="A238" s="49">
        <v>1</v>
      </c>
      <c r="B238" s="147" t="s">
        <v>3</v>
      </c>
      <c r="C238" s="193"/>
      <c r="D238" s="193"/>
      <c r="E238" s="193"/>
      <c r="F238" s="295"/>
      <c r="G238" s="308">
        <f>G232+G235+G237</f>
        <v>2485.6221300000002</v>
      </c>
      <c r="H238" s="308">
        <f>H232+H235+H237</f>
        <v>1035.67</v>
      </c>
      <c r="I238" s="308">
        <f>I232+I235+I237</f>
        <v>992.24654999999996</v>
      </c>
      <c r="J238" s="193">
        <f t="shared" si="102"/>
        <v>95.807211756640626</v>
      </c>
      <c r="K238" s="48"/>
    </row>
    <row r="239" spans="1:11" ht="15" customHeight="1" thickBot="1" x14ac:dyDescent="0.3">
      <c r="A239" s="49">
        <v>1</v>
      </c>
      <c r="B239" s="338"/>
      <c r="C239" s="55"/>
      <c r="D239" s="55"/>
      <c r="E239" s="55"/>
      <c r="F239" s="319"/>
      <c r="G239" s="174"/>
      <c r="H239" s="174"/>
      <c r="I239" s="174"/>
      <c r="J239" s="316"/>
      <c r="K239" s="48"/>
    </row>
    <row r="240" spans="1:11" ht="15" customHeight="1" x14ac:dyDescent="0.25">
      <c r="A240" s="49">
        <v>1</v>
      </c>
      <c r="B240" s="522" t="s">
        <v>34</v>
      </c>
      <c r="C240" s="144"/>
      <c r="D240" s="144"/>
      <c r="E240" s="144"/>
      <c r="F240" s="144"/>
      <c r="G240" s="178"/>
      <c r="H240" s="178"/>
      <c r="I240" s="178"/>
      <c r="J240" s="144"/>
      <c r="K240" s="48"/>
    </row>
    <row r="241" spans="1:11" ht="33.75" customHeight="1" x14ac:dyDescent="0.25">
      <c r="A241" s="49">
        <v>1</v>
      </c>
      <c r="B241" s="121" t="s">
        <v>120</v>
      </c>
      <c r="C241" s="56">
        <f>SUM(C232,C223,C210,C201,C187,C177,C167,C157,C147,C138,C125,C115,C102,C89,C80,C71,C62,C51,C30,C41)</f>
        <v>136098</v>
      </c>
      <c r="D241" s="56">
        <f>SUM(D232,D223,D210,D201,D187,D177,D167,D157,D147,D138,D125,D115,D102,D89,D80,D71,D62,D51,D30,D41)</f>
        <v>56713</v>
      </c>
      <c r="E241" s="56">
        <f>SUM(E232,E223,E210,E201,E187,E177,E167,E157,E147,E138,E125,E115,E102,E89,E80,E71,E62,E51,E30,E41)</f>
        <v>56002</v>
      </c>
      <c r="F241" s="340">
        <f t="shared" ref="F241:F252" si="106">E241/D241*100</f>
        <v>98.746319186077272</v>
      </c>
      <c r="G241" s="523">
        <f>SUM(G232,G223,G210,G201,G187,G177,G167,G157,G147,G138,G125,G115,G102,G89,G80,G71,G62,G51,G41,G30)</f>
        <v>194960.87882999997</v>
      </c>
      <c r="H241" s="523">
        <f>SUM(H232,H223,H210,H201,H187,H177,H167,H157,H147,H138,H125,H115,H102,H89,H80,H71,H62,H51,H41,H30)</f>
        <v>81233.75</v>
      </c>
      <c r="I241" s="523">
        <f>SUM(I232,I223,I210,I201,I187,I177,I167,I157,I147,I138,I125,I115,I102,I89,I80,I71,I62,I51,I41,I30)</f>
        <v>80361.527799999996</v>
      </c>
      <c r="J241" s="523">
        <f t="shared" ref="J241:J253" si="107">I241/H241*100</f>
        <v>98.926281010048157</v>
      </c>
      <c r="K241" s="48"/>
    </row>
    <row r="242" spans="1:11" ht="30" customHeight="1" x14ac:dyDescent="0.25">
      <c r="A242" s="49">
        <v>1</v>
      </c>
      <c r="B242" s="57" t="s">
        <v>79</v>
      </c>
      <c r="C242" s="56">
        <f t="shared" ref="C242:E243" si="108">SUM(C233,C224,C211,C202,C188,C139,C126,C116,C103,C90,C81,C72,C63,C31)</f>
        <v>103458</v>
      </c>
      <c r="D242" s="56">
        <f t="shared" si="108"/>
        <v>43109</v>
      </c>
      <c r="E242" s="56">
        <f t="shared" si="108"/>
        <v>42558</v>
      </c>
      <c r="F242" s="340">
        <f t="shared" si="106"/>
        <v>98.721844626412121</v>
      </c>
      <c r="G242" s="523">
        <f t="shared" ref="G242:I242" si="109">SUM(G233,G224,G211,G202,G188,G139,G126,G116,G103,G90,G81,G72,G63,G31)</f>
        <v>138915.41019999998</v>
      </c>
      <c r="H242" s="523">
        <f t="shared" si="109"/>
        <v>57881.43</v>
      </c>
      <c r="I242" s="523">
        <f t="shared" si="109"/>
        <v>53912.653250000003</v>
      </c>
      <c r="J242" s="523">
        <f t="shared" si="107"/>
        <v>93.143264169527257</v>
      </c>
      <c r="K242" s="48"/>
    </row>
    <row r="243" spans="1:11" ht="30" customHeight="1" x14ac:dyDescent="0.25">
      <c r="A243" s="49">
        <v>1</v>
      </c>
      <c r="B243" s="57" t="s">
        <v>80</v>
      </c>
      <c r="C243" s="56">
        <f t="shared" si="108"/>
        <v>31037</v>
      </c>
      <c r="D243" s="56">
        <f t="shared" si="108"/>
        <v>12934</v>
      </c>
      <c r="E243" s="56">
        <f t="shared" si="108"/>
        <v>11908</v>
      </c>
      <c r="F243" s="340">
        <f t="shared" si="106"/>
        <v>92.067419205195606</v>
      </c>
      <c r="G243" s="523">
        <f>SUM(G234,G225,G212,G203,G189,G140,G127,G117,G104,G91,G82,G73,G64,G32)</f>
        <v>47279.62343</v>
      </c>
      <c r="H243" s="523">
        <f>SUM(H234,H225,H212,H203,H189,H140,H127,H117,H104,H91,H82,H73,H64,H32)</f>
        <v>19699.839999999997</v>
      </c>
      <c r="I243" s="523">
        <f>SUM(I234,I225,I212,I203,I189,I140,I127,I117,I104,I91,I82,I73,I64,I32)</f>
        <v>18077.301700000004</v>
      </c>
      <c r="J243" s="523">
        <f t="shared" si="107"/>
        <v>91.76369808079663</v>
      </c>
      <c r="K243" s="48"/>
    </row>
    <row r="244" spans="1:11" ht="44.25" customHeight="1" x14ac:dyDescent="0.25">
      <c r="A244" s="49">
        <v>1</v>
      </c>
      <c r="B244" s="57" t="s">
        <v>114</v>
      </c>
      <c r="C244" s="56">
        <f>SUM(C213,C178,C168,C158,C148,C128,C105,C92,C52,C42)</f>
        <v>846</v>
      </c>
      <c r="D244" s="56">
        <f>SUM(D213,D178,D168,D158,D148,D128,D105,D92,D52,D42)</f>
        <v>354</v>
      </c>
      <c r="E244" s="56">
        <f>SUM(E213,E178,E168,E158,E148,E128,E105,E92,E52,E42)</f>
        <v>858</v>
      </c>
      <c r="F244" s="340">
        <f t="shared" si="106"/>
        <v>242.37288135593224</v>
      </c>
      <c r="G244" s="523">
        <f>SUM(G213,G178,G168,G158,G148,G128,G105,G92,G52,G42)</f>
        <v>4626.2663999999995</v>
      </c>
      <c r="H244" s="523">
        <f>SUM(H213,H178,H168,H158,H148,H128,H105,H92,H52,H42)</f>
        <v>1927.6399999999999</v>
      </c>
      <c r="I244" s="523">
        <f>SUM(I213,I178,I168,I158,I148,I128,I105,I92,I52,I42)</f>
        <v>4691.8872000000001</v>
      </c>
      <c r="J244" s="523">
        <f t="shared" si="107"/>
        <v>243.40059347181011</v>
      </c>
      <c r="K244" s="48"/>
    </row>
    <row r="245" spans="1:11" ht="30" customHeight="1" x14ac:dyDescent="0.25">
      <c r="A245" s="49">
        <v>1</v>
      </c>
      <c r="B245" s="57" t="s">
        <v>115</v>
      </c>
      <c r="C245" s="56">
        <f>SUM(C214,C179,C169,C159,C149,C129,C106,C93,C53,C43,C191)</f>
        <v>757</v>
      </c>
      <c r="D245" s="56">
        <f t="shared" ref="D245:E245" si="110">SUM(D214,D179,D169,D159,D149,D129,D106,D93,D53,D43,D191)</f>
        <v>316</v>
      </c>
      <c r="E245" s="56">
        <f t="shared" si="110"/>
        <v>678</v>
      </c>
      <c r="F245" s="340">
        <f t="shared" si="106"/>
        <v>214.55696202531644</v>
      </c>
      <c r="G245" s="56">
        <f t="shared" ref="G245:I245" si="111">SUM(G214,G179,G169,G159,G149,G129,G106,G93,G53,G43,G191)</f>
        <v>4139.5787999999993</v>
      </c>
      <c r="H245" s="56">
        <f t="shared" si="111"/>
        <v>1724.8399999999997</v>
      </c>
      <c r="I245" s="56">
        <f t="shared" si="111"/>
        <v>3679.6856499999994</v>
      </c>
      <c r="J245" s="523">
        <f t="shared" si="107"/>
        <v>213.3348977296445</v>
      </c>
      <c r="K245" s="48"/>
    </row>
    <row r="246" spans="1:11" ht="45" customHeight="1" x14ac:dyDescent="0.25">
      <c r="A246" s="49">
        <v>1</v>
      </c>
      <c r="B246" s="121" t="s">
        <v>112</v>
      </c>
      <c r="C246" s="56">
        <f>SUM(C235,C226,C215,C204,C192,C180,C170,C160,C150,C141,C130,C118,C107,C94,C83,C74,C65,C54,C44,C33)</f>
        <v>150239</v>
      </c>
      <c r="D246" s="56">
        <f>SUM(D235,D226,D215,D204,D192,D180,D170,D160,D150,D141,D130,D118,D107,D94,D83,D74,D65,D54,D44,D33)</f>
        <v>62602</v>
      </c>
      <c r="E246" s="56">
        <f>SUM(E235,E226,E215,E204,E192,E180,E170,E160,E150,E141,E130,E118,E107,E94,E83,E74,E65,E54,E44,E33)</f>
        <v>62941</v>
      </c>
      <c r="F246" s="340">
        <f t="shared" si="106"/>
        <v>100.54151624548737</v>
      </c>
      <c r="G246" s="523">
        <f>SUM(G235,G226,G215,G204,G192,G180,G170,G160,G150,G141,G130,G118,G107,G94,G83,G74,G65,G54,G44,G33)</f>
        <v>299908.21309999999</v>
      </c>
      <c r="H246" s="523">
        <f>SUM(H235,H226,H215,H204,H192,H180,H170,H160,H150,H141,H130,H118,H107,H94,H83,H74,H65,H54,H44,H33)</f>
        <v>124961.78</v>
      </c>
      <c r="I246" s="523">
        <f>SUM(I235,I226,I215,I204,I192,I180,I170,I160,I150,I141,I130,I118,I107,I94,I83,I74,I65,I54,I44,I33)</f>
        <v>118234.78533</v>
      </c>
      <c r="J246" s="523">
        <f t="shared" si="107"/>
        <v>94.616758284012931</v>
      </c>
      <c r="K246" s="48"/>
    </row>
    <row r="247" spans="1:11" ht="30" x14ac:dyDescent="0.25">
      <c r="A247" s="49">
        <v>1</v>
      </c>
      <c r="B247" s="57" t="s">
        <v>108</v>
      </c>
      <c r="C247" s="56">
        <f>SUM(C236,C227,C216,C205,C193,C142,C131,C119,C108,C95,C84,C75,C66,C34)</f>
        <v>20598</v>
      </c>
      <c r="D247" s="56">
        <f>SUM(D236,D227,D216,D205,D193,D142,D131,D119,D108,D95,D84,D75,D66,D34)</f>
        <v>8583</v>
      </c>
      <c r="E247" s="56">
        <f>SUM(E236,E227,E216,E205,E193,E142,E131,E119,E108,E95,E84,E75,E66,E34)</f>
        <v>8323</v>
      </c>
      <c r="F247" s="340">
        <f t="shared" si="106"/>
        <v>96.970756145869743</v>
      </c>
      <c r="G247" s="523">
        <f>SUM(G236,G227,G216,G205,G193,G142,G131,G119,G108,G95,G84,G75,G66,G34)</f>
        <v>36398.725800000007</v>
      </c>
      <c r="H247" s="523">
        <f>SUM(H236,H227,H216,H205,H193,H142,H131,H119,H108,H95,H84,H75,H66,H34)</f>
        <v>15166.15</v>
      </c>
      <c r="I247" s="523">
        <f>SUM(I236,I227,I216,I205,I193,I142,I131,I119,I108,I95,I84,I75,I66,I34)</f>
        <v>14646.40143</v>
      </c>
      <c r="J247" s="523">
        <f t="shared" si="107"/>
        <v>96.572969606656926</v>
      </c>
      <c r="K247" s="48"/>
    </row>
    <row r="248" spans="1:11" ht="63.75" customHeight="1" x14ac:dyDescent="0.25">
      <c r="A248" s="49">
        <v>1</v>
      </c>
      <c r="B248" s="57" t="s">
        <v>119</v>
      </c>
      <c r="C248" s="56">
        <f>SUM(C217,C181,C171,C161,C151,C132,C109,C96,C55,C45,C194)</f>
        <v>105307</v>
      </c>
      <c r="D248" s="56">
        <f t="shared" ref="D248:E248" si="112">SUM(D217,D181,D171,D161,D151,D132,D109,D96,D55,D45,D194)</f>
        <v>43878</v>
      </c>
      <c r="E248" s="56">
        <f t="shared" si="112"/>
        <v>42182</v>
      </c>
      <c r="F248" s="340">
        <f t="shared" si="106"/>
        <v>96.134737225944662</v>
      </c>
      <c r="G248" s="523">
        <f t="shared" ref="G248:I248" si="113">SUM(G217,G181,G171,G161,G151,G132,G109,G96,G55,G45,G194)</f>
        <v>243133.47609999997</v>
      </c>
      <c r="H248" s="523">
        <f t="shared" si="113"/>
        <v>101305.62000000002</v>
      </c>
      <c r="I248" s="523">
        <f t="shared" si="113"/>
        <v>91927.009060000011</v>
      </c>
      <c r="J248" s="523">
        <f t="shared" si="107"/>
        <v>90.742259965439217</v>
      </c>
      <c r="K248" s="48"/>
    </row>
    <row r="249" spans="1:11" ht="45" x14ac:dyDescent="0.25">
      <c r="A249" s="49">
        <v>1</v>
      </c>
      <c r="B249" s="57" t="s">
        <v>109</v>
      </c>
      <c r="C249" s="56">
        <f>SUM(C218,C182,C172,C162,C152,C133,C110,C97,C56,C46,C195)</f>
        <v>24334</v>
      </c>
      <c r="D249" s="56">
        <f t="shared" ref="D249:E249" si="114">SUM(D218,D182,D172,D162,D152,D133,D110,D97,D56,D46,D195)</f>
        <v>10141</v>
      </c>
      <c r="E249" s="56">
        <f t="shared" si="114"/>
        <v>12436</v>
      </c>
      <c r="F249" s="340">
        <f t="shared" si="106"/>
        <v>122.63090425007394</v>
      </c>
      <c r="G249" s="523">
        <f t="shared" ref="G249:I249" si="115">SUM(G218,G182,G172,G162,G152,G133,G110,G97,G56,G46,G195)</f>
        <v>20376.011200000001</v>
      </c>
      <c r="H249" s="523">
        <f t="shared" si="115"/>
        <v>8490.0099999999984</v>
      </c>
      <c r="I249" s="523">
        <f t="shared" si="115"/>
        <v>11661.37484</v>
      </c>
      <c r="J249" s="523">
        <f t="shared" si="107"/>
        <v>137.3540766147508</v>
      </c>
      <c r="K249" s="48"/>
    </row>
    <row r="250" spans="1:11" ht="38.25" customHeight="1" x14ac:dyDescent="0.25">
      <c r="A250" s="49">
        <v>1</v>
      </c>
      <c r="B250" s="146" t="s">
        <v>123</v>
      </c>
      <c r="C250" s="284">
        <f>SUM(C237,C228,C219,C206,C196,C183,C173,C163,C153,C143,C134,C120,C111,C98,C85,C76,C67,C57,C47,C35)</f>
        <v>295944.8</v>
      </c>
      <c r="D250" s="284">
        <f>SUM(D237,D228,D219,D206,D196,D183,D173,D163,D153,D143,D134,D120,D111,D98,D85,D76,D67,D57,D47,D35)</f>
        <v>123311</v>
      </c>
      <c r="E250" s="284">
        <f>SUM(E237,E228,E219,E206,E196,E183,E173,E163,E153,E143,E134,E120,E111,E98,E85,E76,E67,E57,E47,E35)</f>
        <v>124770</v>
      </c>
      <c r="F250" s="340">
        <f t="shared" si="106"/>
        <v>101.18318722579494</v>
      </c>
      <c r="G250" s="284">
        <f>SUM(G237,G228,G219,G206,G196,G183,G173,G163,G153,G143,G134,G120,G111,G98,G85,G76,G67,G57,G47,G35)</f>
        <v>240017.31389999998</v>
      </c>
      <c r="H250" s="284">
        <f>SUM(H237,H228,H219,H206,H196,H183,H173,H163,H153,H143,H134,H120,H111,H98,H85,H76,H67,H57,H47,H35)</f>
        <v>100007.22999999998</v>
      </c>
      <c r="I250" s="284">
        <f>SUM(I237,I228,I219,I206,I196,I183,I173,I163,I153,I143,I134,I120,I111,I98,I85,I76,I67,I57,I47,I35)</f>
        <v>100813.86864000002</v>
      </c>
      <c r="J250" s="524">
        <f t="shared" si="107"/>
        <v>100.80658032424259</v>
      </c>
      <c r="K250" s="48"/>
    </row>
    <row r="251" spans="1:11" ht="30.75" customHeight="1" x14ac:dyDescent="0.25">
      <c r="A251" s="49">
        <v>1</v>
      </c>
      <c r="B251" s="146" t="s">
        <v>124</v>
      </c>
      <c r="C251" s="284">
        <f>SUM(C121,C36)</f>
        <v>25864.400000000001</v>
      </c>
      <c r="D251" s="284">
        <f>SUM(D121,D36)</f>
        <v>10777</v>
      </c>
      <c r="E251" s="284">
        <f>SUM(E121,E36)</f>
        <v>10544</v>
      </c>
      <c r="F251" s="340">
        <f t="shared" si="106"/>
        <v>97.837988308434632</v>
      </c>
      <c r="G251" s="284">
        <f>SUM(G121,G36)</f>
        <v>20976.617719373913</v>
      </c>
      <c r="H251" s="284">
        <f>SUM(H121,H36)</f>
        <v>8740.26</v>
      </c>
      <c r="I251" s="284">
        <f>SUM(I121,I36)</f>
        <v>8532.1251999999986</v>
      </c>
      <c r="J251" s="524">
        <f t="shared" si="107"/>
        <v>97.618665806280347</v>
      </c>
      <c r="K251" s="48"/>
    </row>
    <row r="252" spans="1:11" ht="26.25" customHeight="1" thickBot="1" x14ac:dyDescent="0.3">
      <c r="A252" s="49">
        <v>1</v>
      </c>
      <c r="B252" s="146" t="s">
        <v>125</v>
      </c>
      <c r="C252" s="284">
        <f>SUM(C197,C58,C37)</f>
        <v>9471.6</v>
      </c>
      <c r="D252" s="284">
        <f>SUM(D197,D58,D37)</f>
        <v>3947</v>
      </c>
      <c r="E252" s="284">
        <f>SUM(E197,E58,E37)</f>
        <v>5000</v>
      </c>
      <c r="F252" s="340">
        <f t="shared" si="106"/>
        <v>126.67848999239931</v>
      </c>
      <c r="G252" s="284">
        <f>SUM(G197,G58,G37)</f>
        <v>7681.7064666208862</v>
      </c>
      <c r="H252" s="284">
        <f>SUM(H197,H58,H37)</f>
        <v>3200.7200000000003</v>
      </c>
      <c r="I252" s="284">
        <f>SUM(I197,I58,I37)</f>
        <v>4048.4460799999997</v>
      </c>
      <c r="J252" s="524">
        <f t="shared" si="107"/>
        <v>126.48548076682744</v>
      </c>
      <c r="K252" s="48"/>
    </row>
    <row r="253" spans="1:11" ht="15" customHeight="1" thickBot="1" x14ac:dyDescent="0.3">
      <c r="A253" s="49">
        <v>1</v>
      </c>
      <c r="B253" s="235" t="s">
        <v>116</v>
      </c>
      <c r="C253" s="525">
        <f>SUM(C238,C229,C220,C207,C198,C184,C174,C164,C154,C144,C135,C122,C112,C99,C86,C77,C68,C59,C48,C38)</f>
        <v>0</v>
      </c>
      <c r="D253" s="525">
        <f>SUM(D238,D229,D220,D207,D198,D184,D174,D164,D154,D144,D135,D122,D112,D99,D86,D77,D68,D59,D48,D38)</f>
        <v>0</v>
      </c>
      <c r="E253" s="525">
        <f>SUM(E238,E229,E220,E207,E198,E184,E174,E164,E154,E144,E135,E122,E112,E99,E86,E77,E68,E59,E48,E38)</f>
        <v>0</v>
      </c>
      <c r="F253" s="295">
        <f>SUM(F220,F184,F174,F135,F112,F99,F59,F48)</f>
        <v>0</v>
      </c>
      <c r="G253" s="526">
        <f>SUM(G238,G229,G220,G207,G198,G184,G174,G164,G154,G144,G135,G122,G112,G99,G86,G77,G68,G59,G48,G38)</f>
        <v>734886.40583000006</v>
      </c>
      <c r="H253" s="526">
        <f>SUM(H238,H229,H220,H207,H198,H184,H174,H164,H154,H144,H135,H122,H112,H99,H86,H77,H68,H59,H48,H38)</f>
        <v>306202.75999999995</v>
      </c>
      <c r="I253" s="526">
        <f>SUM(I238,I229,I220,I207,I198,I184,I174,I164,I154,I144,I135,I122,I112,I99,I86,I77,I68,I59,I48,I38)</f>
        <v>299410.18177000002</v>
      </c>
      <c r="J253" s="193">
        <f t="shared" si="107"/>
        <v>97.781673088119803</v>
      </c>
      <c r="K253" s="48"/>
    </row>
    <row r="254" spans="1:11" ht="15" customHeight="1" x14ac:dyDescent="0.25">
      <c r="A254" s="49">
        <v>1</v>
      </c>
      <c r="B254" s="51"/>
      <c r="C254" s="527"/>
      <c r="D254" s="527"/>
      <c r="E254" s="527"/>
      <c r="F254" s="316"/>
      <c r="G254" s="181"/>
      <c r="H254" s="181"/>
      <c r="I254" s="181"/>
      <c r="J254" s="73"/>
      <c r="K254" s="48"/>
    </row>
    <row r="255" spans="1:11" ht="15" customHeight="1" thickBot="1" x14ac:dyDescent="0.3">
      <c r="A255" s="49">
        <v>1</v>
      </c>
      <c r="B255" s="528" t="s">
        <v>90</v>
      </c>
      <c r="C255" s="76"/>
      <c r="D255" s="76"/>
      <c r="E255" s="76"/>
      <c r="F255" s="76"/>
      <c r="G255" s="179"/>
      <c r="H255" s="179"/>
      <c r="I255" s="179"/>
      <c r="J255" s="336"/>
      <c r="K255" s="48"/>
    </row>
    <row r="256" spans="1:11" ht="29.25" customHeight="1" x14ac:dyDescent="0.25">
      <c r="A256" s="49">
        <v>1</v>
      </c>
      <c r="B256" s="529" t="s">
        <v>36</v>
      </c>
      <c r="C256" s="62"/>
      <c r="D256" s="62"/>
      <c r="E256" s="62"/>
      <c r="F256" s="62"/>
      <c r="G256" s="337"/>
      <c r="H256" s="337"/>
      <c r="I256" s="173"/>
      <c r="J256" s="62"/>
      <c r="K256" s="48"/>
    </row>
    <row r="257" spans="1:12" ht="30.75" customHeight="1" x14ac:dyDescent="0.25">
      <c r="A257" s="49">
        <v>1</v>
      </c>
      <c r="B257" s="121" t="s">
        <v>120</v>
      </c>
      <c r="C257" s="54">
        <f>SUM(C258:C261)</f>
        <v>2987</v>
      </c>
      <c r="D257" s="54">
        <f>SUM(D258:D261)</f>
        <v>1245</v>
      </c>
      <c r="E257" s="54">
        <f>SUM(E258:E261)</f>
        <v>945</v>
      </c>
      <c r="F257" s="54">
        <f t="shared" ref="F257:F266" si="116">E257/D257*100</f>
        <v>75.903614457831324</v>
      </c>
      <c r="G257" s="281">
        <f>SUM(G258:G261)</f>
        <v>5092.2485500000003</v>
      </c>
      <c r="H257" s="281">
        <f>SUM(H258:H261)</f>
        <v>2121.77</v>
      </c>
      <c r="I257" s="281">
        <f>SUM(I258:I261)</f>
        <v>1778.0141099999996</v>
      </c>
      <c r="J257" s="54">
        <f t="shared" ref="J257:J268" si="117">I257/H257*100</f>
        <v>83.798626147037609</v>
      </c>
      <c r="K257" s="48"/>
    </row>
    <row r="258" spans="1:12" ht="31.5" customHeight="1" x14ac:dyDescent="0.25">
      <c r="A258" s="49">
        <v>1</v>
      </c>
      <c r="B258" s="57" t="s">
        <v>79</v>
      </c>
      <c r="C258" s="54">
        <v>2121</v>
      </c>
      <c r="D258" s="50">
        <f t="shared" ref="D258:D267" si="118">ROUND(C258/12*$B$3,0)</f>
        <v>884</v>
      </c>
      <c r="E258" s="54">
        <v>727</v>
      </c>
      <c r="F258" s="54">
        <f t="shared" si="116"/>
        <v>82.23981900452489</v>
      </c>
      <c r="G258" s="281">
        <v>2919.2939999999999</v>
      </c>
      <c r="H258" s="281">
        <f t="shared" ref="H258:H261" si="119">ROUND(G258/12*$B$3,2)</f>
        <v>1216.3699999999999</v>
      </c>
      <c r="I258" s="281">
        <v>674.05598999999972</v>
      </c>
      <c r="J258" s="54">
        <f t="shared" si="117"/>
        <v>55.415374433766033</v>
      </c>
      <c r="K258" s="48"/>
    </row>
    <row r="259" spans="1:12" ht="30" customHeight="1" x14ac:dyDescent="0.25">
      <c r="A259" s="49">
        <v>1</v>
      </c>
      <c r="B259" s="57" t="s">
        <v>80</v>
      </c>
      <c r="C259" s="54">
        <v>636</v>
      </c>
      <c r="D259" s="50">
        <f t="shared" si="118"/>
        <v>265</v>
      </c>
      <c r="E259" s="54">
        <v>16</v>
      </c>
      <c r="F259" s="54">
        <f t="shared" si="116"/>
        <v>6.0377358490566042</v>
      </c>
      <c r="G259" s="281">
        <v>915.22255000000007</v>
      </c>
      <c r="H259" s="281">
        <f t="shared" si="119"/>
        <v>381.34</v>
      </c>
      <c r="I259" s="281">
        <v>-0.65867999999999938</v>
      </c>
      <c r="J259" s="54">
        <f t="shared" si="117"/>
        <v>-0.17272774951486847</v>
      </c>
      <c r="K259" s="48"/>
    </row>
    <row r="260" spans="1:12" ht="28.5" customHeight="1" x14ac:dyDescent="0.25">
      <c r="A260" s="49">
        <v>1</v>
      </c>
      <c r="B260" s="57" t="s">
        <v>114</v>
      </c>
      <c r="C260" s="54">
        <v>130</v>
      </c>
      <c r="D260" s="50">
        <f t="shared" si="118"/>
        <v>54</v>
      </c>
      <c r="E260" s="54">
        <v>101</v>
      </c>
      <c r="F260" s="54">
        <f t="shared" si="116"/>
        <v>187.03703703703704</v>
      </c>
      <c r="G260" s="281">
        <v>710.89200000000005</v>
      </c>
      <c r="H260" s="281">
        <f t="shared" si="119"/>
        <v>296.20999999999998</v>
      </c>
      <c r="I260" s="281">
        <v>552.30840000000001</v>
      </c>
      <c r="J260" s="54">
        <f t="shared" si="117"/>
        <v>186.45839100638062</v>
      </c>
      <c r="K260" s="48"/>
    </row>
    <row r="261" spans="1:12" ht="33.75" customHeight="1" x14ac:dyDescent="0.25">
      <c r="A261" s="49">
        <v>1</v>
      </c>
      <c r="B261" s="57" t="s">
        <v>115</v>
      </c>
      <c r="C261" s="54">
        <v>100</v>
      </c>
      <c r="D261" s="50">
        <f t="shared" si="118"/>
        <v>42</v>
      </c>
      <c r="E261" s="54">
        <v>101</v>
      </c>
      <c r="F261" s="54">
        <f t="shared" si="116"/>
        <v>240.47619047619045</v>
      </c>
      <c r="G261" s="281">
        <v>546.84</v>
      </c>
      <c r="H261" s="281">
        <f t="shared" si="119"/>
        <v>227.85</v>
      </c>
      <c r="I261" s="281">
        <v>552.30840000000001</v>
      </c>
      <c r="J261" s="54">
        <f t="shared" si="117"/>
        <v>242.4</v>
      </c>
      <c r="K261" s="48"/>
    </row>
    <row r="262" spans="1:12" ht="30" x14ac:dyDescent="0.25">
      <c r="A262" s="49">
        <v>1</v>
      </c>
      <c r="B262" s="121" t="s">
        <v>112</v>
      </c>
      <c r="C262" s="54">
        <f>SUM(C263:C265)</f>
        <v>6270</v>
      </c>
      <c r="D262" s="54">
        <f>SUM(D263:D265)</f>
        <v>2613</v>
      </c>
      <c r="E262" s="54">
        <f>SUM(E263:E265)</f>
        <v>482</v>
      </c>
      <c r="F262" s="54">
        <f t="shared" si="116"/>
        <v>18.446230386528896</v>
      </c>
      <c r="G262" s="281">
        <f>SUM(G263:G265)</f>
        <v>11715.552</v>
      </c>
      <c r="H262" s="281">
        <f>SUM(H263:H265)</f>
        <v>4881.4799999999996</v>
      </c>
      <c r="I262" s="281">
        <f>SUM(I263:I265)</f>
        <v>721.30865999999992</v>
      </c>
      <c r="J262" s="54">
        <f t="shared" si="117"/>
        <v>14.776433786474593</v>
      </c>
      <c r="K262" s="48"/>
    </row>
    <row r="263" spans="1:12" ht="30" x14ac:dyDescent="0.25">
      <c r="A263" s="49">
        <v>1</v>
      </c>
      <c r="B263" s="57" t="s">
        <v>108</v>
      </c>
      <c r="C263" s="54">
        <v>720</v>
      </c>
      <c r="D263" s="50">
        <f t="shared" si="118"/>
        <v>300</v>
      </c>
      <c r="E263" s="54">
        <v>292</v>
      </c>
      <c r="F263" s="54">
        <f t="shared" si="116"/>
        <v>97.333333333333343</v>
      </c>
      <c r="G263" s="281">
        <f>1272312/1000</f>
        <v>1272.3119999999999</v>
      </c>
      <c r="H263" s="281">
        <f t="shared" ref="H263:H267" si="120">ROUND(G263/12*$B$3,2)</f>
        <v>530.13</v>
      </c>
      <c r="I263" s="281">
        <v>520.79106999999999</v>
      </c>
      <c r="J263" s="54">
        <f t="shared" si="117"/>
        <v>98.238369833814346</v>
      </c>
      <c r="K263" s="48"/>
    </row>
    <row r="264" spans="1:12" ht="43.5" customHeight="1" x14ac:dyDescent="0.25">
      <c r="A264" s="49">
        <v>1</v>
      </c>
      <c r="B264" s="57" t="s">
        <v>118</v>
      </c>
      <c r="C264" s="54">
        <v>4000</v>
      </c>
      <c r="D264" s="50">
        <f t="shared" si="118"/>
        <v>1667</v>
      </c>
      <c r="E264" s="54">
        <v>71</v>
      </c>
      <c r="F264" s="54">
        <f t="shared" si="116"/>
        <v>4.2591481703659273</v>
      </c>
      <c r="G264" s="281">
        <f>9177200/1000</f>
        <v>9177.2000000000007</v>
      </c>
      <c r="H264" s="281">
        <f t="shared" si="120"/>
        <v>3823.83</v>
      </c>
      <c r="I264" s="281">
        <v>111.12699000000001</v>
      </c>
      <c r="J264" s="54">
        <f t="shared" si="117"/>
        <v>2.9061697303488914</v>
      </c>
      <c r="K264" s="48"/>
    </row>
    <row r="265" spans="1:12" ht="28.5" customHeight="1" x14ac:dyDescent="0.25">
      <c r="A265" s="49">
        <v>1</v>
      </c>
      <c r="B265" s="57" t="s">
        <v>109</v>
      </c>
      <c r="C265" s="54">
        <v>1550</v>
      </c>
      <c r="D265" s="50">
        <f t="shared" si="118"/>
        <v>646</v>
      </c>
      <c r="E265" s="54">
        <v>119</v>
      </c>
      <c r="F265" s="54">
        <f t="shared" si="116"/>
        <v>18.421052631578945</v>
      </c>
      <c r="G265" s="281">
        <f>1266040/1000</f>
        <v>1266.04</v>
      </c>
      <c r="H265" s="281">
        <f t="shared" si="120"/>
        <v>527.52</v>
      </c>
      <c r="I265" s="281">
        <v>89.390599999999992</v>
      </c>
      <c r="J265" s="54">
        <f t="shared" si="117"/>
        <v>16.945442826812251</v>
      </c>
      <c r="K265" s="48"/>
    </row>
    <row r="266" spans="1:12" ht="33" customHeight="1" x14ac:dyDescent="0.25">
      <c r="A266" s="49">
        <v>1</v>
      </c>
      <c r="B266" s="57" t="s">
        <v>123</v>
      </c>
      <c r="C266" s="54">
        <v>10781</v>
      </c>
      <c r="D266" s="50">
        <f t="shared" si="118"/>
        <v>4492</v>
      </c>
      <c r="E266" s="54">
        <v>4266</v>
      </c>
      <c r="F266" s="54">
        <f t="shared" si="116"/>
        <v>94.968833481745335</v>
      </c>
      <c r="G266" s="281">
        <v>8743.6066199999987</v>
      </c>
      <c r="H266" s="281">
        <f t="shared" si="120"/>
        <v>3643.17</v>
      </c>
      <c r="I266" s="281">
        <f>3424.63492+I267</f>
        <v>3420.5894800000001</v>
      </c>
      <c r="J266" s="54">
        <f t="shared" si="117"/>
        <v>93.890471210511734</v>
      </c>
      <c r="K266" s="48"/>
    </row>
    <row r="267" spans="1:12" ht="23.25" customHeight="1" thickBot="1" x14ac:dyDescent="0.3">
      <c r="B267" s="351" t="s">
        <v>125</v>
      </c>
      <c r="C267" s="306"/>
      <c r="D267" s="305">
        <f t="shared" si="118"/>
        <v>0</v>
      </c>
      <c r="E267" s="306">
        <v>0</v>
      </c>
      <c r="F267" s="306"/>
      <c r="G267" s="342"/>
      <c r="H267" s="342">
        <f t="shared" si="120"/>
        <v>0</v>
      </c>
      <c r="I267" s="342">
        <v>-4.0454400000000001</v>
      </c>
      <c r="J267" s="306" t="e">
        <f>I267/E267*100</f>
        <v>#DIV/0!</v>
      </c>
      <c r="K267" s="48"/>
    </row>
    <row r="268" spans="1:12" s="410" customFormat="1" ht="15.75" thickBot="1" x14ac:dyDescent="0.3">
      <c r="A268" s="49">
        <v>1</v>
      </c>
      <c r="B268" s="445" t="s">
        <v>3</v>
      </c>
      <c r="C268" s="193"/>
      <c r="D268" s="193"/>
      <c r="E268" s="193"/>
      <c r="F268" s="295"/>
      <c r="G268" s="312">
        <f>G262+G257+G266</f>
        <v>25551.407169999999</v>
      </c>
      <c r="H268" s="312">
        <f>H262+H257+H266</f>
        <v>10646.42</v>
      </c>
      <c r="I268" s="312">
        <f>I262+I257+I266</f>
        <v>5919.9122499999994</v>
      </c>
      <c r="J268" s="193">
        <f t="shared" si="117"/>
        <v>55.604722056804064</v>
      </c>
      <c r="K268" s="48"/>
      <c r="L268" s="485"/>
    </row>
    <row r="269" spans="1:12" ht="15" customHeight="1" thickBot="1" x14ac:dyDescent="0.3">
      <c r="A269" s="49">
        <v>1</v>
      </c>
      <c r="B269" s="49"/>
      <c r="C269" s="530"/>
      <c r="D269" s="530"/>
      <c r="E269" s="530"/>
      <c r="F269" s="531"/>
      <c r="G269" s="180"/>
      <c r="H269" s="180"/>
      <c r="I269" s="180"/>
      <c r="J269" s="532"/>
      <c r="K269" s="48"/>
    </row>
    <row r="270" spans="1:12" ht="15" customHeight="1" x14ac:dyDescent="0.25">
      <c r="A270" s="49">
        <v>1</v>
      </c>
      <c r="B270" s="533" t="s">
        <v>38</v>
      </c>
      <c r="C270" s="71"/>
      <c r="D270" s="71"/>
      <c r="E270" s="71"/>
      <c r="F270" s="71"/>
      <c r="G270" s="534"/>
      <c r="H270" s="534"/>
      <c r="I270" s="534"/>
      <c r="J270" s="535"/>
      <c r="K270" s="48"/>
    </row>
    <row r="271" spans="1:12" ht="45.75" customHeight="1" x14ac:dyDescent="0.25">
      <c r="A271" s="49">
        <v>1</v>
      </c>
      <c r="B271" s="121" t="s">
        <v>120</v>
      </c>
      <c r="C271" s="56">
        <f t="shared" ref="C271:I279" si="121">C257</f>
        <v>2987</v>
      </c>
      <c r="D271" s="56">
        <f t="shared" si="121"/>
        <v>1245</v>
      </c>
      <c r="E271" s="56">
        <f t="shared" si="121"/>
        <v>945</v>
      </c>
      <c r="F271" s="54">
        <f t="shared" si="121"/>
        <v>75.903614457831324</v>
      </c>
      <c r="G271" s="523">
        <f t="shared" si="121"/>
        <v>5092.2485500000003</v>
      </c>
      <c r="H271" s="523">
        <f t="shared" si="121"/>
        <v>2121.77</v>
      </c>
      <c r="I271" s="523">
        <f t="shared" si="121"/>
        <v>1778.0141099999996</v>
      </c>
      <c r="J271" s="56">
        <f t="shared" ref="J271:J278" si="122">I271/H271*100</f>
        <v>83.798626147037609</v>
      </c>
      <c r="K271" s="48"/>
    </row>
    <row r="272" spans="1:12" ht="32.25" customHeight="1" x14ac:dyDescent="0.25">
      <c r="A272" s="49">
        <v>1</v>
      </c>
      <c r="B272" s="57" t="s">
        <v>79</v>
      </c>
      <c r="C272" s="56">
        <f t="shared" si="121"/>
        <v>2121</v>
      </c>
      <c r="D272" s="56">
        <f t="shared" si="121"/>
        <v>884</v>
      </c>
      <c r="E272" s="56">
        <f t="shared" si="121"/>
        <v>727</v>
      </c>
      <c r="F272" s="54">
        <f t="shared" si="121"/>
        <v>82.23981900452489</v>
      </c>
      <c r="G272" s="523">
        <f t="shared" si="121"/>
        <v>2919.2939999999999</v>
      </c>
      <c r="H272" s="523">
        <f t="shared" si="121"/>
        <v>1216.3699999999999</v>
      </c>
      <c r="I272" s="523">
        <f t="shared" si="121"/>
        <v>674.05598999999972</v>
      </c>
      <c r="J272" s="523">
        <f t="shared" si="122"/>
        <v>55.415374433766033</v>
      </c>
      <c r="K272" s="48"/>
    </row>
    <row r="273" spans="1:12" ht="38.25" customHeight="1" x14ac:dyDescent="0.25">
      <c r="A273" s="49">
        <v>1</v>
      </c>
      <c r="B273" s="57" t="s">
        <v>80</v>
      </c>
      <c r="C273" s="56">
        <f t="shared" si="121"/>
        <v>636</v>
      </c>
      <c r="D273" s="56">
        <f t="shared" si="121"/>
        <v>265</v>
      </c>
      <c r="E273" s="56">
        <f t="shared" si="121"/>
        <v>16</v>
      </c>
      <c r="F273" s="54">
        <f t="shared" si="121"/>
        <v>6.0377358490566042</v>
      </c>
      <c r="G273" s="523">
        <f t="shared" si="121"/>
        <v>915.22255000000007</v>
      </c>
      <c r="H273" s="523">
        <f t="shared" si="121"/>
        <v>381.34</v>
      </c>
      <c r="I273" s="523">
        <f t="shared" si="121"/>
        <v>-0.65867999999999938</v>
      </c>
      <c r="J273" s="56">
        <f t="shared" si="122"/>
        <v>-0.17272774951486847</v>
      </c>
      <c r="K273" s="48"/>
    </row>
    <row r="274" spans="1:12" ht="51" customHeight="1" x14ac:dyDescent="0.25">
      <c r="A274" s="49">
        <v>1</v>
      </c>
      <c r="B274" s="57" t="s">
        <v>114</v>
      </c>
      <c r="C274" s="56">
        <f t="shared" si="121"/>
        <v>130</v>
      </c>
      <c r="D274" s="56">
        <f t="shared" si="121"/>
        <v>54</v>
      </c>
      <c r="E274" s="56">
        <f t="shared" si="121"/>
        <v>101</v>
      </c>
      <c r="F274" s="54">
        <f t="shared" si="121"/>
        <v>187.03703703703704</v>
      </c>
      <c r="G274" s="523">
        <f t="shared" si="121"/>
        <v>710.89200000000005</v>
      </c>
      <c r="H274" s="523">
        <f t="shared" si="121"/>
        <v>296.20999999999998</v>
      </c>
      <c r="I274" s="523">
        <f t="shared" si="121"/>
        <v>552.30840000000001</v>
      </c>
      <c r="J274" s="56">
        <f t="shared" si="122"/>
        <v>186.45839100638062</v>
      </c>
      <c r="K274" s="48"/>
    </row>
    <row r="275" spans="1:12" ht="38.25" customHeight="1" x14ac:dyDescent="0.25">
      <c r="A275" s="49">
        <v>1</v>
      </c>
      <c r="B275" s="57" t="s">
        <v>115</v>
      </c>
      <c r="C275" s="56">
        <f t="shared" si="121"/>
        <v>100</v>
      </c>
      <c r="D275" s="56">
        <f t="shared" si="121"/>
        <v>42</v>
      </c>
      <c r="E275" s="56">
        <f t="shared" si="121"/>
        <v>101</v>
      </c>
      <c r="F275" s="54">
        <f t="shared" si="121"/>
        <v>240.47619047619045</v>
      </c>
      <c r="G275" s="523">
        <f t="shared" si="121"/>
        <v>546.84</v>
      </c>
      <c r="H275" s="523">
        <f t="shared" si="121"/>
        <v>227.85</v>
      </c>
      <c r="I275" s="523">
        <f t="shared" si="121"/>
        <v>552.30840000000001</v>
      </c>
      <c r="J275" s="56">
        <f t="shared" si="122"/>
        <v>242.4</v>
      </c>
      <c r="K275" s="48"/>
    </row>
    <row r="276" spans="1:12" ht="30" x14ac:dyDescent="0.25">
      <c r="A276" s="49">
        <v>1</v>
      </c>
      <c r="B276" s="121" t="s">
        <v>112</v>
      </c>
      <c r="C276" s="56">
        <f t="shared" si="121"/>
        <v>6270</v>
      </c>
      <c r="D276" s="56">
        <f t="shared" si="121"/>
        <v>2613</v>
      </c>
      <c r="E276" s="56">
        <f t="shared" si="121"/>
        <v>482</v>
      </c>
      <c r="F276" s="54">
        <f t="shared" si="121"/>
        <v>18.446230386528896</v>
      </c>
      <c r="G276" s="523">
        <f t="shared" si="121"/>
        <v>11715.552</v>
      </c>
      <c r="H276" s="523">
        <f t="shared" si="121"/>
        <v>4881.4799999999996</v>
      </c>
      <c r="I276" s="523">
        <f t="shared" si="121"/>
        <v>721.30865999999992</v>
      </c>
      <c r="J276" s="56">
        <f t="shared" si="122"/>
        <v>14.776433786474593</v>
      </c>
      <c r="K276" s="48"/>
    </row>
    <row r="277" spans="1:12" ht="30" x14ac:dyDescent="0.25">
      <c r="A277" s="49">
        <v>1</v>
      </c>
      <c r="B277" s="57" t="s">
        <v>108</v>
      </c>
      <c r="C277" s="56">
        <f t="shared" si="121"/>
        <v>720</v>
      </c>
      <c r="D277" s="56">
        <f t="shared" si="121"/>
        <v>300</v>
      </c>
      <c r="E277" s="56">
        <f t="shared" si="121"/>
        <v>292</v>
      </c>
      <c r="F277" s="54">
        <f t="shared" si="121"/>
        <v>97.333333333333343</v>
      </c>
      <c r="G277" s="523">
        <f t="shared" si="121"/>
        <v>1272.3119999999999</v>
      </c>
      <c r="H277" s="523">
        <f t="shared" si="121"/>
        <v>530.13</v>
      </c>
      <c r="I277" s="523">
        <f t="shared" si="121"/>
        <v>520.79106999999999</v>
      </c>
      <c r="J277" s="56">
        <f>J263</f>
        <v>98.238369833814346</v>
      </c>
      <c r="K277" s="48"/>
    </row>
    <row r="278" spans="1:12" ht="44.25" customHeight="1" x14ac:dyDescent="0.25">
      <c r="A278" s="49">
        <v>1</v>
      </c>
      <c r="B278" s="57" t="s">
        <v>81</v>
      </c>
      <c r="C278" s="56">
        <f t="shared" si="121"/>
        <v>4000</v>
      </c>
      <c r="D278" s="56">
        <f t="shared" si="121"/>
        <v>1667</v>
      </c>
      <c r="E278" s="56">
        <f t="shared" si="121"/>
        <v>71</v>
      </c>
      <c r="F278" s="54">
        <f t="shared" si="121"/>
        <v>4.2591481703659273</v>
      </c>
      <c r="G278" s="523">
        <f t="shared" si="121"/>
        <v>9177.2000000000007</v>
      </c>
      <c r="H278" s="523">
        <f t="shared" si="121"/>
        <v>3823.83</v>
      </c>
      <c r="I278" s="523">
        <f t="shared" si="121"/>
        <v>111.12699000000001</v>
      </c>
      <c r="J278" s="56">
        <f t="shared" si="122"/>
        <v>2.9061697303488914</v>
      </c>
      <c r="K278" s="48"/>
    </row>
    <row r="279" spans="1:12" ht="44.25" customHeight="1" x14ac:dyDescent="0.25">
      <c r="A279" s="49">
        <v>1</v>
      </c>
      <c r="B279" s="57" t="s">
        <v>109</v>
      </c>
      <c r="C279" s="56">
        <f t="shared" si="121"/>
        <v>1550</v>
      </c>
      <c r="D279" s="56">
        <f t="shared" si="121"/>
        <v>646</v>
      </c>
      <c r="E279" s="56">
        <f t="shared" si="121"/>
        <v>119</v>
      </c>
      <c r="F279" s="54">
        <f t="shared" si="121"/>
        <v>18.421052631578945</v>
      </c>
      <c r="G279" s="523">
        <f t="shared" si="121"/>
        <v>1266.04</v>
      </c>
      <c r="H279" s="523">
        <f t="shared" si="121"/>
        <v>527.52</v>
      </c>
      <c r="I279" s="523">
        <f t="shared" si="121"/>
        <v>89.390599999999992</v>
      </c>
      <c r="J279" s="56">
        <f>J265</f>
        <v>16.945442826812251</v>
      </c>
      <c r="K279" s="48"/>
    </row>
    <row r="280" spans="1:12" ht="38.25" customHeight="1" x14ac:dyDescent="0.25">
      <c r="B280" s="57" t="s">
        <v>123</v>
      </c>
      <c r="C280" s="536">
        <f t="shared" ref="C280:J281" si="123">SUM(C266)</f>
        <v>10781</v>
      </c>
      <c r="D280" s="536">
        <f t="shared" si="123"/>
        <v>4492</v>
      </c>
      <c r="E280" s="536">
        <f t="shared" si="123"/>
        <v>4266</v>
      </c>
      <c r="F280" s="536">
        <f t="shared" si="123"/>
        <v>94.968833481745335</v>
      </c>
      <c r="G280" s="536">
        <f t="shared" si="123"/>
        <v>8743.6066199999987</v>
      </c>
      <c r="H280" s="536">
        <f t="shared" si="123"/>
        <v>3643.17</v>
      </c>
      <c r="I280" s="536">
        <f t="shared" si="123"/>
        <v>3420.5894800000001</v>
      </c>
      <c r="J280" s="536">
        <f t="shared" si="123"/>
        <v>93.890471210511734</v>
      </c>
      <c r="K280" s="48"/>
    </row>
    <row r="281" spans="1:12" ht="28.5" customHeight="1" thickBot="1" x14ac:dyDescent="0.3">
      <c r="B281" s="351" t="s">
        <v>125</v>
      </c>
      <c r="C281" s="536">
        <f t="shared" si="123"/>
        <v>0</v>
      </c>
      <c r="D281" s="536">
        <f t="shared" si="123"/>
        <v>0</v>
      </c>
      <c r="E281" s="536">
        <f t="shared" si="123"/>
        <v>0</v>
      </c>
      <c r="F281" s="536">
        <f t="shared" si="123"/>
        <v>0</v>
      </c>
      <c r="G281" s="536">
        <f t="shared" si="123"/>
        <v>0</v>
      </c>
      <c r="H281" s="536">
        <f t="shared" si="123"/>
        <v>0</v>
      </c>
      <c r="I281" s="536">
        <f t="shared" si="123"/>
        <v>-4.0454400000000001</v>
      </c>
      <c r="J281" s="536" t="e">
        <f t="shared" si="123"/>
        <v>#DIV/0!</v>
      </c>
      <c r="K281" s="48"/>
    </row>
    <row r="282" spans="1:12" s="413" customFormat="1" ht="17.25" customHeight="1" thickBot="1" x14ac:dyDescent="0.3">
      <c r="A282" s="49">
        <v>1</v>
      </c>
      <c r="B282" s="537" t="s">
        <v>117</v>
      </c>
      <c r="C282" s="193"/>
      <c r="D282" s="193"/>
      <c r="E282" s="193"/>
      <c r="F282" s="295"/>
      <c r="G282" s="538">
        <f>G268</f>
        <v>25551.407169999999</v>
      </c>
      <c r="H282" s="538">
        <f>H268</f>
        <v>10646.42</v>
      </c>
      <c r="I282" s="538">
        <f>I268</f>
        <v>5919.9122499999994</v>
      </c>
      <c r="J282" s="538">
        <f>J268</f>
        <v>55.604722056804064</v>
      </c>
      <c r="K282" s="48"/>
      <c r="L282" s="485"/>
    </row>
    <row r="283" spans="1:12" s="413" customFormat="1" ht="17.25" customHeight="1" x14ac:dyDescent="0.25">
      <c r="A283" s="49">
        <v>1</v>
      </c>
      <c r="B283" s="539"/>
      <c r="C283" s="540"/>
      <c r="D283" s="540"/>
      <c r="E283" s="540"/>
      <c r="F283" s="316"/>
      <c r="G283" s="171"/>
      <c r="H283" s="171"/>
      <c r="I283" s="171"/>
      <c r="J283" s="301"/>
      <c r="K283" s="48"/>
      <c r="L283" s="485"/>
    </row>
    <row r="284" spans="1:12" ht="29.25" x14ac:dyDescent="0.25">
      <c r="A284" s="49">
        <v>1</v>
      </c>
      <c r="B284" s="151" t="s">
        <v>39</v>
      </c>
      <c r="C284" s="283"/>
      <c r="D284" s="73"/>
      <c r="E284" s="73"/>
      <c r="F284" s="73"/>
      <c r="G284" s="181"/>
      <c r="H284" s="181"/>
      <c r="I284" s="181"/>
      <c r="J284" s="78"/>
      <c r="K284" s="48"/>
    </row>
    <row r="285" spans="1:12" ht="36" customHeight="1" x14ac:dyDescent="0.25">
      <c r="A285" s="49">
        <v>1</v>
      </c>
      <c r="B285" s="541" t="s">
        <v>120</v>
      </c>
      <c r="C285" s="54">
        <f>SUM(C286:C289)</f>
        <v>4015</v>
      </c>
      <c r="D285" s="54">
        <f>SUM(D286:D289)</f>
        <v>1674</v>
      </c>
      <c r="E285" s="54">
        <f>SUM(E286:E289)</f>
        <v>513</v>
      </c>
      <c r="F285" s="58">
        <f t="shared" ref="F285:F293" si="124">E285/D285*100</f>
        <v>30.64516129032258</v>
      </c>
      <c r="G285" s="281">
        <f>SUM(G286:G289)</f>
        <v>7369.6050500000001</v>
      </c>
      <c r="H285" s="281">
        <f>SUM(H286:H289)</f>
        <v>3070.67</v>
      </c>
      <c r="I285" s="281">
        <f>SUM(I286:I289)</f>
        <v>1221.0264999999999</v>
      </c>
      <c r="J285" s="54">
        <f t="shared" ref="J285:J296" si="125">I285/H285*100</f>
        <v>39.764171988523671</v>
      </c>
      <c r="K285" s="48"/>
    </row>
    <row r="286" spans="1:12" ht="31.5" customHeight="1" x14ac:dyDescent="0.25">
      <c r="A286" s="49">
        <v>1</v>
      </c>
      <c r="B286" s="57" t="s">
        <v>79</v>
      </c>
      <c r="C286" s="54">
        <v>2788</v>
      </c>
      <c r="D286" s="50">
        <f t="shared" ref="D286:D293" si="126">ROUND(C286/12*$B$3,0)</f>
        <v>1162</v>
      </c>
      <c r="E286" s="54">
        <v>385</v>
      </c>
      <c r="F286" s="58">
        <f t="shared" si="124"/>
        <v>33.132530120481931</v>
      </c>
      <c r="G286" s="281">
        <v>3965.808</v>
      </c>
      <c r="H286" s="281">
        <f t="shared" ref="H286:H289" si="127">ROUND(G286/12*$B$3,2)</f>
        <v>1652.42</v>
      </c>
      <c r="I286" s="281">
        <v>527.43597</v>
      </c>
      <c r="J286" s="54">
        <f t="shared" si="125"/>
        <v>31.919001827622516</v>
      </c>
      <c r="K286" s="48"/>
    </row>
    <row r="287" spans="1:12" ht="33" customHeight="1" x14ac:dyDescent="0.25">
      <c r="A287" s="49">
        <v>1</v>
      </c>
      <c r="B287" s="57" t="s">
        <v>80</v>
      </c>
      <c r="C287" s="54">
        <v>837</v>
      </c>
      <c r="D287" s="50">
        <f t="shared" si="126"/>
        <v>349</v>
      </c>
      <c r="E287" s="54">
        <v>1</v>
      </c>
      <c r="F287" s="58">
        <f t="shared" si="124"/>
        <v>0.28653295128939826</v>
      </c>
      <c r="G287" s="281">
        <v>1271.12105</v>
      </c>
      <c r="H287" s="281">
        <f t="shared" si="127"/>
        <v>529.63</v>
      </c>
      <c r="I287" s="281">
        <v>-0.8962699999999999</v>
      </c>
      <c r="J287" s="54">
        <f t="shared" si="125"/>
        <v>-0.16922568585616371</v>
      </c>
      <c r="K287" s="48"/>
    </row>
    <row r="288" spans="1:12" ht="30" x14ac:dyDescent="0.25">
      <c r="A288" s="49">
        <v>1</v>
      </c>
      <c r="B288" s="57" t="s">
        <v>114</v>
      </c>
      <c r="C288" s="54">
        <v>160</v>
      </c>
      <c r="D288" s="50">
        <f t="shared" si="126"/>
        <v>67</v>
      </c>
      <c r="E288" s="54">
        <v>109</v>
      </c>
      <c r="F288" s="58">
        <f t="shared" si="124"/>
        <v>162.68656716417911</v>
      </c>
      <c r="G288" s="281">
        <v>874.94399999999996</v>
      </c>
      <c r="H288" s="281">
        <f t="shared" si="127"/>
        <v>364.56</v>
      </c>
      <c r="I288" s="281">
        <v>596.05560000000003</v>
      </c>
      <c r="J288" s="54">
        <f t="shared" si="125"/>
        <v>163.5</v>
      </c>
      <c r="K288" s="48"/>
    </row>
    <row r="289" spans="1:12" ht="34.5" customHeight="1" x14ac:dyDescent="0.25">
      <c r="A289" s="49">
        <v>1</v>
      </c>
      <c r="B289" s="57" t="s">
        <v>115</v>
      </c>
      <c r="C289" s="54">
        <v>230</v>
      </c>
      <c r="D289" s="50">
        <f t="shared" si="126"/>
        <v>96</v>
      </c>
      <c r="E289" s="54">
        <v>18</v>
      </c>
      <c r="F289" s="58">
        <f t="shared" si="124"/>
        <v>18.75</v>
      </c>
      <c r="G289" s="281">
        <v>1257.732</v>
      </c>
      <c r="H289" s="281">
        <f t="shared" si="127"/>
        <v>524.05999999999995</v>
      </c>
      <c r="I289" s="281">
        <v>98.431200000000004</v>
      </c>
      <c r="J289" s="54">
        <f t="shared" si="125"/>
        <v>18.78242949280617</v>
      </c>
      <c r="K289" s="48"/>
    </row>
    <row r="290" spans="1:12" ht="44.25" customHeight="1" x14ac:dyDescent="0.25">
      <c r="A290" s="49">
        <v>1</v>
      </c>
      <c r="B290" s="121" t="s">
        <v>112</v>
      </c>
      <c r="C290" s="54">
        <f>SUM(C291:C293)</f>
        <v>5859</v>
      </c>
      <c r="D290" s="54">
        <f>SUM(D291:D293)</f>
        <v>2441</v>
      </c>
      <c r="E290" s="54">
        <f>SUM(E291:E293)</f>
        <v>2077</v>
      </c>
      <c r="F290" s="58">
        <f t="shared" si="124"/>
        <v>85.088078656288403</v>
      </c>
      <c r="G290" s="281">
        <f>SUM(G291:G293)</f>
        <v>12236.931200000001</v>
      </c>
      <c r="H290" s="281">
        <f>SUM(H291:H293)</f>
        <v>5098.72</v>
      </c>
      <c r="I290" s="281">
        <f>SUM(I291:I293)</f>
        <v>5421.4316199999994</v>
      </c>
      <c r="J290" s="54">
        <f t="shared" si="125"/>
        <v>106.32926734552983</v>
      </c>
      <c r="K290" s="48"/>
    </row>
    <row r="291" spans="1:12" ht="30" x14ac:dyDescent="0.25">
      <c r="A291" s="49">
        <v>1</v>
      </c>
      <c r="B291" s="57" t="s">
        <v>108</v>
      </c>
      <c r="C291" s="54">
        <v>1000</v>
      </c>
      <c r="D291" s="50">
        <f t="shared" si="126"/>
        <v>417</v>
      </c>
      <c r="E291" s="54">
        <v>276</v>
      </c>
      <c r="F291" s="58">
        <f t="shared" si="124"/>
        <v>66.187050359712231</v>
      </c>
      <c r="G291" s="281">
        <f>1767100/1000</f>
        <v>1767.1</v>
      </c>
      <c r="H291" s="281">
        <f t="shared" ref="H291:H295" si="128">ROUND(G291/12*$B$3,2)</f>
        <v>736.29</v>
      </c>
      <c r="I291" s="281">
        <v>503.98703999999998</v>
      </c>
      <c r="J291" s="54">
        <f t="shared" si="125"/>
        <v>68.449529397384183</v>
      </c>
      <c r="K291" s="48"/>
    </row>
    <row r="292" spans="1:12" ht="45" customHeight="1" x14ac:dyDescent="0.25">
      <c r="A292" s="49">
        <v>1</v>
      </c>
      <c r="B292" s="57" t="s">
        <v>118</v>
      </c>
      <c r="C292" s="54">
        <v>4400</v>
      </c>
      <c r="D292" s="50">
        <f t="shared" si="126"/>
        <v>1833</v>
      </c>
      <c r="E292" s="54">
        <v>1786</v>
      </c>
      <c r="F292" s="58">
        <f t="shared" si="124"/>
        <v>97.435897435897431</v>
      </c>
      <c r="G292" s="281">
        <f>10094920/1000</f>
        <v>10094.92</v>
      </c>
      <c r="H292" s="281">
        <f t="shared" si="128"/>
        <v>4206.22</v>
      </c>
      <c r="I292" s="281">
        <v>4906.0058799999997</v>
      </c>
      <c r="J292" s="54">
        <f t="shared" si="125"/>
        <v>116.63693007022931</v>
      </c>
      <c r="K292" s="48"/>
    </row>
    <row r="293" spans="1:12" ht="45" customHeight="1" x14ac:dyDescent="0.25">
      <c r="A293" s="49">
        <v>1</v>
      </c>
      <c r="B293" s="57" t="s">
        <v>109</v>
      </c>
      <c r="C293" s="54">
        <v>459</v>
      </c>
      <c r="D293" s="50">
        <f t="shared" si="126"/>
        <v>191</v>
      </c>
      <c r="E293" s="54">
        <v>15</v>
      </c>
      <c r="F293" s="58">
        <f t="shared" si="124"/>
        <v>7.8534031413612562</v>
      </c>
      <c r="G293" s="281">
        <f>374911.2/1000</f>
        <v>374.91120000000001</v>
      </c>
      <c r="H293" s="281">
        <f t="shared" si="128"/>
        <v>156.21</v>
      </c>
      <c r="I293" s="281">
        <v>11.438700000000001</v>
      </c>
      <c r="J293" s="54">
        <f t="shared" si="125"/>
        <v>7.3226425965047053</v>
      </c>
      <c r="K293" s="48"/>
    </row>
    <row r="294" spans="1:12" ht="30" x14ac:dyDescent="0.25">
      <c r="B294" s="57" t="s">
        <v>123</v>
      </c>
      <c r="C294" s="54">
        <v>12363</v>
      </c>
      <c r="D294" s="50">
        <f>ROUND(C294/12*$B$3,0)</f>
        <v>5151</v>
      </c>
      <c r="E294" s="54">
        <f>1927+E295</f>
        <v>2424</v>
      </c>
      <c r="F294" s="58">
        <f>E294/D294*100</f>
        <v>47.058823529411761</v>
      </c>
      <c r="G294" s="281">
        <v>10026.64026</v>
      </c>
      <c r="H294" s="281">
        <f t="shared" si="128"/>
        <v>4177.7700000000004</v>
      </c>
      <c r="I294" s="281">
        <f>1561.46774+I295</f>
        <v>1962.52196</v>
      </c>
      <c r="J294" s="54">
        <f>I294/H294*100</f>
        <v>46.975347134954774</v>
      </c>
      <c r="K294" s="48"/>
    </row>
    <row r="295" spans="1:12" ht="15.75" thickBot="1" x14ac:dyDescent="0.3">
      <c r="B295" s="351" t="s">
        <v>125</v>
      </c>
      <c r="C295" s="306">
        <v>6500</v>
      </c>
      <c r="D295" s="50">
        <f>ROUND(C295/12*$B$3,0)</f>
        <v>2708</v>
      </c>
      <c r="E295" s="306">
        <v>497</v>
      </c>
      <c r="F295" s="71">
        <f>E295/D295*100</f>
        <v>18.353028064992614</v>
      </c>
      <c r="G295" s="342">
        <v>5271.63</v>
      </c>
      <c r="H295" s="281">
        <f t="shared" si="128"/>
        <v>2196.5100000000002</v>
      </c>
      <c r="I295" s="342">
        <v>401.05422000000004</v>
      </c>
      <c r="J295" s="54">
        <f>I295/H295*100</f>
        <v>18.2587022139667</v>
      </c>
      <c r="K295" s="48"/>
    </row>
    <row r="296" spans="1:12" s="410" customFormat="1" ht="15.75" thickBot="1" x14ac:dyDescent="0.3">
      <c r="A296" s="49">
        <v>1</v>
      </c>
      <c r="B296" s="409" t="s">
        <v>3</v>
      </c>
      <c r="C296" s="193"/>
      <c r="D296" s="193"/>
      <c r="E296" s="193"/>
      <c r="F296" s="189"/>
      <c r="G296" s="312">
        <f>G290+G285+G294</f>
        <v>29633.176510000001</v>
      </c>
      <c r="H296" s="312">
        <f>H290+H285+H294</f>
        <v>12347.16</v>
      </c>
      <c r="I296" s="312">
        <f>I290+I285+I294</f>
        <v>8604.9800799999994</v>
      </c>
      <c r="J296" s="193">
        <f t="shared" si="125"/>
        <v>69.691978398271331</v>
      </c>
      <c r="K296" s="48"/>
      <c r="L296" s="485"/>
    </row>
    <row r="297" spans="1:12" ht="35.25" customHeight="1" x14ac:dyDescent="0.25">
      <c r="A297" s="49">
        <v>1</v>
      </c>
      <c r="B297" s="542" t="s">
        <v>37</v>
      </c>
      <c r="C297" s="96"/>
      <c r="D297" s="96"/>
      <c r="E297" s="96"/>
      <c r="F297" s="71"/>
      <c r="G297" s="543"/>
      <c r="H297" s="543"/>
      <c r="I297" s="543"/>
      <c r="J297" s="544"/>
      <c r="K297" s="48"/>
    </row>
    <row r="298" spans="1:12" ht="30" x14ac:dyDescent="0.25">
      <c r="A298" s="49">
        <v>1</v>
      </c>
      <c r="B298" s="121" t="s">
        <v>120</v>
      </c>
      <c r="C298" s="56">
        <f t="shared" ref="C298:J308" si="129">C285</f>
        <v>4015</v>
      </c>
      <c r="D298" s="56">
        <f t="shared" si="129"/>
        <v>1674</v>
      </c>
      <c r="E298" s="56">
        <f t="shared" si="129"/>
        <v>513</v>
      </c>
      <c r="F298" s="54">
        <f t="shared" si="129"/>
        <v>30.64516129032258</v>
      </c>
      <c r="G298" s="523">
        <f t="shared" si="129"/>
        <v>7369.6050500000001</v>
      </c>
      <c r="H298" s="523">
        <f t="shared" si="129"/>
        <v>3070.67</v>
      </c>
      <c r="I298" s="523">
        <f t="shared" si="129"/>
        <v>1221.0264999999999</v>
      </c>
      <c r="J298" s="302">
        <f t="shared" si="129"/>
        <v>39.764171988523671</v>
      </c>
      <c r="K298" s="48"/>
    </row>
    <row r="299" spans="1:12" ht="27" customHeight="1" x14ac:dyDescent="0.25">
      <c r="A299" s="49">
        <v>1</v>
      </c>
      <c r="B299" s="57" t="s">
        <v>79</v>
      </c>
      <c r="C299" s="56">
        <f t="shared" si="129"/>
        <v>2788</v>
      </c>
      <c r="D299" s="56">
        <f t="shared" si="129"/>
        <v>1162</v>
      </c>
      <c r="E299" s="56">
        <f t="shared" si="129"/>
        <v>385</v>
      </c>
      <c r="F299" s="54">
        <f t="shared" si="129"/>
        <v>33.132530120481931</v>
      </c>
      <c r="G299" s="523">
        <f t="shared" si="129"/>
        <v>3965.808</v>
      </c>
      <c r="H299" s="523">
        <f t="shared" si="129"/>
        <v>1652.42</v>
      </c>
      <c r="I299" s="523">
        <f t="shared" si="129"/>
        <v>527.43597</v>
      </c>
      <c r="J299" s="302">
        <f t="shared" si="129"/>
        <v>31.919001827622516</v>
      </c>
      <c r="K299" s="48"/>
    </row>
    <row r="300" spans="1:12" ht="27" customHeight="1" x14ac:dyDescent="0.25">
      <c r="A300" s="49">
        <v>1</v>
      </c>
      <c r="B300" s="57" t="s">
        <v>80</v>
      </c>
      <c r="C300" s="56">
        <f t="shared" si="129"/>
        <v>837</v>
      </c>
      <c r="D300" s="56">
        <f t="shared" si="129"/>
        <v>349</v>
      </c>
      <c r="E300" s="56">
        <f t="shared" si="129"/>
        <v>1</v>
      </c>
      <c r="F300" s="54">
        <f t="shared" si="129"/>
        <v>0.28653295128939826</v>
      </c>
      <c r="G300" s="523">
        <f t="shared" si="129"/>
        <v>1271.12105</v>
      </c>
      <c r="H300" s="523">
        <f t="shared" si="129"/>
        <v>529.63</v>
      </c>
      <c r="I300" s="523">
        <f t="shared" si="129"/>
        <v>-0.8962699999999999</v>
      </c>
      <c r="J300" s="302">
        <f t="shared" si="129"/>
        <v>-0.16922568585616371</v>
      </c>
      <c r="K300" s="48"/>
    </row>
    <row r="301" spans="1:12" ht="27" customHeight="1" x14ac:dyDescent="0.25">
      <c r="A301" s="49">
        <v>1</v>
      </c>
      <c r="B301" s="57" t="s">
        <v>114</v>
      </c>
      <c r="C301" s="56">
        <f t="shared" si="129"/>
        <v>160</v>
      </c>
      <c r="D301" s="56">
        <f t="shared" si="129"/>
        <v>67</v>
      </c>
      <c r="E301" s="56">
        <f t="shared" si="129"/>
        <v>109</v>
      </c>
      <c r="F301" s="54">
        <f t="shared" si="129"/>
        <v>162.68656716417911</v>
      </c>
      <c r="G301" s="523">
        <f t="shared" si="129"/>
        <v>874.94399999999996</v>
      </c>
      <c r="H301" s="523">
        <f t="shared" si="129"/>
        <v>364.56</v>
      </c>
      <c r="I301" s="523">
        <f t="shared" si="129"/>
        <v>596.05560000000003</v>
      </c>
      <c r="J301" s="302">
        <f t="shared" si="129"/>
        <v>163.5</v>
      </c>
      <c r="K301" s="48"/>
    </row>
    <row r="302" spans="1:12" ht="27" customHeight="1" x14ac:dyDescent="0.25">
      <c r="A302" s="49">
        <v>1</v>
      </c>
      <c r="B302" s="57" t="s">
        <v>115</v>
      </c>
      <c r="C302" s="56">
        <f t="shared" si="129"/>
        <v>230</v>
      </c>
      <c r="D302" s="56">
        <f t="shared" si="129"/>
        <v>96</v>
      </c>
      <c r="E302" s="56">
        <f t="shared" si="129"/>
        <v>18</v>
      </c>
      <c r="F302" s="54">
        <f t="shared" si="129"/>
        <v>18.75</v>
      </c>
      <c r="G302" s="523">
        <f t="shared" si="129"/>
        <v>1257.732</v>
      </c>
      <c r="H302" s="523">
        <f t="shared" si="129"/>
        <v>524.05999999999995</v>
      </c>
      <c r="I302" s="523">
        <f t="shared" si="129"/>
        <v>98.431200000000004</v>
      </c>
      <c r="J302" s="302">
        <f t="shared" si="129"/>
        <v>18.78242949280617</v>
      </c>
      <c r="K302" s="48"/>
    </row>
    <row r="303" spans="1:12" ht="41.25" customHeight="1" x14ac:dyDescent="0.25">
      <c r="A303" s="49">
        <v>1</v>
      </c>
      <c r="B303" s="121" t="s">
        <v>112</v>
      </c>
      <c r="C303" s="56">
        <f t="shared" si="129"/>
        <v>5859</v>
      </c>
      <c r="D303" s="56">
        <f t="shared" si="129"/>
        <v>2441</v>
      </c>
      <c r="E303" s="56">
        <f t="shared" si="129"/>
        <v>2077</v>
      </c>
      <c r="F303" s="54">
        <f t="shared" si="129"/>
        <v>85.088078656288403</v>
      </c>
      <c r="G303" s="523">
        <f t="shared" si="129"/>
        <v>12236.931200000001</v>
      </c>
      <c r="H303" s="523">
        <f t="shared" si="129"/>
        <v>5098.72</v>
      </c>
      <c r="I303" s="523">
        <f t="shared" si="129"/>
        <v>5421.4316199999994</v>
      </c>
      <c r="J303" s="302">
        <f t="shared" si="129"/>
        <v>106.32926734552983</v>
      </c>
      <c r="K303" s="48"/>
    </row>
    <row r="304" spans="1:12" ht="30" x14ac:dyDescent="0.25">
      <c r="A304" s="49">
        <v>1</v>
      </c>
      <c r="B304" s="57" t="s">
        <v>108</v>
      </c>
      <c r="C304" s="56">
        <f t="shared" si="129"/>
        <v>1000</v>
      </c>
      <c r="D304" s="56">
        <f t="shared" si="129"/>
        <v>417</v>
      </c>
      <c r="E304" s="56">
        <f t="shared" si="129"/>
        <v>276</v>
      </c>
      <c r="F304" s="54">
        <f t="shared" si="129"/>
        <v>66.187050359712231</v>
      </c>
      <c r="G304" s="523">
        <f t="shared" si="129"/>
        <v>1767.1</v>
      </c>
      <c r="H304" s="523">
        <f t="shared" si="129"/>
        <v>736.29</v>
      </c>
      <c r="I304" s="523">
        <f t="shared" si="129"/>
        <v>503.98703999999998</v>
      </c>
      <c r="J304" s="56">
        <f t="shared" si="129"/>
        <v>68.449529397384183</v>
      </c>
      <c r="K304" s="48"/>
    </row>
    <row r="305" spans="1:12" ht="42.75" customHeight="1" x14ac:dyDescent="0.25">
      <c r="A305" s="49">
        <v>1</v>
      </c>
      <c r="B305" s="57" t="s">
        <v>81</v>
      </c>
      <c r="C305" s="56">
        <f t="shared" si="129"/>
        <v>4400</v>
      </c>
      <c r="D305" s="56">
        <f t="shared" si="129"/>
        <v>1833</v>
      </c>
      <c r="E305" s="56">
        <f t="shared" si="129"/>
        <v>1786</v>
      </c>
      <c r="F305" s="54">
        <f t="shared" si="129"/>
        <v>97.435897435897431</v>
      </c>
      <c r="G305" s="523">
        <f t="shared" si="129"/>
        <v>10094.92</v>
      </c>
      <c r="H305" s="523">
        <f t="shared" si="129"/>
        <v>4206.22</v>
      </c>
      <c r="I305" s="523">
        <f t="shared" si="129"/>
        <v>4906.0058799999997</v>
      </c>
      <c r="J305" s="302">
        <f t="shared" si="129"/>
        <v>116.63693007022931</v>
      </c>
      <c r="K305" s="48"/>
    </row>
    <row r="306" spans="1:12" ht="42.75" customHeight="1" x14ac:dyDescent="0.25">
      <c r="A306" s="49">
        <v>1</v>
      </c>
      <c r="B306" s="57" t="s">
        <v>109</v>
      </c>
      <c r="C306" s="56">
        <f t="shared" si="129"/>
        <v>459</v>
      </c>
      <c r="D306" s="56">
        <f t="shared" si="129"/>
        <v>191</v>
      </c>
      <c r="E306" s="56">
        <f t="shared" si="129"/>
        <v>15</v>
      </c>
      <c r="F306" s="54">
        <f t="shared" si="129"/>
        <v>7.8534031413612562</v>
      </c>
      <c r="G306" s="523">
        <f t="shared" si="129"/>
        <v>374.91120000000001</v>
      </c>
      <c r="H306" s="523">
        <f t="shared" si="129"/>
        <v>156.21</v>
      </c>
      <c r="I306" s="523">
        <f t="shared" si="129"/>
        <v>11.438700000000001</v>
      </c>
      <c r="J306" s="523">
        <f t="shared" si="129"/>
        <v>7.3226425965047053</v>
      </c>
      <c r="K306" s="48"/>
    </row>
    <row r="307" spans="1:12" ht="27" customHeight="1" x14ac:dyDescent="0.25">
      <c r="A307" s="49">
        <v>1</v>
      </c>
      <c r="B307" s="57" t="s">
        <v>123</v>
      </c>
      <c r="C307" s="284">
        <f t="shared" si="129"/>
        <v>12363</v>
      </c>
      <c r="D307" s="284">
        <f t="shared" si="129"/>
        <v>5151</v>
      </c>
      <c r="E307" s="284">
        <f t="shared" si="129"/>
        <v>2424</v>
      </c>
      <c r="F307" s="98">
        <f t="shared" si="129"/>
        <v>47.058823529411761</v>
      </c>
      <c r="G307" s="523">
        <f t="shared" si="129"/>
        <v>10026.64026</v>
      </c>
      <c r="H307" s="523">
        <f t="shared" si="129"/>
        <v>4177.7700000000004</v>
      </c>
      <c r="I307" s="523">
        <f t="shared" si="129"/>
        <v>1962.52196</v>
      </c>
      <c r="J307" s="453">
        <f t="shared" si="129"/>
        <v>46.975347134954774</v>
      </c>
      <c r="K307" s="48"/>
    </row>
    <row r="308" spans="1:12" ht="27" customHeight="1" thickBot="1" x14ac:dyDescent="0.3">
      <c r="B308" s="351" t="s">
        <v>125</v>
      </c>
      <c r="C308" s="284">
        <f t="shared" si="129"/>
        <v>6500</v>
      </c>
      <c r="D308" s="284">
        <f t="shared" si="129"/>
        <v>2708</v>
      </c>
      <c r="E308" s="284">
        <f t="shared" si="129"/>
        <v>497</v>
      </c>
      <c r="F308" s="98">
        <f t="shared" si="129"/>
        <v>18.353028064992614</v>
      </c>
      <c r="G308" s="523">
        <f t="shared" si="129"/>
        <v>5271.63</v>
      </c>
      <c r="H308" s="523">
        <f t="shared" si="129"/>
        <v>2196.5100000000002</v>
      </c>
      <c r="I308" s="523">
        <f t="shared" si="129"/>
        <v>401.05422000000004</v>
      </c>
      <c r="J308" s="453">
        <f t="shared" si="129"/>
        <v>18.2587022139667</v>
      </c>
      <c r="K308" s="48"/>
    </row>
    <row r="309" spans="1:12" s="410" customFormat="1" ht="15" customHeight="1" thickBot="1" x14ac:dyDescent="0.3">
      <c r="A309" s="49">
        <v>1</v>
      </c>
      <c r="B309" s="537" t="s">
        <v>117</v>
      </c>
      <c r="C309" s="193">
        <f t="shared" ref="C309:J309" si="130">C296</f>
        <v>0</v>
      </c>
      <c r="D309" s="193">
        <f t="shared" si="130"/>
        <v>0</v>
      </c>
      <c r="E309" s="193">
        <f t="shared" si="130"/>
        <v>0</v>
      </c>
      <c r="F309" s="295">
        <f t="shared" si="130"/>
        <v>0</v>
      </c>
      <c r="G309" s="309">
        <f t="shared" si="130"/>
        <v>29633.176510000001</v>
      </c>
      <c r="H309" s="309">
        <f t="shared" si="130"/>
        <v>12347.16</v>
      </c>
      <c r="I309" s="309">
        <f t="shared" si="130"/>
        <v>8604.9800799999994</v>
      </c>
      <c r="J309" s="193">
        <f t="shared" si="130"/>
        <v>69.691978398271331</v>
      </c>
      <c r="K309" s="48"/>
      <c r="L309" s="485"/>
    </row>
    <row r="310" spans="1:12" x14ac:dyDescent="0.25">
      <c r="A310" s="49">
        <v>1</v>
      </c>
      <c r="B310" s="545"/>
      <c r="C310" s="545"/>
      <c r="D310" s="545"/>
      <c r="E310" s="545"/>
      <c r="F310" s="545"/>
      <c r="G310" s="546"/>
      <c r="H310" s="546"/>
      <c r="I310" s="546"/>
      <c r="J310" s="545"/>
      <c r="K310" s="48"/>
    </row>
    <row r="311" spans="1:12" ht="29.25" customHeight="1" x14ac:dyDescent="0.25">
      <c r="A311" s="49">
        <v>1</v>
      </c>
      <c r="B311" s="547" t="s">
        <v>41</v>
      </c>
      <c r="C311" s="285"/>
      <c r="D311" s="285"/>
      <c r="E311" s="285"/>
      <c r="F311" s="285"/>
      <c r="G311" s="286"/>
      <c r="H311" s="286"/>
      <c r="I311" s="286"/>
      <c r="J311" s="285"/>
      <c r="K311" s="48"/>
    </row>
    <row r="312" spans="1:12" ht="36.75" customHeight="1" x14ac:dyDescent="0.25">
      <c r="A312" s="49">
        <v>1</v>
      </c>
      <c r="B312" s="121" t="s">
        <v>120</v>
      </c>
      <c r="C312" s="54">
        <f>SUM(C313:C316)</f>
        <v>8257</v>
      </c>
      <c r="D312" s="54">
        <f>SUM(D313:D316)</f>
        <v>3440</v>
      </c>
      <c r="E312" s="54">
        <f>SUM(E313:E316)</f>
        <v>3986</v>
      </c>
      <c r="F312" s="54">
        <f t="shared" ref="F312:F320" si="131">E312/D312*100</f>
        <v>115.8720930232558</v>
      </c>
      <c r="G312" s="281">
        <f>SUM(G313:G316)</f>
        <v>13714.10334</v>
      </c>
      <c r="H312" s="281">
        <f>SUM(H313:H316)</f>
        <v>5714.21</v>
      </c>
      <c r="I312" s="281">
        <f>SUM(I313:I316)</f>
        <v>5924.0125400000006</v>
      </c>
      <c r="J312" s="54">
        <f t="shared" ref="J312:J324" si="132">I312/H312*100</f>
        <v>103.67159309860855</v>
      </c>
      <c r="K312" s="48"/>
    </row>
    <row r="313" spans="1:12" ht="38.25" customHeight="1" x14ac:dyDescent="0.25">
      <c r="A313" s="49">
        <v>1</v>
      </c>
      <c r="B313" s="57" t="s">
        <v>79</v>
      </c>
      <c r="C313" s="54">
        <v>6003</v>
      </c>
      <c r="D313" s="50">
        <f t="shared" ref="D313:D321" si="133">ROUND(C313/12*$B$3,0)</f>
        <v>2501</v>
      </c>
      <c r="E313" s="54">
        <v>3063</v>
      </c>
      <c r="F313" s="54">
        <f t="shared" si="131"/>
        <v>122.47101159536184</v>
      </c>
      <c r="G313" s="281">
        <v>8459.4328000000005</v>
      </c>
      <c r="H313" s="281">
        <f t="shared" ref="H313:H316" si="134">ROUND(G313/12*$B$3,2)</f>
        <v>3524.76</v>
      </c>
      <c r="I313" s="281">
        <v>3035.9004100000006</v>
      </c>
      <c r="J313" s="54">
        <f t="shared" si="132"/>
        <v>86.130698544014365</v>
      </c>
      <c r="K313" s="48"/>
    </row>
    <row r="314" spans="1:12" ht="32.25" customHeight="1" x14ac:dyDescent="0.25">
      <c r="A314" s="49">
        <v>1</v>
      </c>
      <c r="B314" s="57" t="s">
        <v>80</v>
      </c>
      <c r="C314" s="54">
        <v>1801</v>
      </c>
      <c r="D314" s="50">
        <f t="shared" si="133"/>
        <v>750</v>
      </c>
      <c r="E314" s="54">
        <v>548</v>
      </c>
      <c r="F314" s="54">
        <f t="shared" si="131"/>
        <v>73.066666666666663</v>
      </c>
      <c r="G314" s="281">
        <v>2777.4853399999997</v>
      </c>
      <c r="H314" s="281">
        <f t="shared" si="134"/>
        <v>1157.29</v>
      </c>
      <c r="I314" s="281">
        <v>837.46212999999989</v>
      </c>
      <c r="J314" s="54">
        <f t="shared" si="132"/>
        <v>72.364068643123147</v>
      </c>
      <c r="K314" s="48"/>
    </row>
    <row r="315" spans="1:12" ht="30" x14ac:dyDescent="0.25">
      <c r="A315" s="49">
        <v>1</v>
      </c>
      <c r="B315" s="57" t="s">
        <v>114</v>
      </c>
      <c r="C315" s="54">
        <v>82</v>
      </c>
      <c r="D315" s="50">
        <f t="shared" si="133"/>
        <v>34</v>
      </c>
      <c r="E315" s="54">
        <v>94</v>
      </c>
      <c r="F315" s="54">
        <f t="shared" si="131"/>
        <v>276.47058823529409</v>
      </c>
      <c r="G315" s="281">
        <v>448.40879999999999</v>
      </c>
      <c r="H315" s="281">
        <f t="shared" si="134"/>
        <v>186.84</v>
      </c>
      <c r="I315" s="281">
        <v>514.02959999999996</v>
      </c>
      <c r="J315" s="54">
        <f t="shared" si="132"/>
        <v>275.11753371868974</v>
      </c>
      <c r="K315" s="48"/>
    </row>
    <row r="316" spans="1:12" ht="30" x14ac:dyDescent="0.25">
      <c r="A316" s="49">
        <v>1</v>
      </c>
      <c r="B316" s="57" t="s">
        <v>115</v>
      </c>
      <c r="C316" s="54">
        <v>371</v>
      </c>
      <c r="D316" s="50">
        <f t="shared" si="133"/>
        <v>155</v>
      </c>
      <c r="E316" s="54">
        <v>281</v>
      </c>
      <c r="F316" s="54">
        <f t="shared" si="131"/>
        <v>181.29032258064518</v>
      </c>
      <c r="G316" s="281">
        <v>2028.7764</v>
      </c>
      <c r="H316" s="281">
        <f t="shared" si="134"/>
        <v>845.32</v>
      </c>
      <c r="I316" s="281">
        <v>1536.6204</v>
      </c>
      <c r="J316" s="54">
        <f t="shared" si="132"/>
        <v>181.77972838688305</v>
      </c>
      <c r="K316" s="48"/>
    </row>
    <row r="317" spans="1:12" ht="30" x14ac:dyDescent="0.25">
      <c r="A317" s="49">
        <v>1</v>
      </c>
      <c r="B317" s="121" t="s">
        <v>112</v>
      </c>
      <c r="C317" s="54">
        <f>SUM(C318:C320)</f>
        <v>14763</v>
      </c>
      <c r="D317" s="54">
        <f>SUM(D318:D320)</f>
        <v>6151</v>
      </c>
      <c r="E317" s="54">
        <f>SUM(E318:E320)</f>
        <v>6303</v>
      </c>
      <c r="F317" s="54">
        <f t="shared" si="131"/>
        <v>102.47114290359292</v>
      </c>
      <c r="G317" s="281">
        <f>SUM(G318:G320)</f>
        <v>29050.4709</v>
      </c>
      <c r="H317" s="281">
        <f>SUM(H318:H320)</f>
        <v>12104.37</v>
      </c>
      <c r="I317" s="281">
        <f>SUM(I318:I320)</f>
        <v>11053.290080000001</v>
      </c>
      <c r="J317" s="54">
        <f t="shared" si="132"/>
        <v>91.316525188836764</v>
      </c>
      <c r="K317" s="48"/>
    </row>
    <row r="318" spans="1:12" ht="30" x14ac:dyDescent="0.25">
      <c r="A318" s="49">
        <v>1</v>
      </c>
      <c r="B318" s="57" t="s">
        <v>108</v>
      </c>
      <c r="C318" s="54">
        <v>3000</v>
      </c>
      <c r="D318" s="50">
        <f t="shared" si="133"/>
        <v>1250</v>
      </c>
      <c r="E318" s="54">
        <v>883</v>
      </c>
      <c r="F318" s="54">
        <f t="shared" si="131"/>
        <v>70.64</v>
      </c>
      <c r="G318" s="281">
        <f>5301300/1000</f>
        <v>5301.3</v>
      </c>
      <c r="H318" s="281">
        <f t="shared" ref="H318:H323" si="135">ROUND(G318/12*$B$3,2)</f>
        <v>2208.88</v>
      </c>
      <c r="I318" s="281">
        <v>1555.3419700000002</v>
      </c>
      <c r="J318" s="54">
        <f t="shared" si="132"/>
        <v>70.413149197783497</v>
      </c>
      <c r="K318" s="48"/>
    </row>
    <row r="319" spans="1:12" ht="65.25" customHeight="1" x14ac:dyDescent="0.25">
      <c r="A319" s="49">
        <v>1</v>
      </c>
      <c r="B319" s="57" t="s">
        <v>118</v>
      </c>
      <c r="C319" s="54">
        <v>9571</v>
      </c>
      <c r="D319" s="50">
        <f t="shared" si="133"/>
        <v>3988</v>
      </c>
      <c r="E319" s="54">
        <v>3741</v>
      </c>
      <c r="F319" s="54">
        <f t="shared" si="131"/>
        <v>93.806419257773328</v>
      </c>
      <c r="G319" s="281">
        <f>21958745.3/1000</f>
        <v>21958.745300000002</v>
      </c>
      <c r="H319" s="281">
        <f t="shared" si="135"/>
        <v>9149.48</v>
      </c>
      <c r="I319" s="281">
        <v>8020.298960000001</v>
      </c>
      <c r="J319" s="54">
        <f t="shared" si="132"/>
        <v>87.658522232957509</v>
      </c>
      <c r="K319" s="48"/>
    </row>
    <row r="320" spans="1:12" ht="45" x14ac:dyDescent="0.25">
      <c r="A320" s="49">
        <v>1</v>
      </c>
      <c r="B320" s="57" t="s">
        <v>109</v>
      </c>
      <c r="C320" s="54">
        <v>2192</v>
      </c>
      <c r="D320" s="50">
        <f t="shared" si="133"/>
        <v>913</v>
      </c>
      <c r="E320" s="54">
        <v>1679</v>
      </c>
      <c r="F320" s="54">
        <f t="shared" si="131"/>
        <v>183.89923329682364</v>
      </c>
      <c r="G320" s="281">
        <f>1790425.6/1000</f>
        <v>1790.4256</v>
      </c>
      <c r="H320" s="281">
        <f t="shared" si="135"/>
        <v>746.01</v>
      </c>
      <c r="I320" s="281">
        <v>1477.64915</v>
      </c>
      <c r="J320" s="54">
        <f t="shared" si="132"/>
        <v>198.07363842307743</v>
      </c>
      <c r="K320" s="48"/>
    </row>
    <row r="321" spans="1:12" ht="30" x14ac:dyDescent="0.25">
      <c r="A321" s="49">
        <v>1</v>
      </c>
      <c r="B321" s="57" t="s">
        <v>123</v>
      </c>
      <c r="C321" s="54">
        <v>33786</v>
      </c>
      <c r="D321" s="50">
        <f t="shared" si="133"/>
        <v>14078</v>
      </c>
      <c r="E321" s="54">
        <f>13507+E322+E323</f>
        <v>14228</v>
      </c>
      <c r="F321" s="54">
        <f>E321/D321*100</f>
        <v>101.06549225742295</v>
      </c>
      <c r="G321" s="281">
        <v>27401.121719999999</v>
      </c>
      <c r="H321" s="281">
        <f t="shared" si="135"/>
        <v>11417.13</v>
      </c>
      <c r="I321" s="281">
        <f>10947.07068+I322+I323</f>
        <v>11528.772370000001</v>
      </c>
      <c r="J321" s="54">
        <f>I321/H321*100</f>
        <v>100.97784968726818</v>
      </c>
      <c r="K321" s="48"/>
    </row>
    <row r="322" spans="1:12" ht="30" x14ac:dyDescent="0.25">
      <c r="A322" s="49">
        <v>1</v>
      </c>
      <c r="B322" s="57" t="s">
        <v>124</v>
      </c>
      <c r="C322" s="54">
        <v>670</v>
      </c>
      <c r="D322" s="50">
        <f>ROUND(C322/12*$B$3,0)</f>
        <v>279</v>
      </c>
      <c r="E322" s="54">
        <v>335</v>
      </c>
      <c r="F322" s="54">
        <f>E322/D322*100</f>
        <v>120.07168458781361</v>
      </c>
      <c r="G322" s="281">
        <v>543.38339999999994</v>
      </c>
      <c r="H322" s="281">
        <f t="shared" si="135"/>
        <v>226.41</v>
      </c>
      <c r="I322" s="281">
        <v>271.00779999999997</v>
      </c>
      <c r="J322" s="54">
        <f t="shared" ref="J322:J323" si="136">I322/H322*100</f>
        <v>119.69780486727618</v>
      </c>
      <c r="K322" s="48"/>
    </row>
    <row r="323" spans="1:12" ht="15.75" thickBot="1" x14ac:dyDescent="0.3">
      <c r="A323" s="49">
        <v>1</v>
      </c>
      <c r="B323" s="57" t="s">
        <v>125</v>
      </c>
      <c r="C323" s="54">
        <v>400</v>
      </c>
      <c r="D323" s="50">
        <f>ROUND(C323/12*$B$3,0)</f>
        <v>167</v>
      </c>
      <c r="E323" s="54">
        <v>386</v>
      </c>
      <c r="F323" s="54">
        <f>E323/D323*100</f>
        <v>231.13772455089818</v>
      </c>
      <c r="G323" s="281">
        <v>324.40799999999996</v>
      </c>
      <c r="H323" s="281">
        <f t="shared" si="135"/>
        <v>135.16999999999999</v>
      </c>
      <c r="I323" s="281">
        <v>310.69388999999995</v>
      </c>
      <c r="J323" s="54">
        <f t="shared" si="136"/>
        <v>229.85417622253456</v>
      </c>
      <c r="K323" s="48"/>
    </row>
    <row r="324" spans="1:12" s="410" customFormat="1" ht="18.75" customHeight="1" thickBot="1" x14ac:dyDescent="0.3">
      <c r="A324" s="49">
        <v>1</v>
      </c>
      <c r="B324" s="409" t="s">
        <v>3</v>
      </c>
      <c r="C324" s="193"/>
      <c r="D324" s="193"/>
      <c r="E324" s="193"/>
      <c r="F324" s="295"/>
      <c r="G324" s="308">
        <f>G317+G312+G321</f>
        <v>70165.695959999997</v>
      </c>
      <c r="H324" s="308">
        <f>H317+H312+H321</f>
        <v>29235.71</v>
      </c>
      <c r="I324" s="308">
        <f>I317+I312+I321</f>
        <v>28506.074990000001</v>
      </c>
      <c r="J324" s="193">
        <f t="shared" si="132"/>
        <v>97.504302067574216</v>
      </c>
      <c r="K324" s="48"/>
      <c r="L324" s="485"/>
    </row>
    <row r="325" spans="1:12" ht="15" customHeight="1" x14ac:dyDescent="0.25">
      <c r="A325" s="49">
        <v>1</v>
      </c>
      <c r="B325" s="51" t="s">
        <v>40</v>
      </c>
      <c r="C325" s="96"/>
      <c r="D325" s="96"/>
      <c r="E325" s="96"/>
      <c r="F325" s="71"/>
      <c r="G325" s="543"/>
      <c r="H325" s="543"/>
      <c r="I325" s="543"/>
      <c r="J325" s="96"/>
      <c r="K325" s="48"/>
    </row>
    <row r="326" spans="1:12" ht="41.25" customHeight="1" x14ac:dyDescent="0.25">
      <c r="A326" s="49">
        <v>1</v>
      </c>
      <c r="B326" s="121" t="s">
        <v>120</v>
      </c>
      <c r="C326" s="56">
        <f t="shared" ref="C326:J337" si="137">C312</f>
        <v>8257</v>
      </c>
      <c r="D326" s="56">
        <f t="shared" si="137"/>
        <v>3440</v>
      </c>
      <c r="E326" s="56">
        <f t="shared" si="137"/>
        <v>3986</v>
      </c>
      <c r="F326" s="54">
        <f t="shared" si="137"/>
        <v>115.8720930232558</v>
      </c>
      <c r="G326" s="523">
        <f t="shared" si="137"/>
        <v>13714.10334</v>
      </c>
      <c r="H326" s="523">
        <f t="shared" si="137"/>
        <v>5714.21</v>
      </c>
      <c r="I326" s="523">
        <f t="shared" si="137"/>
        <v>5924.0125400000006</v>
      </c>
      <c r="J326" s="302">
        <f t="shared" si="137"/>
        <v>103.67159309860855</v>
      </c>
      <c r="K326" s="48"/>
    </row>
    <row r="327" spans="1:12" ht="33.75" customHeight="1" x14ac:dyDescent="0.25">
      <c r="A327" s="49">
        <v>1</v>
      </c>
      <c r="B327" s="57" t="s">
        <v>79</v>
      </c>
      <c r="C327" s="56">
        <f t="shared" si="137"/>
        <v>6003</v>
      </c>
      <c r="D327" s="56">
        <f t="shared" si="137"/>
        <v>2501</v>
      </c>
      <c r="E327" s="56">
        <f t="shared" si="137"/>
        <v>3063</v>
      </c>
      <c r="F327" s="54">
        <f t="shared" si="137"/>
        <v>122.47101159536184</v>
      </c>
      <c r="G327" s="523">
        <f t="shared" si="137"/>
        <v>8459.4328000000005</v>
      </c>
      <c r="H327" s="523">
        <f t="shared" si="137"/>
        <v>3524.76</v>
      </c>
      <c r="I327" s="523">
        <f t="shared" si="137"/>
        <v>3035.9004100000006</v>
      </c>
      <c r="J327" s="302">
        <f t="shared" si="137"/>
        <v>86.130698544014365</v>
      </c>
      <c r="K327" s="48"/>
    </row>
    <row r="328" spans="1:12" ht="33.75" customHeight="1" x14ac:dyDescent="0.25">
      <c r="A328" s="49">
        <v>1</v>
      </c>
      <c r="B328" s="57" t="s">
        <v>80</v>
      </c>
      <c r="C328" s="56">
        <f t="shared" si="137"/>
        <v>1801</v>
      </c>
      <c r="D328" s="56">
        <f t="shared" si="137"/>
        <v>750</v>
      </c>
      <c r="E328" s="56">
        <f t="shared" si="137"/>
        <v>548</v>
      </c>
      <c r="F328" s="54">
        <f t="shared" si="137"/>
        <v>73.066666666666663</v>
      </c>
      <c r="G328" s="523">
        <f t="shared" si="137"/>
        <v>2777.4853399999997</v>
      </c>
      <c r="H328" s="523">
        <f t="shared" si="137"/>
        <v>1157.29</v>
      </c>
      <c r="I328" s="523">
        <f t="shared" si="137"/>
        <v>837.46212999999989</v>
      </c>
      <c r="J328" s="302">
        <f t="shared" si="137"/>
        <v>72.364068643123147</v>
      </c>
      <c r="K328" s="48"/>
    </row>
    <row r="329" spans="1:12" ht="47.25" customHeight="1" x14ac:dyDescent="0.25">
      <c r="A329" s="49">
        <v>1</v>
      </c>
      <c r="B329" s="57" t="s">
        <v>114</v>
      </c>
      <c r="C329" s="56">
        <f t="shared" si="137"/>
        <v>82</v>
      </c>
      <c r="D329" s="56">
        <f t="shared" si="137"/>
        <v>34</v>
      </c>
      <c r="E329" s="56">
        <f t="shared" si="137"/>
        <v>94</v>
      </c>
      <c r="F329" s="54">
        <f t="shared" si="137"/>
        <v>276.47058823529409</v>
      </c>
      <c r="G329" s="523">
        <f t="shared" si="137"/>
        <v>448.40879999999999</v>
      </c>
      <c r="H329" s="523">
        <f t="shared" si="137"/>
        <v>186.84</v>
      </c>
      <c r="I329" s="523">
        <f t="shared" si="137"/>
        <v>514.02959999999996</v>
      </c>
      <c r="J329" s="302">
        <f t="shared" si="137"/>
        <v>275.11753371868974</v>
      </c>
      <c r="K329" s="48"/>
    </row>
    <row r="330" spans="1:12" ht="33.75" customHeight="1" x14ac:dyDescent="0.25">
      <c r="A330" s="49">
        <v>1</v>
      </c>
      <c r="B330" s="57" t="s">
        <v>115</v>
      </c>
      <c r="C330" s="56">
        <f t="shared" si="137"/>
        <v>371</v>
      </c>
      <c r="D330" s="56">
        <f t="shared" si="137"/>
        <v>155</v>
      </c>
      <c r="E330" s="56">
        <f t="shared" si="137"/>
        <v>281</v>
      </c>
      <c r="F330" s="54">
        <f t="shared" si="137"/>
        <v>181.29032258064518</v>
      </c>
      <c r="G330" s="523">
        <f t="shared" si="137"/>
        <v>2028.7764</v>
      </c>
      <c r="H330" s="523">
        <f t="shared" si="137"/>
        <v>845.32</v>
      </c>
      <c r="I330" s="523">
        <f t="shared" si="137"/>
        <v>1536.6204</v>
      </c>
      <c r="J330" s="302">
        <f t="shared" si="137"/>
        <v>181.77972838688305</v>
      </c>
      <c r="K330" s="48"/>
    </row>
    <row r="331" spans="1:12" ht="28.5" customHeight="1" x14ac:dyDescent="0.25">
      <c r="A331" s="49">
        <v>1</v>
      </c>
      <c r="B331" s="121" t="s">
        <v>112</v>
      </c>
      <c r="C331" s="56">
        <f t="shared" si="137"/>
        <v>14763</v>
      </c>
      <c r="D331" s="56">
        <f t="shared" si="137"/>
        <v>6151</v>
      </c>
      <c r="E331" s="56">
        <f t="shared" si="137"/>
        <v>6303</v>
      </c>
      <c r="F331" s="54">
        <f t="shared" si="137"/>
        <v>102.47114290359292</v>
      </c>
      <c r="G331" s="523">
        <f t="shared" si="137"/>
        <v>29050.4709</v>
      </c>
      <c r="H331" s="523">
        <f t="shared" si="137"/>
        <v>12104.37</v>
      </c>
      <c r="I331" s="523">
        <f t="shared" si="137"/>
        <v>11053.290080000001</v>
      </c>
      <c r="J331" s="302">
        <f t="shared" si="137"/>
        <v>91.316525188836764</v>
      </c>
      <c r="K331" s="48"/>
    </row>
    <row r="332" spans="1:12" ht="30" x14ac:dyDescent="0.25">
      <c r="A332" s="49">
        <v>1</v>
      </c>
      <c r="B332" s="57" t="s">
        <v>108</v>
      </c>
      <c r="C332" s="56">
        <f t="shared" si="137"/>
        <v>3000</v>
      </c>
      <c r="D332" s="56">
        <f t="shared" si="137"/>
        <v>1250</v>
      </c>
      <c r="E332" s="56">
        <f t="shared" si="137"/>
        <v>883</v>
      </c>
      <c r="F332" s="54">
        <f t="shared" si="137"/>
        <v>70.64</v>
      </c>
      <c r="G332" s="523">
        <f t="shared" si="137"/>
        <v>5301.3</v>
      </c>
      <c r="H332" s="523">
        <f t="shared" si="137"/>
        <v>2208.88</v>
      </c>
      <c r="I332" s="523">
        <f t="shared" si="137"/>
        <v>1555.3419700000002</v>
      </c>
      <c r="J332" s="56">
        <f t="shared" si="137"/>
        <v>70.413149197783497</v>
      </c>
      <c r="K332" s="48"/>
    </row>
    <row r="333" spans="1:12" ht="42" customHeight="1" x14ac:dyDescent="0.25">
      <c r="A333" s="49">
        <v>1</v>
      </c>
      <c r="B333" s="57" t="s">
        <v>81</v>
      </c>
      <c r="C333" s="56">
        <f t="shared" si="137"/>
        <v>9571</v>
      </c>
      <c r="D333" s="56">
        <f t="shared" si="137"/>
        <v>3988</v>
      </c>
      <c r="E333" s="56">
        <f t="shared" si="137"/>
        <v>3741</v>
      </c>
      <c r="F333" s="54">
        <f t="shared" si="137"/>
        <v>93.806419257773328</v>
      </c>
      <c r="G333" s="523">
        <f t="shared" si="137"/>
        <v>21958.745300000002</v>
      </c>
      <c r="H333" s="523">
        <f t="shared" si="137"/>
        <v>9149.48</v>
      </c>
      <c r="I333" s="523">
        <f t="shared" si="137"/>
        <v>8020.298960000001</v>
      </c>
      <c r="J333" s="302">
        <f t="shared" si="137"/>
        <v>87.658522232957509</v>
      </c>
      <c r="K333" s="48"/>
    </row>
    <row r="334" spans="1:12" ht="42" customHeight="1" x14ac:dyDescent="0.25">
      <c r="A334" s="49">
        <v>1</v>
      </c>
      <c r="B334" s="57" t="s">
        <v>109</v>
      </c>
      <c r="C334" s="56">
        <f t="shared" si="137"/>
        <v>2192</v>
      </c>
      <c r="D334" s="56">
        <f t="shared" si="137"/>
        <v>913</v>
      </c>
      <c r="E334" s="56">
        <f t="shared" si="137"/>
        <v>1679</v>
      </c>
      <c r="F334" s="54">
        <f t="shared" si="137"/>
        <v>183.89923329682364</v>
      </c>
      <c r="G334" s="523">
        <f t="shared" si="137"/>
        <v>1790.4256</v>
      </c>
      <c r="H334" s="523">
        <f t="shared" si="137"/>
        <v>746.01</v>
      </c>
      <c r="I334" s="523">
        <f t="shared" si="137"/>
        <v>1477.64915</v>
      </c>
      <c r="J334" s="56">
        <f t="shared" si="137"/>
        <v>198.07363842307743</v>
      </c>
      <c r="K334" s="48"/>
    </row>
    <row r="335" spans="1:12" ht="30" x14ac:dyDescent="0.25">
      <c r="A335" s="49">
        <v>1</v>
      </c>
      <c r="B335" s="57" t="s">
        <v>123</v>
      </c>
      <c r="C335" s="56">
        <f t="shared" si="137"/>
        <v>33786</v>
      </c>
      <c r="D335" s="56">
        <f t="shared" si="137"/>
        <v>14078</v>
      </c>
      <c r="E335" s="56">
        <f t="shared" si="137"/>
        <v>14228</v>
      </c>
      <c r="F335" s="56">
        <f t="shared" si="137"/>
        <v>101.06549225742295</v>
      </c>
      <c r="G335" s="56">
        <f t="shared" si="137"/>
        <v>27401.121719999999</v>
      </c>
      <c r="H335" s="56">
        <f t="shared" si="137"/>
        <v>11417.13</v>
      </c>
      <c r="I335" s="56">
        <f t="shared" si="137"/>
        <v>11528.772370000001</v>
      </c>
      <c r="J335" s="56">
        <f t="shared" si="137"/>
        <v>100.97784968726818</v>
      </c>
      <c r="K335" s="48"/>
    </row>
    <row r="336" spans="1:12" ht="30" x14ac:dyDescent="0.25">
      <c r="A336" s="49">
        <v>1</v>
      </c>
      <c r="B336" s="57" t="s">
        <v>124</v>
      </c>
      <c r="C336" s="56">
        <f t="shared" si="137"/>
        <v>670</v>
      </c>
      <c r="D336" s="56">
        <f t="shared" si="137"/>
        <v>279</v>
      </c>
      <c r="E336" s="56">
        <f t="shared" si="137"/>
        <v>335</v>
      </c>
      <c r="F336" s="56">
        <f t="shared" si="137"/>
        <v>120.07168458781361</v>
      </c>
      <c r="G336" s="56">
        <f t="shared" si="137"/>
        <v>543.38339999999994</v>
      </c>
      <c r="H336" s="56">
        <f t="shared" si="137"/>
        <v>226.41</v>
      </c>
      <c r="I336" s="56">
        <f t="shared" si="137"/>
        <v>271.00779999999997</v>
      </c>
      <c r="J336" s="56">
        <f t="shared" si="137"/>
        <v>119.69780486727618</v>
      </c>
      <c r="K336" s="48"/>
    </row>
    <row r="337" spans="1:12" ht="15.75" thickBot="1" x14ac:dyDescent="0.3">
      <c r="A337" s="49">
        <v>1</v>
      </c>
      <c r="B337" s="57" t="s">
        <v>125</v>
      </c>
      <c r="C337" s="56">
        <f t="shared" si="137"/>
        <v>400</v>
      </c>
      <c r="D337" s="56">
        <f t="shared" si="137"/>
        <v>167</v>
      </c>
      <c r="E337" s="56">
        <f t="shared" si="137"/>
        <v>386</v>
      </c>
      <c r="F337" s="56">
        <f t="shared" si="137"/>
        <v>231.13772455089818</v>
      </c>
      <c r="G337" s="56">
        <f t="shared" si="137"/>
        <v>324.40799999999996</v>
      </c>
      <c r="H337" s="56">
        <f t="shared" si="137"/>
        <v>135.16999999999999</v>
      </c>
      <c r="I337" s="56">
        <f t="shared" si="137"/>
        <v>310.69388999999995</v>
      </c>
      <c r="J337" s="56">
        <f t="shared" si="137"/>
        <v>229.85417622253456</v>
      </c>
      <c r="K337" s="48"/>
    </row>
    <row r="338" spans="1:12" s="410" customFormat="1" ht="15" customHeight="1" thickBot="1" x14ac:dyDescent="0.3">
      <c r="A338" s="49">
        <v>1</v>
      </c>
      <c r="B338" s="235" t="s">
        <v>117</v>
      </c>
      <c r="C338" s="193"/>
      <c r="D338" s="193"/>
      <c r="E338" s="193"/>
      <c r="F338" s="295"/>
      <c r="G338" s="538">
        <f>G331+G326+G335</f>
        <v>70165.695959999997</v>
      </c>
      <c r="H338" s="538">
        <f t="shared" ref="H338:I338" si="138">H331+H326+H335</f>
        <v>29235.71</v>
      </c>
      <c r="I338" s="538">
        <f t="shared" si="138"/>
        <v>28506.074990000001</v>
      </c>
      <c r="J338" s="548">
        <f>J324</f>
        <v>97.504302067574216</v>
      </c>
      <c r="K338" s="48"/>
      <c r="L338" s="485"/>
    </row>
    <row r="339" spans="1:12" ht="37.5" customHeight="1" x14ac:dyDescent="0.25">
      <c r="A339" s="49">
        <v>1</v>
      </c>
      <c r="B339" s="549" t="s">
        <v>49</v>
      </c>
      <c r="C339" s="78"/>
      <c r="D339" s="78"/>
      <c r="E339" s="78"/>
      <c r="F339" s="78"/>
      <c r="G339" s="181"/>
      <c r="H339" s="181"/>
      <c r="I339" s="172"/>
      <c r="J339" s="338"/>
      <c r="K339" s="48"/>
    </row>
    <row r="340" spans="1:12" ht="30.75" customHeight="1" x14ac:dyDescent="0.25">
      <c r="A340" s="49">
        <v>1</v>
      </c>
      <c r="B340" s="121" t="s">
        <v>120</v>
      </c>
      <c r="C340" s="54">
        <f>SUM(C341:C344)</f>
        <v>3368</v>
      </c>
      <c r="D340" s="54">
        <f>SUM(D341:D344)</f>
        <v>1403</v>
      </c>
      <c r="E340" s="54">
        <f>SUM(E341:E344)</f>
        <v>1245</v>
      </c>
      <c r="F340" s="54">
        <f t="shared" ref="F340:F349" si="139">E340/D340*100</f>
        <v>88.738417676407693</v>
      </c>
      <c r="G340" s="281">
        <f>SUM(G341:G344)</f>
        <v>5553.6662100000003</v>
      </c>
      <c r="H340" s="281">
        <f>SUM(H341:H344)</f>
        <v>2314.04</v>
      </c>
      <c r="I340" s="281">
        <f>SUM(I341:I344)</f>
        <v>2158.3475900000003</v>
      </c>
      <c r="J340" s="54">
        <f t="shared" ref="J340:J349" si="140">I340/H340*100</f>
        <v>93.271835836891341</v>
      </c>
      <c r="K340" s="48"/>
    </row>
    <row r="341" spans="1:12" ht="28.5" customHeight="1" x14ac:dyDescent="0.25">
      <c r="A341" s="49">
        <v>1</v>
      </c>
      <c r="B341" s="57" t="s">
        <v>79</v>
      </c>
      <c r="C341" s="54">
        <v>2428</v>
      </c>
      <c r="D341" s="50">
        <f t="shared" ref="D341:D349" si="141">ROUND(C341/12*$B$3,0)</f>
        <v>1012</v>
      </c>
      <c r="E341" s="54">
        <v>936</v>
      </c>
      <c r="F341" s="54">
        <f t="shared" si="139"/>
        <v>92.490118577075094</v>
      </c>
      <c r="G341" s="281">
        <v>3299.7075999999997</v>
      </c>
      <c r="H341" s="281">
        <f t="shared" ref="H341:H344" si="142">ROUND(G341/12*$B$3,2)</f>
        <v>1374.88</v>
      </c>
      <c r="I341" s="281">
        <v>1106.7620900000002</v>
      </c>
      <c r="J341" s="54">
        <f t="shared" si="140"/>
        <v>80.498813714651462</v>
      </c>
      <c r="K341" s="48"/>
    </row>
    <row r="342" spans="1:12" ht="26.25" customHeight="1" x14ac:dyDescent="0.25">
      <c r="A342" s="49">
        <v>1</v>
      </c>
      <c r="B342" s="57" t="s">
        <v>80</v>
      </c>
      <c r="C342" s="54">
        <v>728</v>
      </c>
      <c r="D342" s="50">
        <f t="shared" si="141"/>
        <v>303</v>
      </c>
      <c r="E342" s="54">
        <v>112</v>
      </c>
      <c r="F342" s="54">
        <f t="shared" si="139"/>
        <v>36.963696369636963</v>
      </c>
      <c r="G342" s="281">
        <v>1094.6578100000002</v>
      </c>
      <c r="H342" s="281">
        <f t="shared" si="142"/>
        <v>456.11</v>
      </c>
      <c r="I342" s="281">
        <v>-25.68929999999996</v>
      </c>
      <c r="J342" s="54">
        <f t="shared" si="140"/>
        <v>-5.6322597618995331</v>
      </c>
      <c r="K342" s="48"/>
    </row>
    <row r="343" spans="1:12" ht="30" x14ac:dyDescent="0.25">
      <c r="A343" s="49">
        <v>1</v>
      </c>
      <c r="B343" s="57" t="s">
        <v>114</v>
      </c>
      <c r="C343" s="54">
        <v>36</v>
      </c>
      <c r="D343" s="50">
        <f t="shared" si="141"/>
        <v>15</v>
      </c>
      <c r="E343" s="54">
        <v>40</v>
      </c>
      <c r="F343" s="54">
        <f t="shared" si="139"/>
        <v>266.66666666666663</v>
      </c>
      <c r="G343" s="281">
        <v>196.86240000000001</v>
      </c>
      <c r="H343" s="281">
        <f t="shared" si="142"/>
        <v>82.03</v>
      </c>
      <c r="I343" s="281">
        <v>218.73599999999996</v>
      </c>
      <c r="J343" s="54">
        <f t="shared" si="140"/>
        <v>266.65366329391679</v>
      </c>
      <c r="K343" s="48"/>
    </row>
    <row r="344" spans="1:12" ht="30" x14ac:dyDescent="0.25">
      <c r="A344" s="49">
        <v>1</v>
      </c>
      <c r="B344" s="57" t="s">
        <v>115</v>
      </c>
      <c r="C344" s="54">
        <v>176</v>
      </c>
      <c r="D344" s="50">
        <f t="shared" si="141"/>
        <v>73</v>
      </c>
      <c r="E344" s="54">
        <v>157</v>
      </c>
      <c r="F344" s="54">
        <f t="shared" si="139"/>
        <v>215.06849315068496</v>
      </c>
      <c r="G344" s="281">
        <v>962.43839999999989</v>
      </c>
      <c r="H344" s="281">
        <f t="shared" si="142"/>
        <v>401.02</v>
      </c>
      <c r="I344" s="281">
        <v>858.53880000000004</v>
      </c>
      <c r="J344" s="54">
        <f t="shared" si="140"/>
        <v>214.08877362725053</v>
      </c>
      <c r="K344" s="48"/>
    </row>
    <row r="345" spans="1:12" ht="30" x14ac:dyDescent="0.25">
      <c r="A345" s="49">
        <v>1</v>
      </c>
      <c r="B345" s="121" t="s">
        <v>112</v>
      </c>
      <c r="C345" s="54">
        <f>SUM(C346:C348)</f>
        <v>5552</v>
      </c>
      <c r="D345" s="54">
        <f>SUM(D346:D348)</f>
        <v>2313</v>
      </c>
      <c r="E345" s="54">
        <f>SUM(E346:E348)</f>
        <v>2083</v>
      </c>
      <c r="F345" s="54">
        <f t="shared" si="139"/>
        <v>90.056204063986172</v>
      </c>
      <c r="G345" s="281">
        <f>SUM(G346:G348)</f>
        <v>10392.8236</v>
      </c>
      <c r="H345" s="281">
        <f>SUM(H346:H348)</f>
        <v>4330.3500000000004</v>
      </c>
      <c r="I345" s="281">
        <f>SUM(I346:I348)</f>
        <v>4135.3301000000001</v>
      </c>
      <c r="J345" s="54">
        <f t="shared" si="140"/>
        <v>95.4964402415509</v>
      </c>
      <c r="K345" s="48"/>
    </row>
    <row r="346" spans="1:12" ht="30" x14ac:dyDescent="0.25">
      <c r="A346" s="49">
        <v>1</v>
      </c>
      <c r="B346" s="57" t="s">
        <v>108</v>
      </c>
      <c r="C346" s="54">
        <v>1500</v>
      </c>
      <c r="D346" s="50">
        <f t="shared" si="141"/>
        <v>625</v>
      </c>
      <c r="E346" s="54">
        <v>412</v>
      </c>
      <c r="F346" s="54">
        <f t="shared" si="139"/>
        <v>65.92</v>
      </c>
      <c r="G346" s="281">
        <f>2650650/1000</f>
        <v>2650.65</v>
      </c>
      <c r="H346" s="281">
        <f t="shared" ref="H346:H349" si="143">ROUND(G346/12*$B$3,2)</f>
        <v>1104.44</v>
      </c>
      <c r="I346" s="281">
        <v>731.17903999999999</v>
      </c>
      <c r="J346" s="54">
        <f t="shared" si="140"/>
        <v>66.20360001448698</v>
      </c>
      <c r="K346" s="48"/>
    </row>
    <row r="347" spans="1:12" ht="64.5" customHeight="1" x14ac:dyDescent="0.25">
      <c r="A347" s="49">
        <v>1</v>
      </c>
      <c r="B347" s="57" t="s">
        <v>118</v>
      </c>
      <c r="C347" s="54">
        <v>3000</v>
      </c>
      <c r="D347" s="50">
        <f t="shared" si="141"/>
        <v>1250</v>
      </c>
      <c r="E347" s="54">
        <v>1202</v>
      </c>
      <c r="F347" s="54">
        <f t="shared" si="139"/>
        <v>96.16</v>
      </c>
      <c r="G347" s="281">
        <f>6882900/1000</f>
        <v>6882.9</v>
      </c>
      <c r="H347" s="281">
        <f t="shared" si="143"/>
        <v>2867.88</v>
      </c>
      <c r="I347" s="281">
        <v>3022.97066</v>
      </c>
      <c r="J347" s="54">
        <f t="shared" si="140"/>
        <v>105.40785039820355</v>
      </c>
      <c r="K347" s="48"/>
    </row>
    <row r="348" spans="1:12" ht="30" customHeight="1" x14ac:dyDescent="0.25">
      <c r="A348" s="49">
        <v>1</v>
      </c>
      <c r="B348" s="57" t="s">
        <v>109</v>
      </c>
      <c r="C348" s="54">
        <v>1052</v>
      </c>
      <c r="D348" s="50">
        <f t="shared" si="141"/>
        <v>438</v>
      </c>
      <c r="E348" s="54">
        <v>469</v>
      </c>
      <c r="F348" s="54">
        <f t="shared" si="139"/>
        <v>107.07762557077625</v>
      </c>
      <c r="G348" s="281">
        <f>859273.6/1000</f>
        <v>859.27359999999999</v>
      </c>
      <c r="H348" s="281">
        <f t="shared" si="143"/>
        <v>358.03</v>
      </c>
      <c r="I348" s="281">
        <v>381.18040000000002</v>
      </c>
      <c r="J348" s="54">
        <f t="shared" si="140"/>
        <v>106.46605033097786</v>
      </c>
      <c r="K348" s="48"/>
    </row>
    <row r="349" spans="1:12" ht="30.75" thickBot="1" x14ac:dyDescent="0.3">
      <c r="A349" s="49">
        <v>1</v>
      </c>
      <c r="B349" s="57" t="s">
        <v>123</v>
      </c>
      <c r="C349" s="54">
        <v>8400</v>
      </c>
      <c r="D349" s="50">
        <f t="shared" si="141"/>
        <v>3500</v>
      </c>
      <c r="E349" s="54">
        <v>2359</v>
      </c>
      <c r="F349" s="54">
        <f t="shared" si="139"/>
        <v>67.400000000000006</v>
      </c>
      <c r="G349" s="281">
        <v>6812.5680000000002</v>
      </c>
      <c r="H349" s="281">
        <f t="shared" si="143"/>
        <v>2838.57</v>
      </c>
      <c r="I349" s="281">
        <v>1875.8241099999998</v>
      </c>
      <c r="J349" s="54">
        <f t="shared" si="140"/>
        <v>66.083419115963309</v>
      </c>
      <c r="K349" s="48"/>
    </row>
    <row r="350" spans="1:12" s="413" customFormat="1" ht="15" customHeight="1" thickBot="1" x14ac:dyDescent="0.3">
      <c r="A350" s="49">
        <v>1</v>
      </c>
      <c r="B350" s="409" t="s">
        <v>3</v>
      </c>
      <c r="C350" s="193"/>
      <c r="D350" s="193"/>
      <c r="E350" s="193"/>
      <c r="F350" s="295"/>
      <c r="G350" s="308">
        <f>G345+G340+G349</f>
        <v>22759.057809999998</v>
      </c>
      <c r="H350" s="308">
        <f>H345+H340+H349</f>
        <v>9482.9600000000009</v>
      </c>
      <c r="I350" s="308">
        <f>I345+I340+I349</f>
        <v>8169.5018</v>
      </c>
      <c r="J350" s="193">
        <f>I350/H350*100</f>
        <v>86.149280393463641</v>
      </c>
      <c r="K350" s="48"/>
      <c r="L350" s="485"/>
    </row>
    <row r="351" spans="1:12" ht="15" customHeight="1" x14ac:dyDescent="0.25">
      <c r="A351" s="49">
        <v>1</v>
      </c>
      <c r="B351" s="51" t="s">
        <v>42</v>
      </c>
      <c r="C351" s="96"/>
      <c r="D351" s="96"/>
      <c r="E351" s="96"/>
      <c r="F351" s="71"/>
      <c r="G351" s="165"/>
      <c r="H351" s="165"/>
      <c r="I351" s="165"/>
      <c r="J351" s="550"/>
      <c r="K351" s="48"/>
    </row>
    <row r="352" spans="1:12" ht="42" customHeight="1" x14ac:dyDescent="0.25">
      <c r="A352" s="49">
        <v>1</v>
      </c>
      <c r="B352" s="121" t="s">
        <v>120</v>
      </c>
      <c r="C352" s="56">
        <f t="shared" ref="C352:J361" si="144">C340</f>
        <v>3368</v>
      </c>
      <c r="D352" s="56">
        <f t="shared" si="144"/>
        <v>1403</v>
      </c>
      <c r="E352" s="56">
        <f t="shared" si="144"/>
        <v>1245</v>
      </c>
      <c r="F352" s="54">
        <f t="shared" si="144"/>
        <v>88.738417676407693</v>
      </c>
      <c r="G352" s="523">
        <f t="shared" si="144"/>
        <v>5553.6662100000003</v>
      </c>
      <c r="H352" s="523">
        <f t="shared" si="144"/>
        <v>2314.04</v>
      </c>
      <c r="I352" s="523">
        <f t="shared" si="144"/>
        <v>2158.3475900000003</v>
      </c>
      <c r="J352" s="302">
        <f t="shared" si="144"/>
        <v>93.271835836891341</v>
      </c>
      <c r="K352" s="48"/>
    </row>
    <row r="353" spans="1:12" ht="30.75" customHeight="1" x14ac:dyDescent="0.25">
      <c r="A353" s="49">
        <v>1</v>
      </c>
      <c r="B353" s="57" t="s">
        <v>79</v>
      </c>
      <c r="C353" s="56">
        <f t="shared" si="144"/>
        <v>2428</v>
      </c>
      <c r="D353" s="56">
        <f t="shared" si="144"/>
        <v>1012</v>
      </c>
      <c r="E353" s="56">
        <f t="shared" si="144"/>
        <v>936</v>
      </c>
      <c r="F353" s="54">
        <f t="shared" si="144"/>
        <v>92.490118577075094</v>
      </c>
      <c r="G353" s="523">
        <f t="shared" si="144"/>
        <v>3299.7075999999997</v>
      </c>
      <c r="H353" s="523">
        <f t="shared" si="144"/>
        <v>1374.88</v>
      </c>
      <c r="I353" s="523">
        <f t="shared" si="144"/>
        <v>1106.7620900000002</v>
      </c>
      <c r="J353" s="302">
        <f t="shared" si="144"/>
        <v>80.498813714651462</v>
      </c>
      <c r="K353" s="48"/>
    </row>
    <row r="354" spans="1:12" ht="30.75" customHeight="1" x14ac:dyDescent="0.25">
      <c r="A354" s="49">
        <v>1</v>
      </c>
      <c r="B354" s="57" t="s">
        <v>80</v>
      </c>
      <c r="C354" s="56">
        <f t="shared" si="144"/>
        <v>728</v>
      </c>
      <c r="D354" s="56">
        <f t="shared" si="144"/>
        <v>303</v>
      </c>
      <c r="E354" s="56">
        <f t="shared" si="144"/>
        <v>112</v>
      </c>
      <c r="F354" s="54">
        <f t="shared" si="144"/>
        <v>36.963696369636963</v>
      </c>
      <c r="G354" s="523">
        <f t="shared" si="144"/>
        <v>1094.6578100000002</v>
      </c>
      <c r="H354" s="523">
        <f t="shared" si="144"/>
        <v>456.11</v>
      </c>
      <c r="I354" s="523">
        <f t="shared" si="144"/>
        <v>-25.68929999999996</v>
      </c>
      <c r="J354" s="302">
        <f t="shared" si="144"/>
        <v>-5.6322597618995331</v>
      </c>
      <c r="K354" s="48"/>
    </row>
    <row r="355" spans="1:12" ht="44.25" customHeight="1" x14ac:dyDescent="0.25">
      <c r="A355" s="49">
        <v>1</v>
      </c>
      <c r="B355" s="57" t="s">
        <v>114</v>
      </c>
      <c r="C355" s="56">
        <f t="shared" si="144"/>
        <v>36</v>
      </c>
      <c r="D355" s="56">
        <f t="shared" si="144"/>
        <v>15</v>
      </c>
      <c r="E355" s="56">
        <f t="shared" si="144"/>
        <v>40</v>
      </c>
      <c r="F355" s="54">
        <f t="shared" si="144"/>
        <v>266.66666666666663</v>
      </c>
      <c r="G355" s="523">
        <f t="shared" si="144"/>
        <v>196.86240000000001</v>
      </c>
      <c r="H355" s="523">
        <f t="shared" si="144"/>
        <v>82.03</v>
      </c>
      <c r="I355" s="523">
        <f t="shared" si="144"/>
        <v>218.73599999999996</v>
      </c>
      <c r="J355" s="302">
        <f t="shared" si="144"/>
        <v>266.65366329391679</v>
      </c>
      <c r="K355" s="48"/>
    </row>
    <row r="356" spans="1:12" ht="30.75" customHeight="1" x14ac:dyDescent="0.25">
      <c r="A356" s="49">
        <v>1</v>
      </c>
      <c r="B356" s="57" t="s">
        <v>115</v>
      </c>
      <c r="C356" s="56">
        <f t="shared" si="144"/>
        <v>176</v>
      </c>
      <c r="D356" s="56">
        <f t="shared" si="144"/>
        <v>73</v>
      </c>
      <c r="E356" s="56">
        <f t="shared" si="144"/>
        <v>157</v>
      </c>
      <c r="F356" s="54">
        <f t="shared" si="144"/>
        <v>215.06849315068496</v>
      </c>
      <c r="G356" s="523">
        <f t="shared" si="144"/>
        <v>962.43839999999989</v>
      </c>
      <c r="H356" s="523">
        <f t="shared" si="144"/>
        <v>401.02</v>
      </c>
      <c r="I356" s="523">
        <f t="shared" si="144"/>
        <v>858.53880000000004</v>
      </c>
      <c r="J356" s="302">
        <f t="shared" si="144"/>
        <v>214.08877362725053</v>
      </c>
      <c r="K356" s="48"/>
    </row>
    <row r="357" spans="1:12" ht="42.75" customHeight="1" x14ac:dyDescent="0.25">
      <c r="A357" s="49">
        <v>1</v>
      </c>
      <c r="B357" s="121" t="s">
        <v>112</v>
      </c>
      <c r="C357" s="56">
        <f t="shared" si="144"/>
        <v>5552</v>
      </c>
      <c r="D357" s="56">
        <f t="shared" si="144"/>
        <v>2313</v>
      </c>
      <c r="E357" s="56">
        <f t="shared" si="144"/>
        <v>2083</v>
      </c>
      <c r="F357" s="54">
        <f t="shared" si="144"/>
        <v>90.056204063986172</v>
      </c>
      <c r="G357" s="523">
        <f t="shared" si="144"/>
        <v>10392.8236</v>
      </c>
      <c r="H357" s="523">
        <f t="shared" si="144"/>
        <v>4330.3500000000004</v>
      </c>
      <c r="I357" s="523">
        <f t="shared" si="144"/>
        <v>4135.3301000000001</v>
      </c>
      <c r="J357" s="302">
        <f t="shared" si="144"/>
        <v>95.4964402415509</v>
      </c>
      <c r="K357" s="48"/>
    </row>
    <row r="358" spans="1:12" ht="30" x14ac:dyDescent="0.25">
      <c r="A358" s="49">
        <v>1</v>
      </c>
      <c r="B358" s="57" t="s">
        <v>108</v>
      </c>
      <c r="C358" s="56">
        <f t="shared" si="144"/>
        <v>1500</v>
      </c>
      <c r="D358" s="56">
        <f t="shared" si="144"/>
        <v>625</v>
      </c>
      <c r="E358" s="56">
        <f t="shared" si="144"/>
        <v>412</v>
      </c>
      <c r="F358" s="54">
        <f t="shared" si="144"/>
        <v>65.92</v>
      </c>
      <c r="G358" s="523">
        <f t="shared" si="144"/>
        <v>2650.65</v>
      </c>
      <c r="H358" s="523">
        <f t="shared" si="144"/>
        <v>1104.44</v>
      </c>
      <c r="I358" s="523">
        <f t="shared" si="144"/>
        <v>731.17903999999999</v>
      </c>
      <c r="J358" s="56">
        <f t="shared" si="144"/>
        <v>66.20360001448698</v>
      </c>
      <c r="K358" s="48"/>
    </row>
    <row r="359" spans="1:12" ht="60" x14ac:dyDescent="0.25">
      <c r="A359" s="49">
        <v>1</v>
      </c>
      <c r="B359" s="57" t="s">
        <v>81</v>
      </c>
      <c r="C359" s="56">
        <f t="shared" si="144"/>
        <v>3000</v>
      </c>
      <c r="D359" s="56">
        <f t="shared" si="144"/>
        <v>1250</v>
      </c>
      <c r="E359" s="56">
        <f t="shared" si="144"/>
        <v>1202</v>
      </c>
      <c r="F359" s="54">
        <f t="shared" si="144"/>
        <v>96.16</v>
      </c>
      <c r="G359" s="523">
        <f t="shared" si="144"/>
        <v>6882.9</v>
      </c>
      <c r="H359" s="523">
        <f t="shared" si="144"/>
        <v>2867.88</v>
      </c>
      <c r="I359" s="523">
        <f t="shared" si="144"/>
        <v>3022.97066</v>
      </c>
      <c r="J359" s="302">
        <f t="shared" si="144"/>
        <v>105.40785039820355</v>
      </c>
      <c r="K359" s="48"/>
    </row>
    <row r="360" spans="1:12" ht="45" x14ac:dyDescent="0.25">
      <c r="A360" s="49">
        <v>1</v>
      </c>
      <c r="B360" s="57" t="s">
        <v>109</v>
      </c>
      <c r="C360" s="56">
        <f t="shared" si="144"/>
        <v>1052</v>
      </c>
      <c r="D360" s="56">
        <f t="shared" si="144"/>
        <v>438</v>
      </c>
      <c r="E360" s="56">
        <f t="shared" si="144"/>
        <v>469</v>
      </c>
      <c r="F360" s="54">
        <f t="shared" si="144"/>
        <v>107.07762557077625</v>
      </c>
      <c r="G360" s="523">
        <f t="shared" si="144"/>
        <v>859.27359999999999</v>
      </c>
      <c r="H360" s="523">
        <f t="shared" si="144"/>
        <v>358.03</v>
      </c>
      <c r="I360" s="523">
        <f t="shared" si="144"/>
        <v>381.18040000000002</v>
      </c>
      <c r="J360" s="56">
        <f t="shared" si="144"/>
        <v>106.46605033097786</v>
      </c>
      <c r="K360" s="48"/>
    </row>
    <row r="361" spans="1:12" ht="30.75" customHeight="1" thickBot="1" x14ac:dyDescent="0.3">
      <c r="B361" s="351" t="s">
        <v>123</v>
      </c>
      <c r="C361" s="284">
        <f t="shared" si="144"/>
        <v>8400</v>
      </c>
      <c r="D361" s="284">
        <f t="shared" si="144"/>
        <v>3500</v>
      </c>
      <c r="E361" s="284">
        <f t="shared" si="144"/>
        <v>2359</v>
      </c>
      <c r="F361" s="98">
        <f t="shared" si="144"/>
        <v>67.400000000000006</v>
      </c>
      <c r="G361" s="523">
        <f t="shared" si="144"/>
        <v>6812.5680000000002</v>
      </c>
      <c r="H361" s="523">
        <f t="shared" si="144"/>
        <v>2838.57</v>
      </c>
      <c r="I361" s="523">
        <f t="shared" si="144"/>
        <v>1875.8241099999998</v>
      </c>
      <c r="J361" s="453">
        <f t="shared" si="144"/>
        <v>66.083419115963309</v>
      </c>
      <c r="K361" s="48"/>
    </row>
    <row r="362" spans="1:12" s="410" customFormat="1" ht="19.5" customHeight="1" thickBot="1" x14ac:dyDescent="0.3">
      <c r="A362" s="49">
        <v>1</v>
      </c>
      <c r="B362" s="235" t="s">
        <v>117</v>
      </c>
      <c r="C362" s="193">
        <f t="shared" ref="C362:J362" si="145">C350</f>
        <v>0</v>
      </c>
      <c r="D362" s="193">
        <f t="shared" si="145"/>
        <v>0</v>
      </c>
      <c r="E362" s="193">
        <f t="shared" si="145"/>
        <v>0</v>
      </c>
      <c r="F362" s="295">
        <f t="shared" si="145"/>
        <v>0</v>
      </c>
      <c r="G362" s="309">
        <f t="shared" si="145"/>
        <v>22759.057809999998</v>
      </c>
      <c r="H362" s="309">
        <f t="shared" si="145"/>
        <v>9482.9600000000009</v>
      </c>
      <c r="I362" s="309">
        <f t="shared" si="145"/>
        <v>8169.5018</v>
      </c>
      <c r="J362" s="193">
        <f t="shared" si="145"/>
        <v>86.149280393463641</v>
      </c>
      <c r="K362" s="48"/>
      <c r="L362" s="485"/>
    </row>
    <row r="363" spans="1:12" ht="15.75" customHeight="1" x14ac:dyDescent="0.25">
      <c r="A363" s="49">
        <v>1</v>
      </c>
      <c r="B363" s="551"/>
      <c r="C363" s="71"/>
      <c r="D363" s="71"/>
      <c r="E363" s="71"/>
      <c r="F363" s="71"/>
      <c r="G363" s="165"/>
      <c r="H363" s="165"/>
      <c r="I363" s="165"/>
      <c r="J363" s="521"/>
      <c r="K363" s="48"/>
    </row>
    <row r="364" spans="1:12" ht="29.25" customHeight="1" x14ac:dyDescent="0.25">
      <c r="A364" s="49">
        <v>1</v>
      </c>
      <c r="B364" s="431" t="s">
        <v>43</v>
      </c>
      <c r="C364" s="79"/>
      <c r="D364" s="79"/>
      <c r="E364" s="79"/>
      <c r="F364" s="339"/>
      <c r="G364" s="182"/>
      <c r="H364" s="182"/>
      <c r="I364" s="182"/>
      <c r="J364" s="340"/>
      <c r="K364" s="48"/>
    </row>
    <row r="365" spans="1:12" ht="31.5" customHeight="1" x14ac:dyDescent="0.25">
      <c r="A365" s="49">
        <v>1</v>
      </c>
      <c r="B365" s="121" t="s">
        <v>120</v>
      </c>
      <c r="C365" s="54">
        <f>SUM(C366:C369)</f>
        <v>2533</v>
      </c>
      <c r="D365" s="54">
        <f>SUM(D366:D369)</f>
        <v>1056</v>
      </c>
      <c r="E365" s="54">
        <f>SUM(E366:E369)</f>
        <v>1327</v>
      </c>
      <c r="F365" s="64">
        <f>E365/D365*100</f>
        <v>125.66287878787878</v>
      </c>
      <c r="G365" s="281">
        <f>SUM(G366:G369)</f>
        <v>3780.3887299999997</v>
      </c>
      <c r="H365" s="281">
        <f>SUM(H366:H369)</f>
        <v>1575.16</v>
      </c>
      <c r="I365" s="281">
        <f>SUM(I366:I369)</f>
        <v>2090.3497299999999</v>
      </c>
      <c r="J365" s="54">
        <f>I365/H365*100</f>
        <v>132.70713641788768</v>
      </c>
      <c r="K365" s="48"/>
    </row>
    <row r="366" spans="1:12" ht="38.1" customHeight="1" x14ac:dyDescent="0.25">
      <c r="A366" s="49">
        <v>1</v>
      </c>
      <c r="B366" s="57" t="s">
        <v>79</v>
      </c>
      <c r="C366" s="54">
        <v>1893</v>
      </c>
      <c r="D366" s="50">
        <f t="shared" ref="D366:D374" si="146">ROUND(C366/12*$B$3,0)</f>
        <v>789</v>
      </c>
      <c r="E366" s="54">
        <v>956</v>
      </c>
      <c r="F366" s="64">
        <f>E366/D366*100</f>
        <v>121.1660329531052</v>
      </c>
      <c r="G366" s="281">
        <v>2530.5713999999998</v>
      </c>
      <c r="H366" s="281">
        <f t="shared" ref="H366:H369" si="147">ROUND(G366/12*$B$3,2)</f>
        <v>1054.4000000000001</v>
      </c>
      <c r="I366" s="281">
        <v>1227.01241</v>
      </c>
      <c r="J366" s="54">
        <f>I366/H366*100</f>
        <v>116.37067621396054</v>
      </c>
      <c r="K366" s="48"/>
    </row>
    <row r="367" spans="1:12" ht="38.1" customHeight="1" x14ac:dyDescent="0.25">
      <c r="A367" s="49">
        <v>1</v>
      </c>
      <c r="B367" s="57" t="s">
        <v>80</v>
      </c>
      <c r="C367" s="54">
        <v>568</v>
      </c>
      <c r="D367" s="50">
        <f t="shared" si="146"/>
        <v>237</v>
      </c>
      <c r="E367" s="54">
        <v>293</v>
      </c>
      <c r="F367" s="64">
        <f>E367/D367*100</f>
        <v>123.62869198312237</v>
      </c>
      <c r="G367" s="281">
        <v>856.09253000000001</v>
      </c>
      <c r="H367" s="281">
        <f t="shared" si="147"/>
        <v>356.71</v>
      </c>
      <c r="I367" s="281">
        <v>436.80212</v>
      </c>
      <c r="J367" s="54">
        <f t="shared" ref="J367:J375" si="148">I367/H367*100</f>
        <v>122.45300664405261</v>
      </c>
      <c r="K367" s="48"/>
    </row>
    <row r="368" spans="1:12" ht="30" x14ac:dyDescent="0.25">
      <c r="A368" s="49">
        <v>1</v>
      </c>
      <c r="B368" s="57" t="s">
        <v>114</v>
      </c>
      <c r="C368" s="54"/>
      <c r="D368" s="50">
        <f t="shared" si="146"/>
        <v>0</v>
      </c>
      <c r="E368" s="54"/>
      <c r="F368" s="64"/>
      <c r="G368" s="281"/>
      <c r="H368" s="281">
        <f t="shared" si="147"/>
        <v>0</v>
      </c>
      <c r="I368" s="281"/>
      <c r="J368" s="54"/>
      <c r="K368" s="48"/>
    </row>
    <row r="369" spans="1:12" ht="30" x14ac:dyDescent="0.25">
      <c r="A369" s="49">
        <v>1</v>
      </c>
      <c r="B369" s="57" t="s">
        <v>115</v>
      </c>
      <c r="C369" s="54">
        <v>72</v>
      </c>
      <c r="D369" s="50">
        <f t="shared" si="146"/>
        <v>30</v>
      </c>
      <c r="E369" s="54">
        <v>78</v>
      </c>
      <c r="F369" s="64">
        <f t="shared" ref="F369:F374" si="149">E369/D369*100</f>
        <v>260</v>
      </c>
      <c r="G369" s="281">
        <v>393.72480000000002</v>
      </c>
      <c r="H369" s="281">
        <f t="shared" si="147"/>
        <v>164.05</v>
      </c>
      <c r="I369" s="281">
        <v>426.53520000000003</v>
      </c>
      <c r="J369" s="54">
        <f t="shared" si="148"/>
        <v>260.00316976531542</v>
      </c>
      <c r="K369" s="48"/>
    </row>
    <row r="370" spans="1:12" ht="30" x14ac:dyDescent="0.25">
      <c r="A370" s="49">
        <v>1</v>
      </c>
      <c r="B370" s="121" t="s">
        <v>112</v>
      </c>
      <c r="C370" s="54">
        <f>SUM(C371:C373)</f>
        <v>4966</v>
      </c>
      <c r="D370" s="54">
        <f>SUM(D371:D373)</f>
        <v>2069</v>
      </c>
      <c r="E370" s="54">
        <f>SUM(E371:E373)</f>
        <v>2069</v>
      </c>
      <c r="F370" s="64">
        <f t="shared" si="149"/>
        <v>100</v>
      </c>
      <c r="G370" s="281">
        <f>SUM(G371:G373)</f>
        <v>9636.4437999999991</v>
      </c>
      <c r="H370" s="281">
        <f>SUM(H371:H373)</f>
        <v>4015.19</v>
      </c>
      <c r="I370" s="281">
        <f>SUM(I371:I373)</f>
        <v>3359.8900600000002</v>
      </c>
      <c r="J370" s="54">
        <f t="shared" si="148"/>
        <v>83.679478679713796</v>
      </c>
      <c r="K370" s="48"/>
    </row>
    <row r="371" spans="1:12" ht="30" x14ac:dyDescent="0.25">
      <c r="A371" s="49">
        <v>1</v>
      </c>
      <c r="B371" s="57" t="s">
        <v>108</v>
      </c>
      <c r="C371" s="54">
        <v>250</v>
      </c>
      <c r="D371" s="50">
        <f t="shared" si="146"/>
        <v>104</v>
      </c>
      <c r="E371" s="54">
        <v>97</v>
      </c>
      <c r="F371" s="64">
        <f t="shared" si="149"/>
        <v>93.269230769230774</v>
      </c>
      <c r="G371" s="281">
        <f>441775/1000</f>
        <v>441.77499999999998</v>
      </c>
      <c r="H371" s="281">
        <f t="shared" ref="H371:H374" si="150">ROUND(G371/12*$B$3,2)</f>
        <v>184.07</v>
      </c>
      <c r="I371" s="281">
        <v>173.3629</v>
      </c>
      <c r="J371" s="54">
        <f t="shared" si="148"/>
        <v>94.183136850111367</v>
      </c>
      <c r="K371" s="48"/>
    </row>
    <row r="372" spans="1:12" ht="44.25" customHeight="1" x14ac:dyDescent="0.25">
      <c r="A372" s="49">
        <v>1</v>
      </c>
      <c r="B372" s="57" t="s">
        <v>118</v>
      </c>
      <c r="C372" s="54">
        <v>3616</v>
      </c>
      <c r="D372" s="50">
        <f t="shared" si="146"/>
        <v>1507</v>
      </c>
      <c r="E372" s="54">
        <v>1508</v>
      </c>
      <c r="F372" s="64">
        <f t="shared" si="149"/>
        <v>100.06635700066357</v>
      </c>
      <c r="G372" s="281">
        <f>8296188.8/1000</f>
        <v>8296.1887999999999</v>
      </c>
      <c r="H372" s="281">
        <f t="shared" si="150"/>
        <v>3456.75</v>
      </c>
      <c r="I372" s="281">
        <v>2855.5188499999999</v>
      </c>
      <c r="J372" s="54">
        <f t="shared" si="148"/>
        <v>82.607039849569688</v>
      </c>
      <c r="K372" s="388"/>
    </row>
    <row r="373" spans="1:12" ht="44.25" customHeight="1" x14ac:dyDescent="0.25">
      <c r="A373" s="49">
        <v>1</v>
      </c>
      <c r="B373" s="57" t="s">
        <v>109</v>
      </c>
      <c r="C373" s="54">
        <v>1100</v>
      </c>
      <c r="D373" s="50">
        <f t="shared" si="146"/>
        <v>458</v>
      </c>
      <c r="E373" s="54">
        <v>464</v>
      </c>
      <c r="F373" s="64">
        <f t="shared" si="149"/>
        <v>101.31004366812226</v>
      </c>
      <c r="G373" s="281">
        <f>898480/1000</f>
        <v>898.48</v>
      </c>
      <c r="H373" s="281">
        <f t="shared" si="150"/>
        <v>374.37</v>
      </c>
      <c r="I373" s="281">
        <v>331.00831000000005</v>
      </c>
      <c r="J373" s="54">
        <f t="shared" si="148"/>
        <v>88.417423938883999</v>
      </c>
      <c r="K373" s="48"/>
    </row>
    <row r="374" spans="1:12" ht="30.75" thickBot="1" x14ac:dyDescent="0.3">
      <c r="A374" s="49">
        <v>1</v>
      </c>
      <c r="B374" s="57" t="s">
        <v>123</v>
      </c>
      <c r="C374" s="54">
        <v>9263</v>
      </c>
      <c r="D374" s="50">
        <f t="shared" si="146"/>
        <v>3860</v>
      </c>
      <c r="E374" s="54">
        <v>3900</v>
      </c>
      <c r="F374" s="54">
        <f t="shared" si="149"/>
        <v>101.03626943005182</v>
      </c>
      <c r="G374" s="281">
        <v>7512.4782599999999</v>
      </c>
      <c r="H374" s="281">
        <f t="shared" si="150"/>
        <v>3130.2</v>
      </c>
      <c r="I374" s="281">
        <v>3162.9780000000001</v>
      </c>
      <c r="J374" s="54">
        <f t="shared" si="148"/>
        <v>101.04715353651525</v>
      </c>
      <c r="K374" s="48"/>
    </row>
    <row r="375" spans="1:12" s="410" customFormat="1" ht="15" customHeight="1" thickBot="1" x14ac:dyDescent="0.3">
      <c r="A375" s="49">
        <v>1</v>
      </c>
      <c r="B375" s="409" t="s">
        <v>3</v>
      </c>
      <c r="C375" s="193"/>
      <c r="D375" s="193"/>
      <c r="E375" s="193"/>
      <c r="F375" s="196"/>
      <c r="G375" s="312">
        <f>G370+G365+G374</f>
        <v>20929.31079</v>
      </c>
      <c r="H375" s="312">
        <f>H370+H365+H374</f>
        <v>8720.5499999999993</v>
      </c>
      <c r="I375" s="312">
        <f>I370+I365+I374</f>
        <v>8613.2177899999988</v>
      </c>
      <c r="J375" s="193">
        <f t="shared" si="148"/>
        <v>98.769203662613009</v>
      </c>
      <c r="K375" s="48"/>
      <c r="L375" s="485"/>
    </row>
    <row r="376" spans="1:12" ht="29.25" customHeight="1" x14ac:dyDescent="0.25">
      <c r="A376" s="49">
        <v>1</v>
      </c>
      <c r="B376" s="383" t="s">
        <v>44</v>
      </c>
      <c r="C376" s="73"/>
      <c r="D376" s="73"/>
      <c r="E376" s="73"/>
      <c r="F376" s="73"/>
      <c r="G376" s="181"/>
      <c r="H376" s="181"/>
      <c r="I376" s="181"/>
      <c r="J376" s="73"/>
      <c r="K376" s="48"/>
    </row>
    <row r="377" spans="1:12" ht="30" x14ac:dyDescent="0.25">
      <c r="A377" s="49">
        <v>1</v>
      </c>
      <c r="B377" s="121" t="s">
        <v>120</v>
      </c>
      <c r="C377" s="54">
        <f>SUM(C378:C381)</f>
        <v>11144</v>
      </c>
      <c r="D377" s="54">
        <f>SUM(D378:D381)</f>
        <v>4643</v>
      </c>
      <c r="E377" s="54">
        <f>SUM(E378:E381)</f>
        <v>5152</v>
      </c>
      <c r="F377" s="64">
        <f t="shared" ref="F377:F386" si="151">E377/D377*100</f>
        <v>110.96273960801206</v>
      </c>
      <c r="G377" s="281">
        <f>SUM(G378:G381)</f>
        <v>15718.156489999998</v>
      </c>
      <c r="H377" s="281">
        <f>SUM(H378:H381)</f>
        <v>6549.22</v>
      </c>
      <c r="I377" s="281">
        <f>SUM(I378:I381)</f>
        <v>7247.0216399999999</v>
      </c>
      <c r="J377" s="54">
        <f>I377/H377*100</f>
        <v>110.6547289600899</v>
      </c>
      <c r="K377" s="48"/>
    </row>
    <row r="378" spans="1:12" ht="30" x14ac:dyDescent="0.25">
      <c r="A378" s="49">
        <v>1</v>
      </c>
      <c r="B378" s="57" t="s">
        <v>79</v>
      </c>
      <c r="C378" s="54">
        <v>8508</v>
      </c>
      <c r="D378" s="50">
        <f t="shared" ref="D378:D386" si="152">ROUND(C378/12*$B$3,0)</f>
        <v>3545</v>
      </c>
      <c r="E378" s="54">
        <v>3923</v>
      </c>
      <c r="F378" s="64">
        <f t="shared" si="151"/>
        <v>110.66290550070521</v>
      </c>
      <c r="G378" s="281">
        <v>11344.544399999999</v>
      </c>
      <c r="H378" s="281">
        <f t="shared" ref="H378:H381" si="153">ROUND(G378/12*$B$3,2)</f>
        <v>4726.8900000000003</v>
      </c>
      <c r="I378" s="281">
        <v>5023.8326499999994</v>
      </c>
      <c r="J378" s="54">
        <f>I378/H378*100</f>
        <v>106.2819877340069</v>
      </c>
      <c r="K378" s="48"/>
    </row>
    <row r="379" spans="1:12" ht="30" x14ac:dyDescent="0.25">
      <c r="A379" s="49">
        <v>1</v>
      </c>
      <c r="B379" s="57" t="s">
        <v>80</v>
      </c>
      <c r="C379" s="54">
        <v>2552</v>
      </c>
      <c r="D379" s="50">
        <f t="shared" si="152"/>
        <v>1063</v>
      </c>
      <c r="E379" s="54">
        <v>1135</v>
      </c>
      <c r="F379" s="64">
        <f t="shared" si="151"/>
        <v>106.77328316086547</v>
      </c>
      <c r="G379" s="281">
        <v>3914.2664900000004</v>
      </c>
      <c r="H379" s="281">
        <f t="shared" si="153"/>
        <v>1630.94</v>
      </c>
      <c r="I379" s="281">
        <v>1709.1593899999998</v>
      </c>
      <c r="J379" s="54">
        <f t="shared" ref="J379:J387" si="154">I379/H379*100</f>
        <v>104.79596980882189</v>
      </c>
      <c r="K379" s="48"/>
    </row>
    <row r="380" spans="1:12" ht="30" x14ac:dyDescent="0.25">
      <c r="A380" s="49">
        <v>1</v>
      </c>
      <c r="B380" s="57" t="s">
        <v>114</v>
      </c>
      <c r="C380" s="54">
        <v>60</v>
      </c>
      <c r="D380" s="50">
        <f t="shared" si="152"/>
        <v>25</v>
      </c>
      <c r="E380" s="54">
        <v>70</v>
      </c>
      <c r="F380" s="64">
        <f t="shared" si="151"/>
        <v>280</v>
      </c>
      <c r="G380" s="281">
        <v>328.10399999999998</v>
      </c>
      <c r="H380" s="281">
        <f t="shared" si="153"/>
        <v>136.71</v>
      </c>
      <c r="I380" s="281">
        <v>382.78800000000001</v>
      </c>
      <c r="J380" s="54">
        <f t="shared" si="154"/>
        <v>280</v>
      </c>
      <c r="K380" s="48"/>
    </row>
    <row r="381" spans="1:12" ht="30" x14ac:dyDescent="0.25">
      <c r="A381" s="49">
        <v>1</v>
      </c>
      <c r="B381" s="57" t="s">
        <v>115</v>
      </c>
      <c r="C381" s="54">
        <v>24</v>
      </c>
      <c r="D381" s="50">
        <f t="shared" si="152"/>
        <v>10</v>
      </c>
      <c r="E381" s="54">
        <v>24</v>
      </c>
      <c r="F381" s="64">
        <f t="shared" si="151"/>
        <v>240</v>
      </c>
      <c r="G381" s="281">
        <v>131.24159999999998</v>
      </c>
      <c r="H381" s="281">
        <f t="shared" si="153"/>
        <v>54.68</v>
      </c>
      <c r="I381" s="281">
        <v>131.24160000000001</v>
      </c>
      <c r="J381" s="54">
        <f t="shared" si="154"/>
        <v>240.01755669348941</v>
      </c>
      <c r="K381" s="48"/>
    </row>
    <row r="382" spans="1:12" ht="30" x14ac:dyDescent="0.25">
      <c r="A382" s="49">
        <v>1</v>
      </c>
      <c r="B382" s="121" t="s">
        <v>112</v>
      </c>
      <c r="C382" s="54">
        <f>SUM(C383:C385)</f>
        <v>20500</v>
      </c>
      <c r="D382" s="54">
        <f>SUM(D383:D385)</f>
        <v>8542</v>
      </c>
      <c r="E382" s="54">
        <f>SUM(E383:E385)</f>
        <v>7903</v>
      </c>
      <c r="F382" s="64">
        <f t="shared" si="151"/>
        <v>92.519316319363142</v>
      </c>
      <c r="G382" s="281">
        <f>SUM(G383:G385)</f>
        <v>32986.49</v>
      </c>
      <c r="H382" s="281">
        <f>SUM(H383:H385)</f>
        <v>13744.369999999999</v>
      </c>
      <c r="I382" s="281">
        <f>SUM(I383:I385)</f>
        <v>12236.991600000001</v>
      </c>
      <c r="J382" s="54">
        <f t="shared" si="154"/>
        <v>89.032757412671529</v>
      </c>
      <c r="K382" s="48"/>
    </row>
    <row r="383" spans="1:12" ht="30" x14ac:dyDescent="0.25">
      <c r="A383" s="49">
        <v>1</v>
      </c>
      <c r="B383" s="57" t="s">
        <v>108</v>
      </c>
      <c r="C383" s="54">
        <v>300</v>
      </c>
      <c r="D383" s="50">
        <f t="shared" si="152"/>
        <v>125</v>
      </c>
      <c r="E383" s="54">
        <v>0</v>
      </c>
      <c r="F383" s="64">
        <f t="shared" si="151"/>
        <v>0</v>
      </c>
      <c r="G383" s="281">
        <f>530130/1000</f>
        <v>530.13</v>
      </c>
      <c r="H383" s="281">
        <f t="shared" ref="H383:H386" si="155">ROUND(G383/12*$B$3,2)</f>
        <v>220.89</v>
      </c>
      <c r="I383" s="281">
        <v>0</v>
      </c>
      <c r="J383" s="54">
        <f t="shared" si="154"/>
        <v>0</v>
      </c>
      <c r="K383" s="48"/>
    </row>
    <row r="384" spans="1:12" ht="56.25" customHeight="1" x14ac:dyDescent="0.25">
      <c r="A384" s="49">
        <v>1</v>
      </c>
      <c r="B384" s="57" t="s">
        <v>118</v>
      </c>
      <c r="C384" s="54">
        <v>10800</v>
      </c>
      <c r="D384" s="50">
        <f t="shared" si="152"/>
        <v>4500</v>
      </c>
      <c r="E384" s="54">
        <v>5356</v>
      </c>
      <c r="F384" s="64">
        <f t="shared" si="151"/>
        <v>119.02222222222223</v>
      </c>
      <c r="G384" s="281">
        <f>24778440/1000</f>
        <v>24778.44</v>
      </c>
      <c r="H384" s="281">
        <f t="shared" si="155"/>
        <v>10324.35</v>
      </c>
      <c r="I384" s="281">
        <v>10016.4678</v>
      </c>
      <c r="J384" s="54">
        <f t="shared" si="154"/>
        <v>97.017902337677427</v>
      </c>
      <c r="K384" s="387"/>
    </row>
    <row r="385" spans="1:12" ht="45" x14ac:dyDescent="0.25">
      <c r="A385" s="49">
        <v>1</v>
      </c>
      <c r="B385" s="57" t="s">
        <v>109</v>
      </c>
      <c r="C385" s="54">
        <v>9400</v>
      </c>
      <c r="D385" s="50">
        <f t="shared" si="152"/>
        <v>3917</v>
      </c>
      <c r="E385" s="54">
        <v>2547</v>
      </c>
      <c r="F385" s="64">
        <f t="shared" si="151"/>
        <v>65.024253255042126</v>
      </c>
      <c r="G385" s="281">
        <f>7677920/1000</f>
        <v>7677.92</v>
      </c>
      <c r="H385" s="281">
        <f t="shared" si="155"/>
        <v>3199.13</v>
      </c>
      <c r="I385" s="281">
        <v>2220.5237999999999</v>
      </c>
      <c r="J385" s="54">
        <f t="shared" si="154"/>
        <v>69.410239658907258</v>
      </c>
      <c r="K385" s="48"/>
    </row>
    <row r="386" spans="1:12" ht="30.75" thickBot="1" x14ac:dyDescent="0.3">
      <c r="A386" s="49">
        <v>1</v>
      </c>
      <c r="B386" s="57" t="s">
        <v>123</v>
      </c>
      <c r="C386" s="54">
        <v>30400</v>
      </c>
      <c r="D386" s="50">
        <f t="shared" si="152"/>
        <v>12667</v>
      </c>
      <c r="E386" s="54">
        <v>12694</v>
      </c>
      <c r="F386" s="54">
        <f t="shared" si="151"/>
        <v>100.21315228546617</v>
      </c>
      <c r="G386" s="281">
        <v>24655.008000000002</v>
      </c>
      <c r="H386" s="281">
        <f t="shared" si="155"/>
        <v>10272.92</v>
      </c>
      <c r="I386" s="281">
        <v>10224.305980000001</v>
      </c>
      <c r="J386" s="54">
        <f t="shared" si="154"/>
        <v>99.526775055193667</v>
      </c>
      <c r="K386" s="48"/>
    </row>
    <row r="387" spans="1:12" s="413" customFormat="1" ht="15.75" thickBot="1" x14ac:dyDescent="0.3">
      <c r="A387" s="49">
        <v>1</v>
      </c>
      <c r="B387" s="409" t="s">
        <v>3</v>
      </c>
      <c r="C387" s="193"/>
      <c r="D387" s="193"/>
      <c r="E387" s="193"/>
      <c r="F387" s="196"/>
      <c r="G387" s="312">
        <f>G382+G377+G386</f>
        <v>73359.654490000001</v>
      </c>
      <c r="H387" s="312">
        <f>H382+H377+H386</f>
        <v>30566.510000000002</v>
      </c>
      <c r="I387" s="312">
        <f>I382+I377+I386</f>
        <v>29708.319220000001</v>
      </c>
      <c r="J387" s="193">
        <f t="shared" si="154"/>
        <v>97.192382185601161</v>
      </c>
      <c r="K387" s="48"/>
      <c r="L387" s="485"/>
    </row>
    <row r="388" spans="1:12" ht="32.25" customHeight="1" x14ac:dyDescent="0.25">
      <c r="A388" s="49">
        <v>1</v>
      </c>
      <c r="B388" s="552" t="s">
        <v>45</v>
      </c>
      <c r="C388" s="145"/>
      <c r="D388" s="145"/>
      <c r="E388" s="145"/>
      <c r="F388" s="144"/>
      <c r="G388" s="183"/>
      <c r="H388" s="183"/>
      <c r="I388" s="183"/>
      <c r="J388" s="145"/>
      <c r="K388" s="48"/>
    </row>
    <row r="389" spans="1:12" ht="43.5" customHeight="1" x14ac:dyDescent="0.25">
      <c r="A389" s="49">
        <v>1</v>
      </c>
      <c r="B389" s="121" t="s">
        <v>120</v>
      </c>
      <c r="C389" s="56">
        <f t="shared" ref="C389:E394" si="156">C377+C365</f>
        <v>13677</v>
      </c>
      <c r="D389" s="56">
        <f t="shared" si="156"/>
        <v>5699</v>
      </c>
      <c r="E389" s="56">
        <f t="shared" si="156"/>
        <v>6479</v>
      </c>
      <c r="F389" s="58">
        <f>E389/D389*100</f>
        <v>113.68661168626075</v>
      </c>
      <c r="G389" s="523">
        <f t="shared" ref="G389:I397" si="157">SUM(G377,G365)</f>
        <v>19498.545219999996</v>
      </c>
      <c r="H389" s="523">
        <f t="shared" si="157"/>
        <v>8124.38</v>
      </c>
      <c r="I389" s="523">
        <f t="shared" si="157"/>
        <v>9337.3713700000008</v>
      </c>
      <c r="J389" s="302">
        <f>I389/H389*100</f>
        <v>114.93026384782594</v>
      </c>
      <c r="K389" s="48"/>
    </row>
    <row r="390" spans="1:12" ht="30" x14ac:dyDescent="0.25">
      <c r="A390" s="49">
        <v>1</v>
      </c>
      <c r="B390" s="57" t="s">
        <v>79</v>
      </c>
      <c r="C390" s="56">
        <f t="shared" si="156"/>
        <v>10401</v>
      </c>
      <c r="D390" s="56">
        <f t="shared" si="156"/>
        <v>4334</v>
      </c>
      <c r="E390" s="56">
        <f t="shared" si="156"/>
        <v>4879</v>
      </c>
      <c r="F390" s="58">
        <f t="shared" ref="F390:F398" si="158">E390/D390*100</f>
        <v>112.57498846331333</v>
      </c>
      <c r="G390" s="523">
        <f t="shared" si="157"/>
        <v>13875.1158</v>
      </c>
      <c r="H390" s="523">
        <f t="shared" si="157"/>
        <v>5781.2900000000009</v>
      </c>
      <c r="I390" s="523">
        <f t="shared" si="157"/>
        <v>6250.8450599999996</v>
      </c>
      <c r="J390" s="302">
        <f t="shared" ref="J390:J399" si="159">I390/H390*100</f>
        <v>108.12197727496802</v>
      </c>
      <c r="K390" s="48"/>
    </row>
    <row r="391" spans="1:12" ht="30" x14ac:dyDescent="0.25">
      <c r="A391" s="49">
        <v>1</v>
      </c>
      <c r="B391" s="57" t="s">
        <v>80</v>
      </c>
      <c r="C391" s="56">
        <f t="shared" si="156"/>
        <v>3120</v>
      </c>
      <c r="D391" s="56">
        <f t="shared" si="156"/>
        <v>1300</v>
      </c>
      <c r="E391" s="56">
        <f t="shared" si="156"/>
        <v>1428</v>
      </c>
      <c r="F391" s="58">
        <f t="shared" si="158"/>
        <v>109.84615384615384</v>
      </c>
      <c r="G391" s="523">
        <f t="shared" si="157"/>
        <v>4770.3590200000008</v>
      </c>
      <c r="H391" s="523">
        <f t="shared" si="157"/>
        <v>1987.65</v>
      </c>
      <c r="I391" s="523">
        <f t="shared" si="157"/>
        <v>2145.9615099999996</v>
      </c>
      <c r="J391" s="302">
        <f t="shared" si="159"/>
        <v>107.9647578799084</v>
      </c>
      <c r="K391" s="48"/>
    </row>
    <row r="392" spans="1:12" ht="30" x14ac:dyDescent="0.25">
      <c r="A392" s="49">
        <v>1</v>
      </c>
      <c r="B392" s="57" t="s">
        <v>114</v>
      </c>
      <c r="C392" s="56">
        <f t="shared" si="156"/>
        <v>60</v>
      </c>
      <c r="D392" s="56">
        <f t="shared" si="156"/>
        <v>25</v>
      </c>
      <c r="E392" s="56">
        <f t="shared" si="156"/>
        <v>70</v>
      </c>
      <c r="F392" s="58">
        <f t="shared" si="158"/>
        <v>280</v>
      </c>
      <c r="G392" s="523">
        <f t="shared" si="157"/>
        <v>328.10399999999998</v>
      </c>
      <c r="H392" s="523">
        <f t="shared" si="157"/>
        <v>136.71</v>
      </c>
      <c r="I392" s="523">
        <f t="shared" si="157"/>
        <v>382.78800000000001</v>
      </c>
      <c r="J392" s="302">
        <f t="shared" si="159"/>
        <v>280</v>
      </c>
      <c r="K392" s="48"/>
    </row>
    <row r="393" spans="1:12" ht="30" x14ac:dyDescent="0.25">
      <c r="A393" s="49">
        <v>1</v>
      </c>
      <c r="B393" s="57" t="s">
        <v>115</v>
      </c>
      <c r="C393" s="56">
        <f t="shared" si="156"/>
        <v>96</v>
      </c>
      <c r="D393" s="56">
        <f t="shared" si="156"/>
        <v>40</v>
      </c>
      <c r="E393" s="56">
        <f t="shared" si="156"/>
        <v>102</v>
      </c>
      <c r="F393" s="58">
        <f t="shared" si="158"/>
        <v>254.99999999999997</v>
      </c>
      <c r="G393" s="523">
        <f t="shared" si="157"/>
        <v>524.96640000000002</v>
      </c>
      <c r="H393" s="523">
        <f t="shared" si="157"/>
        <v>218.73000000000002</v>
      </c>
      <c r="I393" s="523">
        <f t="shared" si="157"/>
        <v>557.77680000000009</v>
      </c>
      <c r="J393" s="302">
        <f t="shared" si="159"/>
        <v>255.00699492525035</v>
      </c>
      <c r="K393" s="48"/>
    </row>
    <row r="394" spans="1:12" ht="30" x14ac:dyDescent="0.25">
      <c r="A394" s="49">
        <v>1</v>
      </c>
      <c r="B394" s="121" t="s">
        <v>112</v>
      </c>
      <c r="C394" s="56">
        <f t="shared" si="156"/>
        <v>25466</v>
      </c>
      <c r="D394" s="56">
        <f t="shared" si="156"/>
        <v>10611</v>
      </c>
      <c r="E394" s="56">
        <f t="shared" si="156"/>
        <v>9972</v>
      </c>
      <c r="F394" s="58">
        <f t="shared" si="158"/>
        <v>93.977947413061912</v>
      </c>
      <c r="G394" s="523">
        <f t="shared" si="157"/>
        <v>42622.933799999999</v>
      </c>
      <c r="H394" s="523">
        <f t="shared" si="157"/>
        <v>17759.559999999998</v>
      </c>
      <c r="I394" s="523">
        <f t="shared" si="157"/>
        <v>15596.881660000001</v>
      </c>
      <c r="J394" s="302">
        <f t="shared" si="159"/>
        <v>87.822455398669803</v>
      </c>
      <c r="K394" s="48"/>
    </row>
    <row r="395" spans="1:12" ht="30" x14ac:dyDescent="0.25">
      <c r="A395" s="49">
        <v>1</v>
      </c>
      <c r="B395" s="57" t="s">
        <v>108</v>
      </c>
      <c r="C395" s="56">
        <f t="shared" ref="C395:E397" si="160">SUM(C383,C371)</f>
        <v>550</v>
      </c>
      <c r="D395" s="56">
        <f t="shared" si="160"/>
        <v>229</v>
      </c>
      <c r="E395" s="56">
        <f t="shared" si="160"/>
        <v>97</v>
      </c>
      <c r="F395" s="58">
        <f t="shared" si="158"/>
        <v>42.358078602620083</v>
      </c>
      <c r="G395" s="523">
        <f t="shared" si="157"/>
        <v>971.90499999999997</v>
      </c>
      <c r="H395" s="523">
        <f t="shared" si="157"/>
        <v>404.96</v>
      </c>
      <c r="I395" s="523">
        <f t="shared" si="157"/>
        <v>173.3629</v>
      </c>
      <c r="J395" s="302">
        <f t="shared" si="159"/>
        <v>42.809882457526669</v>
      </c>
      <c r="K395" s="48"/>
    </row>
    <row r="396" spans="1:12" ht="60" x14ac:dyDescent="0.25">
      <c r="A396" s="49">
        <v>1</v>
      </c>
      <c r="B396" s="57" t="s">
        <v>81</v>
      </c>
      <c r="C396" s="56">
        <f t="shared" si="160"/>
        <v>14416</v>
      </c>
      <c r="D396" s="56">
        <f t="shared" si="160"/>
        <v>6007</v>
      </c>
      <c r="E396" s="56">
        <f t="shared" si="160"/>
        <v>6864</v>
      </c>
      <c r="F396" s="58">
        <f t="shared" si="158"/>
        <v>114.26668886299318</v>
      </c>
      <c r="G396" s="523">
        <f t="shared" si="157"/>
        <v>33074.628799999999</v>
      </c>
      <c r="H396" s="523">
        <f t="shared" si="157"/>
        <v>13781.1</v>
      </c>
      <c r="I396" s="523">
        <f t="shared" si="157"/>
        <v>12871.986650000001</v>
      </c>
      <c r="J396" s="302">
        <f t="shared" si="159"/>
        <v>93.403187336279402</v>
      </c>
      <c r="K396" s="48"/>
    </row>
    <row r="397" spans="1:12" ht="45" x14ac:dyDescent="0.25">
      <c r="A397" s="49">
        <v>1</v>
      </c>
      <c r="B397" s="57" t="s">
        <v>109</v>
      </c>
      <c r="C397" s="56">
        <f t="shared" si="160"/>
        <v>10500</v>
      </c>
      <c r="D397" s="56">
        <f t="shared" si="160"/>
        <v>4375</v>
      </c>
      <c r="E397" s="56">
        <f t="shared" si="160"/>
        <v>3011</v>
      </c>
      <c r="F397" s="58">
        <f t="shared" si="158"/>
        <v>68.822857142857146</v>
      </c>
      <c r="G397" s="523">
        <f t="shared" si="157"/>
        <v>8576.4</v>
      </c>
      <c r="H397" s="523">
        <f t="shared" si="157"/>
        <v>3573.5</v>
      </c>
      <c r="I397" s="523">
        <f t="shared" si="157"/>
        <v>2551.5321100000001</v>
      </c>
      <c r="J397" s="302">
        <f t="shared" si="159"/>
        <v>71.401486217993565</v>
      </c>
      <c r="K397" s="48"/>
    </row>
    <row r="398" spans="1:12" ht="30.75" thickBot="1" x14ac:dyDescent="0.3">
      <c r="B398" s="351" t="s">
        <v>123</v>
      </c>
      <c r="C398" s="536">
        <f>SUM(C374,C386)</f>
        <v>39663</v>
      </c>
      <c r="D398" s="536">
        <f>SUM(D374,D386)</f>
        <v>16527</v>
      </c>
      <c r="E398" s="536">
        <f>SUM(E374,E386)</f>
        <v>16594</v>
      </c>
      <c r="F398" s="58">
        <f t="shared" si="158"/>
        <v>100.40539722877715</v>
      </c>
      <c r="G398" s="536">
        <f>SUM(G374,G386)</f>
        <v>32167.486260000001</v>
      </c>
      <c r="H398" s="536">
        <f>SUM(H374,H386)</f>
        <v>13403.119999999999</v>
      </c>
      <c r="I398" s="536">
        <f>SUM(I374,I386)</f>
        <v>13387.28398</v>
      </c>
      <c r="J398" s="302">
        <f t="shared" si="159"/>
        <v>99.881848256226917</v>
      </c>
      <c r="K398" s="48"/>
    </row>
    <row r="399" spans="1:12" ht="15.75" thickBot="1" x14ac:dyDescent="0.3">
      <c r="A399" s="49">
        <v>1</v>
      </c>
      <c r="B399" s="192" t="s">
        <v>117</v>
      </c>
      <c r="C399" s="548">
        <f t="shared" ref="C399:I399" si="161">SUM(C387,C375)</f>
        <v>0</v>
      </c>
      <c r="D399" s="548">
        <f t="shared" si="161"/>
        <v>0</v>
      </c>
      <c r="E399" s="548">
        <f t="shared" si="161"/>
        <v>0</v>
      </c>
      <c r="F399" s="196">
        <f t="shared" si="161"/>
        <v>0</v>
      </c>
      <c r="G399" s="538">
        <f t="shared" si="161"/>
        <v>94288.965280000004</v>
      </c>
      <c r="H399" s="538">
        <f t="shared" si="161"/>
        <v>39287.06</v>
      </c>
      <c r="I399" s="538">
        <f t="shared" si="161"/>
        <v>38321.53701</v>
      </c>
      <c r="J399" s="548">
        <f t="shared" si="159"/>
        <v>97.542389300701046</v>
      </c>
      <c r="K399" s="48"/>
    </row>
    <row r="407" spans="2:10" x14ac:dyDescent="0.25">
      <c r="B407" s="49"/>
      <c r="C407" s="49"/>
      <c r="D407" s="49"/>
      <c r="E407" s="49"/>
      <c r="F407" s="49"/>
      <c r="G407" s="185"/>
      <c r="H407" s="185"/>
      <c r="I407" s="185"/>
      <c r="J407" s="49"/>
    </row>
    <row r="408" spans="2:10" x14ac:dyDescent="0.25">
      <c r="B408" s="49"/>
      <c r="C408" s="49"/>
      <c r="D408" s="49"/>
      <c r="E408" s="49"/>
      <c r="F408" s="49"/>
      <c r="G408" s="185"/>
      <c r="H408" s="185"/>
      <c r="I408" s="185"/>
      <c r="J408" s="49"/>
    </row>
    <row r="409" spans="2:10" x14ac:dyDescent="0.25">
      <c r="B409" s="49"/>
      <c r="C409" s="49"/>
      <c r="D409" s="49"/>
      <c r="E409" s="49"/>
      <c r="F409" s="49"/>
      <c r="G409" s="185"/>
      <c r="H409" s="185"/>
      <c r="I409" s="185"/>
      <c r="J409" s="49"/>
    </row>
    <row r="410" spans="2:10" x14ac:dyDescent="0.25">
      <c r="B410" s="49"/>
      <c r="C410" s="49"/>
      <c r="D410" s="49"/>
      <c r="E410" s="49"/>
      <c r="F410" s="49"/>
      <c r="G410" s="185"/>
      <c r="H410" s="185"/>
      <c r="I410" s="185"/>
      <c r="J410" s="49"/>
    </row>
    <row r="411" spans="2:10" x14ac:dyDescent="0.25">
      <c r="B411" s="49"/>
      <c r="C411" s="49"/>
      <c r="D411" s="49"/>
      <c r="E411" s="49"/>
      <c r="F411" s="49"/>
      <c r="G411" s="185"/>
      <c r="H411" s="185"/>
      <c r="I411" s="185"/>
      <c r="J411" s="49"/>
    </row>
    <row r="412" spans="2:10" x14ac:dyDescent="0.25">
      <c r="B412" s="49"/>
      <c r="C412" s="49"/>
      <c r="D412" s="49"/>
      <c r="E412" s="49"/>
      <c r="F412" s="49"/>
      <c r="G412" s="185"/>
      <c r="H412" s="185"/>
      <c r="I412" s="185"/>
      <c r="J412" s="49"/>
    </row>
    <row r="413" spans="2:10" x14ac:dyDescent="0.25">
      <c r="B413" s="49"/>
      <c r="C413" s="49"/>
      <c r="D413" s="49"/>
      <c r="E413" s="49"/>
      <c r="F413" s="49"/>
      <c r="G413" s="185"/>
      <c r="H413" s="185"/>
      <c r="I413" s="185"/>
      <c r="J413" s="49"/>
    </row>
    <row r="414" spans="2:10" x14ac:dyDescent="0.25">
      <c r="B414" s="49"/>
      <c r="C414" s="49"/>
      <c r="D414" s="49"/>
      <c r="E414" s="49"/>
      <c r="F414" s="49"/>
      <c r="G414" s="185"/>
      <c r="H414" s="185"/>
      <c r="I414" s="185"/>
      <c r="J414" s="49"/>
    </row>
    <row r="415" spans="2:10" x14ac:dyDescent="0.25">
      <c r="B415" s="49"/>
      <c r="C415" s="49"/>
      <c r="D415" s="49"/>
      <c r="E415" s="49"/>
      <c r="F415" s="49"/>
      <c r="G415" s="185"/>
      <c r="H415" s="185"/>
      <c r="I415" s="185"/>
      <c r="J415" s="49"/>
    </row>
    <row r="416" spans="2:10" x14ac:dyDescent="0.25">
      <c r="B416" s="49"/>
      <c r="C416" s="49"/>
      <c r="D416" s="49"/>
      <c r="E416" s="49"/>
      <c r="F416" s="49"/>
      <c r="G416" s="185"/>
      <c r="H416" s="185"/>
      <c r="I416" s="185"/>
      <c r="J416" s="49"/>
    </row>
    <row r="417" spans="2:10" x14ac:dyDescent="0.25">
      <c r="B417" s="49"/>
      <c r="C417" s="49"/>
      <c r="D417" s="49"/>
      <c r="E417" s="49"/>
      <c r="F417" s="49"/>
      <c r="G417" s="185"/>
      <c r="H417" s="185"/>
      <c r="I417" s="185"/>
      <c r="J417" s="49"/>
    </row>
    <row r="418" spans="2:10" x14ac:dyDescent="0.25">
      <c r="B418" s="49"/>
      <c r="C418" s="49"/>
      <c r="D418" s="49"/>
      <c r="E418" s="49"/>
      <c r="F418" s="49"/>
      <c r="G418" s="185"/>
      <c r="H418" s="185"/>
      <c r="I418" s="185"/>
      <c r="J418" s="49"/>
    </row>
    <row r="419" spans="2:10" x14ac:dyDescent="0.25">
      <c r="B419" s="49"/>
      <c r="C419" s="49"/>
      <c r="D419" s="49"/>
      <c r="E419" s="49"/>
      <c r="F419" s="49"/>
      <c r="G419" s="185"/>
      <c r="H419" s="185"/>
      <c r="I419" s="185"/>
      <c r="J419" s="49"/>
    </row>
    <row r="420" spans="2:10" x14ac:dyDescent="0.25">
      <c r="B420" s="49"/>
      <c r="C420" s="49"/>
      <c r="D420" s="49"/>
      <c r="E420" s="49"/>
      <c r="F420" s="49"/>
      <c r="G420" s="185"/>
      <c r="H420" s="185"/>
      <c r="I420" s="185"/>
      <c r="J420" s="49"/>
    </row>
    <row r="421" spans="2:10" x14ac:dyDescent="0.25">
      <c r="B421" s="49"/>
      <c r="C421" s="49"/>
      <c r="D421" s="49"/>
      <c r="E421" s="49"/>
      <c r="F421" s="49"/>
      <c r="G421" s="185"/>
      <c r="H421" s="185"/>
      <c r="I421" s="185"/>
      <c r="J421" s="49"/>
    </row>
    <row r="422" spans="2:10" x14ac:dyDescent="0.25">
      <c r="B422" s="49"/>
      <c r="C422" s="49"/>
      <c r="D422" s="49"/>
      <c r="E422" s="49"/>
      <c r="F422" s="49"/>
      <c r="G422" s="185"/>
      <c r="H422" s="185"/>
      <c r="I422" s="185"/>
      <c r="J422" s="49"/>
    </row>
    <row r="423" spans="2:10" x14ac:dyDescent="0.25">
      <c r="B423" s="49"/>
      <c r="C423" s="49"/>
      <c r="D423" s="49"/>
      <c r="E423" s="49"/>
      <c r="F423" s="49"/>
      <c r="G423" s="185"/>
      <c r="H423" s="185"/>
      <c r="I423" s="185"/>
      <c r="J423" s="49"/>
    </row>
    <row r="424" spans="2:10" x14ac:dyDescent="0.25">
      <c r="B424" s="49"/>
      <c r="C424" s="49"/>
      <c r="D424" s="49"/>
      <c r="E424" s="49"/>
      <c r="F424" s="49"/>
      <c r="G424" s="185"/>
      <c r="H424" s="185"/>
      <c r="I424" s="185"/>
      <c r="J424" s="49"/>
    </row>
    <row r="425" spans="2:10" x14ac:dyDescent="0.25">
      <c r="B425" s="49"/>
      <c r="C425" s="49"/>
      <c r="D425" s="49"/>
      <c r="E425" s="49"/>
      <c r="F425" s="49"/>
      <c r="G425" s="185"/>
      <c r="H425" s="185"/>
      <c r="I425" s="185"/>
      <c r="J425" s="49"/>
    </row>
    <row r="426" spans="2:10" x14ac:dyDescent="0.25">
      <c r="B426" s="49"/>
      <c r="C426" s="49"/>
      <c r="D426" s="49"/>
      <c r="E426" s="49"/>
      <c r="F426" s="49"/>
      <c r="G426" s="185"/>
      <c r="H426" s="185"/>
      <c r="I426" s="185"/>
      <c r="J426" s="49"/>
    </row>
    <row r="427" spans="2:10" x14ac:dyDescent="0.25">
      <c r="B427" s="49"/>
      <c r="C427" s="49"/>
      <c r="D427" s="49"/>
      <c r="E427" s="49"/>
      <c r="F427" s="49"/>
      <c r="G427" s="185"/>
      <c r="H427" s="185"/>
      <c r="I427" s="185"/>
      <c r="J427" s="49"/>
    </row>
    <row r="428" spans="2:10" x14ac:dyDescent="0.25">
      <c r="B428" s="49"/>
      <c r="C428" s="49"/>
      <c r="D428" s="49"/>
      <c r="E428" s="49"/>
      <c r="F428" s="49"/>
      <c r="G428" s="185"/>
      <c r="H428" s="185"/>
      <c r="I428" s="185"/>
      <c r="J428" s="49"/>
    </row>
    <row r="429" spans="2:10" x14ac:dyDescent="0.25">
      <c r="B429" s="49"/>
      <c r="C429" s="49"/>
      <c r="D429" s="49"/>
      <c r="E429" s="49"/>
      <c r="F429" s="49"/>
      <c r="G429" s="185"/>
      <c r="H429" s="185"/>
      <c r="I429" s="185"/>
      <c r="J429" s="49"/>
    </row>
    <row r="430" spans="2:10" x14ac:dyDescent="0.25">
      <c r="B430" s="49"/>
      <c r="C430" s="49"/>
      <c r="D430" s="49"/>
      <c r="E430" s="49"/>
      <c r="F430" s="49"/>
      <c r="G430" s="185"/>
      <c r="H430" s="185"/>
      <c r="I430" s="185"/>
      <c r="J430" s="49"/>
    </row>
    <row r="431" spans="2:10" x14ac:dyDescent="0.25">
      <c r="B431" s="49"/>
      <c r="C431" s="49"/>
      <c r="D431" s="49"/>
      <c r="E431" s="49"/>
      <c r="F431" s="49"/>
      <c r="G431" s="185"/>
      <c r="H431" s="185"/>
      <c r="I431" s="185"/>
      <c r="J431" s="49"/>
    </row>
    <row r="432" spans="2:10" x14ac:dyDescent="0.25">
      <c r="B432" s="49"/>
      <c r="C432" s="49"/>
      <c r="D432" s="49"/>
      <c r="E432" s="49"/>
      <c r="F432" s="49"/>
      <c r="G432" s="185"/>
      <c r="H432" s="185"/>
      <c r="I432" s="185"/>
      <c r="J432" s="49"/>
    </row>
    <row r="433" spans="2:10" x14ac:dyDescent="0.25">
      <c r="B433" s="49"/>
      <c r="C433" s="49"/>
      <c r="D433" s="49"/>
      <c r="E433" s="49"/>
      <c r="F433" s="49"/>
      <c r="G433" s="185"/>
      <c r="H433" s="185"/>
      <c r="I433" s="185"/>
      <c r="J433" s="49"/>
    </row>
    <row r="434" spans="2:10" x14ac:dyDescent="0.25">
      <c r="B434" s="49"/>
      <c r="C434" s="49"/>
      <c r="D434" s="49"/>
      <c r="E434" s="49"/>
      <c r="F434" s="49"/>
      <c r="G434" s="185"/>
      <c r="H434" s="185"/>
      <c r="I434" s="185"/>
      <c r="J434" s="49"/>
    </row>
    <row r="435" spans="2:10" x14ac:dyDescent="0.25">
      <c r="B435" s="49"/>
      <c r="C435" s="49"/>
      <c r="D435" s="49"/>
      <c r="E435" s="49"/>
      <c r="F435" s="49"/>
      <c r="G435" s="185"/>
      <c r="H435" s="185"/>
      <c r="I435" s="185"/>
      <c r="J435" s="49"/>
    </row>
    <row r="436" spans="2:10" x14ac:dyDescent="0.25">
      <c r="B436" s="49"/>
      <c r="C436" s="49"/>
      <c r="D436" s="49"/>
      <c r="E436" s="49"/>
      <c r="F436" s="49"/>
      <c r="G436" s="185"/>
      <c r="H436" s="185"/>
      <c r="I436" s="185"/>
      <c r="J436" s="49"/>
    </row>
    <row r="437" spans="2:10" x14ac:dyDescent="0.25">
      <c r="B437" s="49"/>
      <c r="C437" s="49"/>
      <c r="D437" s="49"/>
      <c r="E437" s="49"/>
      <c r="F437" s="49"/>
      <c r="G437" s="185"/>
      <c r="H437" s="185"/>
      <c r="I437" s="185"/>
      <c r="J437" s="49"/>
    </row>
    <row r="438" spans="2:10" x14ac:dyDescent="0.25">
      <c r="B438" s="49"/>
      <c r="C438" s="49"/>
      <c r="D438" s="49"/>
      <c r="E438" s="49"/>
      <c r="F438" s="49"/>
      <c r="G438" s="185"/>
      <c r="H438" s="185"/>
      <c r="I438" s="185"/>
      <c r="J438" s="49"/>
    </row>
    <row r="439" spans="2:10" x14ac:dyDescent="0.25">
      <c r="B439" s="49"/>
      <c r="C439" s="49"/>
      <c r="D439" s="49"/>
      <c r="E439" s="49"/>
      <c r="F439" s="49"/>
      <c r="G439" s="185"/>
      <c r="H439" s="185"/>
      <c r="I439" s="185"/>
      <c r="J439" s="49"/>
    </row>
    <row r="440" spans="2:10" x14ac:dyDescent="0.25">
      <c r="B440" s="49"/>
      <c r="C440" s="49"/>
      <c r="D440" s="49"/>
      <c r="E440" s="49"/>
      <c r="F440" s="49"/>
      <c r="G440" s="185"/>
      <c r="H440" s="185"/>
      <c r="I440" s="185"/>
      <c r="J440" s="49"/>
    </row>
    <row r="441" spans="2:10" x14ac:dyDescent="0.25">
      <c r="B441" s="49"/>
      <c r="C441" s="49"/>
      <c r="D441" s="49"/>
      <c r="E441" s="49"/>
      <c r="F441" s="49"/>
      <c r="G441" s="185"/>
      <c r="H441" s="185"/>
      <c r="I441" s="185"/>
      <c r="J441" s="49"/>
    </row>
    <row r="442" spans="2:10" x14ac:dyDescent="0.25">
      <c r="B442" s="49"/>
      <c r="C442" s="49"/>
      <c r="D442" s="49"/>
      <c r="E442" s="49"/>
      <c r="F442" s="49"/>
      <c r="G442" s="185"/>
      <c r="H442" s="185"/>
      <c r="I442" s="185"/>
      <c r="J442" s="49"/>
    </row>
    <row r="443" spans="2:10" x14ac:dyDescent="0.25">
      <c r="B443" s="49"/>
      <c r="C443" s="49"/>
      <c r="D443" s="49"/>
      <c r="E443" s="49"/>
      <c r="F443" s="49"/>
      <c r="G443" s="185"/>
      <c r="H443" s="185"/>
      <c r="I443" s="185"/>
      <c r="J443" s="49"/>
    </row>
    <row r="444" spans="2:10" x14ac:dyDescent="0.25">
      <c r="B444" s="49"/>
      <c r="C444" s="49"/>
      <c r="D444" s="49"/>
      <c r="E444" s="49"/>
      <c r="F444" s="49"/>
      <c r="G444" s="185"/>
      <c r="H444" s="185"/>
      <c r="I444" s="185"/>
      <c r="J444" s="49"/>
    </row>
    <row r="445" spans="2:10" x14ac:dyDescent="0.25">
      <c r="B445" s="49"/>
      <c r="C445" s="49"/>
      <c r="D445" s="49"/>
      <c r="E445" s="49"/>
      <c r="F445" s="49"/>
      <c r="G445" s="185"/>
      <c r="H445" s="185"/>
      <c r="I445" s="185"/>
      <c r="J445" s="49"/>
    </row>
    <row r="446" spans="2:10" x14ac:dyDescent="0.25">
      <c r="B446" s="49"/>
      <c r="C446" s="49"/>
      <c r="D446" s="49"/>
      <c r="E446" s="49"/>
      <c r="F446" s="49"/>
      <c r="G446" s="185"/>
      <c r="H446" s="185"/>
      <c r="I446" s="185"/>
      <c r="J446" s="49"/>
    </row>
    <row r="447" spans="2:10" x14ac:dyDescent="0.25">
      <c r="B447" s="49"/>
      <c r="C447" s="49"/>
      <c r="D447" s="49"/>
      <c r="E447" s="49"/>
      <c r="F447" s="49"/>
      <c r="G447" s="185"/>
      <c r="H447" s="185"/>
      <c r="I447" s="185"/>
      <c r="J447" s="49"/>
    </row>
    <row r="448" spans="2:10" x14ac:dyDescent="0.25">
      <c r="B448" s="49"/>
      <c r="C448" s="49"/>
      <c r="D448" s="49"/>
      <c r="E448" s="49"/>
      <c r="F448" s="49"/>
      <c r="G448" s="185"/>
      <c r="H448" s="185"/>
      <c r="I448" s="185"/>
      <c r="J448" s="49"/>
    </row>
    <row r="449" spans="2:10" x14ac:dyDescent="0.25">
      <c r="B449" s="49"/>
      <c r="C449" s="49"/>
      <c r="D449" s="49"/>
      <c r="E449" s="49"/>
      <c r="F449" s="49"/>
      <c r="G449" s="185"/>
      <c r="H449" s="185"/>
      <c r="I449" s="185"/>
      <c r="J449" s="49"/>
    </row>
    <row r="450" spans="2:10" x14ac:dyDescent="0.25">
      <c r="B450" s="49"/>
      <c r="C450" s="49"/>
      <c r="D450" s="49"/>
      <c r="E450" s="49"/>
      <c r="F450" s="49"/>
      <c r="G450" s="185"/>
      <c r="H450" s="185"/>
      <c r="I450" s="185"/>
      <c r="J450" s="49"/>
    </row>
    <row r="451" spans="2:10" x14ac:dyDescent="0.25">
      <c r="B451" s="49"/>
      <c r="C451" s="49"/>
      <c r="D451" s="49"/>
      <c r="E451" s="49"/>
      <c r="F451" s="49"/>
      <c r="G451" s="185"/>
      <c r="H451" s="185"/>
      <c r="I451" s="185"/>
      <c r="J451" s="49"/>
    </row>
    <row r="452" spans="2:10" x14ac:dyDescent="0.25">
      <c r="B452" s="49"/>
      <c r="C452" s="49"/>
      <c r="D452" s="49"/>
      <c r="E452" s="49"/>
      <c r="F452" s="49"/>
      <c r="G452" s="185"/>
      <c r="H452" s="185"/>
      <c r="I452" s="185"/>
      <c r="J452" s="49"/>
    </row>
    <row r="453" spans="2:10" x14ac:dyDescent="0.25">
      <c r="B453" s="49"/>
      <c r="C453" s="49"/>
      <c r="D453" s="49"/>
      <c r="E453" s="49"/>
      <c r="F453" s="49"/>
      <c r="G453" s="185"/>
      <c r="H453" s="185"/>
      <c r="I453" s="185"/>
      <c r="J453" s="49"/>
    </row>
    <row r="454" spans="2:10" x14ac:dyDescent="0.25">
      <c r="B454" s="49"/>
      <c r="C454" s="49"/>
      <c r="D454" s="49"/>
      <c r="E454" s="49"/>
      <c r="F454" s="49"/>
      <c r="G454" s="185"/>
      <c r="H454" s="185"/>
      <c r="I454" s="185"/>
      <c r="J454" s="49"/>
    </row>
    <row r="455" spans="2:10" x14ac:dyDescent="0.25">
      <c r="B455" s="49"/>
      <c r="C455" s="49"/>
      <c r="D455" s="49"/>
      <c r="E455" s="49"/>
      <c r="F455" s="49"/>
      <c r="G455" s="185"/>
      <c r="H455" s="185"/>
      <c r="I455" s="185"/>
      <c r="J455" s="49"/>
    </row>
    <row r="456" spans="2:10" x14ac:dyDescent="0.25">
      <c r="B456" s="49"/>
      <c r="C456" s="49"/>
      <c r="D456" s="49"/>
      <c r="E456" s="49"/>
      <c r="F456" s="49"/>
      <c r="G456" s="185"/>
      <c r="H456" s="185"/>
      <c r="I456" s="185"/>
      <c r="J456" s="49"/>
    </row>
    <row r="457" spans="2:10" x14ac:dyDescent="0.25">
      <c r="B457" s="49"/>
      <c r="C457" s="49"/>
      <c r="D457" s="49"/>
      <c r="E457" s="49"/>
      <c r="F457" s="49"/>
      <c r="G457" s="185"/>
      <c r="H457" s="185"/>
      <c r="I457" s="185"/>
      <c r="J457" s="49"/>
    </row>
    <row r="458" spans="2:10" x14ac:dyDescent="0.25">
      <c r="B458" s="49"/>
      <c r="C458" s="49"/>
      <c r="D458" s="49"/>
      <c r="E458" s="49"/>
      <c r="F458" s="49"/>
      <c r="G458" s="185"/>
      <c r="H458" s="185"/>
      <c r="I458" s="185"/>
      <c r="J458" s="49"/>
    </row>
    <row r="459" spans="2:10" x14ac:dyDescent="0.25">
      <c r="B459" s="49"/>
      <c r="C459" s="49"/>
      <c r="D459" s="49"/>
      <c r="E459" s="49"/>
      <c r="F459" s="49"/>
      <c r="G459" s="185"/>
      <c r="H459" s="185"/>
      <c r="I459" s="185"/>
      <c r="J459" s="49"/>
    </row>
    <row r="460" spans="2:10" x14ac:dyDescent="0.25">
      <c r="B460" s="49"/>
      <c r="C460" s="49"/>
      <c r="D460" s="49"/>
      <c r="E460" s="49"/>
      <c r="F460" s="49"/>
      <c r="G460" s="185"/>
      <c r="H460" s="185"/>
      <c r="I460" s="185"/>
      <c r="J460" s="49"/>
    </row>
    <row r="461" spans="2:10" x14ac:dyDescent="0.25">
      <c r="B461" s="49"/>
      <c r="C461" s="49"/>
      <c r="D461" s="49"/>
      <c r="E461" s="49"/>
      <c r="F461" s="49"/>
      <c r="G461" s="185"/>
      <c r="H461" s="185"/>
      <c r="I461" s="185"/>
      <c r="J461" s="49"/>
    </row>
    <row r="462" spans="2:10" x14ac:dyDescent="0.25">
      <c r="B462" s="49"/>
      <c r="C462" s="49"/>
      <c r="D462" s="49"/>
      <c r="E462" s="49"/>
      <c r="F462" s="49"/>
      <c r="G462" s="185"/>
      <c r="H462" s="185"/>
      <c r="I462" s="185"/>
      <c r="J462" s="49"/>
    </row>
    <row r="463" spans="2:10" x14ac:dyDescent="0.25">
      <c r="B463" s="49"/>
      <c r="C463" s="49"/>
      <c r="D463" s="49"/>
      <c r="E463" s="49"/>
      <c r="F463" s="49"/>
      <c r="G463" s="185"/>
      <c r="H463" s="185"/>
      <c r="I463" s="185"/>
      <c r="J463" s="49"/>
    </row>
    <row r="464" spans="2:10" x14ac:dyDescent="0.25">
      <c r="B464" s="49"/>
      <c r="C464" s="49"/>
      <c r="D464" s="49"/>
      <c r="E464" s="49"/>
      <c r="F464" s="49"/>
      <c r="G464" s="185"/>
      <c r="H464" s="185"/>
      <c r="I464" s="185"/>
      <c r="J464" s="49"/>
    </row>
    <row r="465" spans="2:10" x14ac:dyDescent="0.25">
      <c r="B465" s="49"/>
      <c r="C465" s="49"/>
      <c r="D465" s="49"/>
      <c r="E465" s="49"/>
      <c r="F465" s="49"/>
      <c r="G465" s="185"/>
      <c r="H465" s="185"/>
      <c r="I465" s="185"/>
      <c r="J465" s="49"/>
    </row>
    <row r="466" spans="2:10" x14ac:dyDescent="0.25">
      <c r="B466" s="49"/>
      <c r="C466" s="49"/>
      <c r="D466" s="49"/>
      <c r="E466" s="49"/>
      <c r="F466" s="49"/>
      <c r="G466" s="185"/>
      <c r="H466" s="185"/>
      <c r="I466" s="185"/>
      <c r="J466" s="49"/>
    </row>
    <row r="467" spans="2:10" x14ac:dyDescent="0.25">
      <c r="B467" s="49"/>
      <c r="C467" s="49"/>
      <c r="D467" s="49"/>
      <c r="E467" s="49"/>
      <c r="F467" s="49"/>
      <c r="G467" s="185"/>
      <c r="H467" s="185"/>
      <c r="I467" s="185"/>
      <c r="J467" s="49"/>
    </row>
    <row r="468" spans="2:10" x14ac:dyDescent="0.25">
      <c r="B468" s="49"/>
      <c r="C468" s="49"/>
      <c r="D468" s="49"/>
      <c r="E468" s="49"/>
      <c r="F468" s="49"/>
      <c r="G468" s="185"/>
      <c r="H468" s="185"/>
      <c r="I468" s="185"/>
      <c r="J468" s="49"/>
    </row>
    <row r="469" spans="2:10" x14ac:dyDescent="0.25">
      <c r="B469" s="49"/>
      <c r="C469" s="49"/>
      <c r="D469" s="49"/>
      <c r="E469" s="49"/>
      <c r="F469" s="49"/>
      <c r="G469" s="185"/>
      <c r="H469" s="185"/>
      <c r="I469" s="185"/>
      <c r="J469" s="49"/>
    </row>
    <row r="470" spans="2:10" x14ac:dyDescent="0.25">
      <c r="B470" s="49"/>
      <c r="C470" s="49"/>
      <c r="D470" s="49"/>
      <c r="E470" s="49"/>
      <c r="F470" s="49"/>
      <c r="G470" s="185"/>
      <c r="H470" s="185"/>
      <c r="I470" s="185"/>
      <c r="J470" s="49"/>
    </row>
    <row r="471" spans="2:10" x14ac:dyDescent="0.25">
      <c r="B471" s="49"/>
      <c r="C471" s="49"/>
      <c r="D471" s="49"/>
      <c r="E471" s="49"/>
      <c r="F471" s="49"/>
      <c r="G471" s="185"/>
      <c r="H471" s="185"/>
      <c r="I471" s="185"/>
      <c r="J471" s="49"/>
    </row>
    <row r="472" spans="2:10" x14ac:dyDescent="0.25">
      <c r="B472" s="49"/>
      <c r="C472" s="49"/>
      <c r="D472" s="49"/>
      <c r="E472" s="49"/>
      <c r="F472" s="49"/>
      <c r="G472" s="185"/>
      <c r="H472" s="185"/>
      <c r="I472" s="185"/>
      <c r="J472" s="49"/>
    </row>
    <row r="473" spans="2:10" x14ac:dyDescent="0.25">
      <c r="B473" s="49"/>
      <c r="C473" s="49"/>
      <c r="D473" s="49"/>
      <c r="E473" s="49"/>
      <c r="F473" s="49"/>
      <c r="G473" s="185"/>
      <c r="H473" s="185"/>
      <c r="I473" s="185"/>
      <c r="J473" s="49"/>
    </row>
    <row r="474" spans="2:10" x14ac:dyDescent="0.25">
      <c r="B474" s="49"/>
      <c r="C474" s="49"/>
      <c r="D474" s="49"/>
      <c r="E474" s="49"/>
      <c r="F474" s="49"/>
      <c r="G474" s="185"/>
      <c r="H474" s="185"/>
      <c r="I474" s="185"/>
      <c r="J474" s="49"/>
    </row>
    <row r="475" spans="2:10" x14ac:dyDescent="0.25">
      <c r="B475" s="49"/>
      <c r="C475" s="49"/>
      <c r="D475" s="49"/>
      <c r="E475" s="49"/>
      <c r="F475" s="49"/>
      <c r="G475" s="185"/>
      <c r="H475" s="185"/>
      <c r="I475" s="185"/>
      <c r="J475" s="49"/>
    </row>
    <row r="476" spans="2:10" x14ac:dyDescent="0.25">
      <c r="B476" s="49"/>
      <c r="C476" s="49"/>
      <c r="D476" s="49"/>
      <c r="E476" s="49"/>
      <c r="F476" s="49"/>
      <c r="G476" s="185"/>
      <c r="H476" s="185"/>
      <c r="I476" s="185"/>
      <c r="J476" s="49"/>
    </row>
    <row r="477" spans="2:10" x14ac:dyDescent="0.25">
      <c r="B477" s="49"/>
      <c r="C477" s="49"/>
      <c r="D477" s="49"/>
      <c r="E477" s="49"/>
      <c r="F477" s="49"/>
      <c r="G477" s="185"/>
      <c r="H477" s="185"/>
      <c r="I477" s="185"/>
      <c r="J477" s="49"/>
    </row>
    <row r="478" spans="2:10" x14ac:dyDescent="0.25">
      <c r="B478" s="49"/>
      <c r="C478" s="49"/>
      <c r="D478" s="49"/>
      <c r="E478" s="49"/>
      <c r="F478" s="49"/>
      <c r="G478" s="185"/>
      <c r="H478" s="185"/>
      <c r="I478" s="185"/>
      <c r="J478" s="49"/>
    </row>
    <row r="479" spans="2:10" x14ac:dyDescent="0.25">
      <c r="B479" s="49"/>
      <c r="C479" s="49"/>
      <c r="D479" s="49"/>
      <c r="E479" s="49"/>
      <c r="F479" s="49"/>
      <c r="G479" s="185"/>
      <c r="H479" s="185"/>
      <c r="I479" s="185"/>
      <c r="J479" s="49"/>
    </row>
    <row r="480" spans="2:10" x14ac:dyDescent="0.25">
      <c r="B480" s="49"/>
      <c r="C480" s="49"/>
      <c r="D480" s="49"/>
      <c r="E480" s="49"/>
      <c r="F480" s="49"/>
      <c r="G480" s="185"/>
      <c r="H480" s="185"/>
      <c r="I480" s="185"/>
      <c r="J480" s="49"/>
    </row>
    <row r="481" spans="2:10" x14ac:dyDescent="0.25">
      <c r="B481" s="49"/>
      <c r="C481" s="49"/>
      <c r="D481" s="49"/>
      <c r="E481" s="49"/>
      <c r="F481" s="49"/>
      <c r="G481" s="185"/>
      <c r="H481" s="185"/>
      <c r="I481" s="185"/>
      <c r="J481" s="49"/>
    </row>
    <row r="482" spans="2:10" x14ac:dyDescent="0.25">
      <c r="B482" s="49"/>
      <c r="C482" s="49"/>
      <c r="D482" s="49"/>
      <c r="E482" s="49"/>
      <c r="F482" s="49"/>
      <c r="G482" s="185"/>
      <c r="H482" s="185"/>
      <c r="I482" s="185"/>
      <c r="J482" s="49"/>
    </row>
    <row r="483" spans="2:10" x14ac:dyDescent="0.25">
      <c r="B483" s="49"/>
      <c r="C483" s="49"/>
      <c r="D483" s="49"/>
      <c r="E483" s="49"/>
      <c r="F483" s="49"/>
      <c r="G483" s="185"/>
      <c r="H483" s="185"/>
      <c r="I483" s="185"/>
      <c r="J483" s="49"/>
    </row>
    <row r="484" spans="2:10" x14ac:dyDescent="0.25">
      <c r="B484" s="49"/>
      <c r="C484" s="49"/>
      <c r="D484" s="49"/>
      <c r="E484" s="49"/>
      <c r="F484" s="49"/>
      <c r="G484" s="185"/>
      <c r="H484" s="185"/>
      <c r="I484" s="185"/>
      <c r="J484" s="49"/>
    </row>
    <row r="485" spans="2:10" x14ac:dyDescent="0.25">
      <c r="B485" s="49"/>
      <c r="C485" s="49"/>
      <c r="D485" s="49"/>
      <c r="E485" s="49"/>
      <c r="F485" s="49"/>
      <c r="G485" s="185"/>
      <c r="H485" s="185"/>
      <c r="I485" s="185"/>
      <c r="J485" s="49"/>
    </row>
    <row r="486" spans="2:10" x14ac:dyDescent="0.25">
      <c r="B486" s="49"/>
      <c r="C486" s="49"/>
      <c r="D486" s="49"/>
      <c r="E486" s="49"/>
      <c r="F486" s="49"/>
      <c r="G486" s="185"/>
      <c r="H486" s="185"/>
      <c r="I486" s="185"/>
      <c r="J486" s="49"/>
    </row>
    <row r="487" spans="2:10" x14ac:dyDescent="0.25">
      <c r="B487" s="49"/>
      <c r="C487" s="49"/>
      <c r="D487" s="49"/>
      <c r="E487" s="49"/>
      <c r="F487" s="49"/>
      <c r="G487" s="185"/>
      <c r="H487" s="185"/>
      <c r="I487" s="185"/>
      <c r="J487" s="49"/>
    </row>
    <row r="488" spans="2:10" x14ac:dyDescent="0.25">
      <c r="B488" s="49"/>
      <c r="C488" s="49"/>
      <c r="D488" s="49"/>
      <c r="E488" s="49"/>
      <c r="F488" s="49"/>
      <c r="G488" s="185"/>
      <c r="H488" s="185"/>
      <c r="I488" s="185"/>
      <c r="J488" s="49"/>
    </row>
    <row r="489" spans="2:10" x14ac:dyDescent="0.25">
      <c r="B489" s="49"/>
      <c r="C489" s="49"/>
      <c r="D489" s="49"/>
      <c r="E489" s="49"/>
      <c r="F489" s="49"/>
      <c r="G489" s="185"/>
      <c r="H489" s="185"/>
      <c r="I489" s="185"/>
      <c r="J489" s="49"/>
    </row>
    <row r="490" spans="2:10" x14ac:dyDescent="0.25">
      <c r="B490" s="49"/>
      <c r="C490" s="49"/>
      <c r="D490" s="49"/>
      <c r="E490" s="49"/>
      <c r="F490" s="49"/>
      <c r="G490" s="185"/>
      <c r="H490" s="185"/>
      <c r="I490" s="185"/>
      <c r="J490" s="49"/>
    </row>
    <row r="491" spans="2:10" x14ac:dyDescent="0.25">
      <c r="B491" s="49"/>
      <c r="C491" s="49"/>
      <c r="D491" s="49"/>
      <c r="E491" s="49"/>
      <c r="F491" s="49"/>
      <c r="G491" s="185"/>
      <c r="H491" s="185"/>
      <c r="I491" s="185"/>
      <c r="J491" s="49"/>
    </row>
    <row r="492" spans="2:10" x14ac:dyDescent="0.25">
      <c r="B492" s="49"/>
      <c r="C492" s="49"/>
      <c r="D492" s="49"/>
      <c r="E492" s="49"/>
      <c r="F492" s="49"/>
      <c r="G492" s="185"/>
      <c r="H492" s="185"/>
      <c r="I492" s="185"/>
      <c r="J492" s="49"/>
    </row>
    <row r="493" spans="2:10" x14ac:dyDescent="0.25">
      <c r="B493" s="49"/>
      <c r="C493" s="49"/>
      <c r="D493" s="49"/>
      <c r="E493" s="49"/>
      <c r="F493" s="49"/>
      <c r="G493" s="185"/>
      <c r="H493" s="185"/>
      <c r="I493" s="185"/>
      <c r="J493" s="49"/>
    </row>
    <row r="494" spans="2:10" x14ac:dyDescent="0.25">
      <c r="B494" s="49"/>
      <c r="C494" s="49"/>
      <c r="D494" s="49"/>
      <c r="E494" s="49"/>
      <c r="F494" s="49"/>
      <c r="G494" s="185"/>
      <c r="H494" s="185"/>
      <c r="I494" s="185"/>
      <c r="J494" s="49"/>
    </row>
    <row r="495" spans="2:10" x14ac:dyDescent="0.25">
      <c r="B495" s="49"/>
      <c r="C495" s="49"/>
      <c r="D495" s="49"/>
      <c r="E495" s="49"/>
      <c r="F495" s="49"/>
      <c r="G495" s="185"/>
      <c r="H495" s="185"/>
      <c r="I495" s="185"/>
      <c r="J495" s="49"/>
    </row>
    <row r="496" spans="2:10" x14ac:dyDescent="0.25">
      <c r="B496" s="49"/>
      <c r="C496" s="49"/>
      <c r="D496" s="49"/>
      <c r="E496" s="49"/>
      <c r="F496" s="49"/>
      <c r="G496" s="185"/>
      <c r="H496" s="185"/>
      <c r="I496" s="185"/>
      <c r="J496" s="49"/>
    </row>
    <row r="497" spans="2:10" x14ac:dyDescent="0.25">
      <c r="B497" s="49"/>
      <c r="C497" s="49"/>
      <c r="D497" s="49"/>
      <c r="E497" s="49"/>
      <c r="F497" s="49"/>
      <c r="G497" s="185"/>
      <c r="H497" s="185"/>
      <c r="I497" s="185"/>
      <c r="J497" s="49"/>
    </row>
    <row r="498" spans="2:10" x14ac:dyDescent="0.25">
      <c r="B498" s="49"/>
      <c r="C498" s="49"/>
      <c r="D498" s="49"/>
      <c r="E498" s="49"/>
      <c r="F498" s="49"/>
      <c r="G498" s="185"/>
      <c r="H498" s="185"/>
      <c r="I498" s="185"/>
      <c r="J498" s="49"/>
    </row>
    <row r="499" spans="2:10" x14ac:dyDescent="0.25">
      <c r="B499" s="49"/>
      <c r="C499" s="49"/>
      <c r="D499" s="49"/>
      <c r="E499" s="49"/>
      <c r="F499" s="49"/>
      <c r="G499" s="185"/>
      <c r="H499" s="185"/>
      <c r="I499" s="185"/>
      <c r="J499" s="49"/>
    </row>
    <row r="500" spans="2:10" x14ac:dyDescent="0.25">
      <c r="B500" s="49"/>
      <c r="C500" s="49"/>
      <c r="D500" s="49"/>
      <c r="E500" s="49"/>
      <c r="F500" s="49"/>
      <c r="G500" s="185"/>
      <c r="H500" s="185"/>
      <c r="I500" s="185"/>
      <c r="J500" s="49"/>
    </row>
    <row r="501" spans="2:10" x14ac:dyDescent="0.25">
      <c r="B501" s="49"/>
      <c r="C501" s="49"/>
      <c r="D501" s="49"/>
      <c r="E501" s="49"/>
      <c r="F501" s="49"/>
      <c r="G501" s="185"/>
      <c r="H501" s="185"/>
      <c r="I501" s="185"/>
      <c r="J501" s="49"/>
    </row>
    <row r="502" spans="2:10" x14ac:dyDescent="0.25">
      <c r="B502" s="49"/>
      <c r="C502" s="49"/>
      <c r="D502" s="49"/>
      <c r="E502" s="49"/>
      <c r="F502" s="49"/>
      <c r="G502" s="185"/>
      <c r="H502" s="185"/>
      <c r="I502" s="185"/>
      <c r="J502" s="49"/>
    </row>
    <row r="503" spans="2:10" x14ac:dyDescent="0.25">
      <c r="B503" s="49"/>
      <c r="C503" s="49"/>
      <c r="D503" s="49"/>
      <c r="E503" s="49"/>
      <c r="F503" s="49"/>
      <c r="G503" s="185"/>
      <c r="H503" s="185"/>
      <c r="I503" s="185"/>
      <c r="J503" s="49"/>
    </row>
    <row r="504" spans="2:10" x14ac:dyDescent="0.25">
      <c r="B504" s="49"/>
      <c r="C504" s="49"/>
      <c r="D504" s="49"/>
      <c r="E504" s="49"/>
      <c r="F504" s="49"/>
      <c r="G504" s="185"/>
      <c r="H504" s="185"/>
      <c r="I504" s="185"/>
      <c r="J504" s="49"/>
    </row>
    <row r="505" spans="2:10" x14ac:dyDescent="0.25">
      <c r="B505" s="49"/>
      <c r="C505" s="49"/>
      <c r="D505" s="49"/>
      <c r="E505" s="49"/>
      <c r="F505" s="49"/>
      <c r="G505" s="185"/>
      <c r="H505" s="185"/>
      <c r="I505" s="185"/>
      <c r="J505" s="49"/>
    </row>
    <row r="506" spans="2:10" x14ac:dyDescent="0.25">
      <c r="B506" s="49"/>
      <c r="C506" s="49"/>
      <c r="D506" s="49"/>
      <c r="E506" s="49"/>
      <c r="F506" s="49"/>
      <c r="G506" s="185"/>
      <c r="H506" s="185"/>
      <c r="I506" s="185"/>
      <c r="J506" s="49"/>
    </row>
    <row r="507" spans="2:10" x14ac:dyDescent="0.25">
      <c r="B507" s="49"/>
      <c r="C507" s="49"/>
      <c r="D507" s="49"/>
      <c r="E507" s="49"/>
      <c r="F507" s="49"/>
      <c r="G507" s="185"/>
      <c r="H507" s="185"/>
      <c r="I507" s="185"/>
      <c r="J507" s="49"/>
    </row>
    <row r="508" spans="2:10" x14ac:dyDescent="0.25">
      <c r="B508" s="49"/>
      <c r="C508" s="49"/>
      <c r="D508" s="49"/>
      <c r="E508" s="49"/>
      <c r="F508" s="49"/>
      <c r="G508" s="185"/>
      <c r="H508" s="185"/>
      <c r="I508" s="185"/>
      <c r="J508" s="49"/>
    </row>
    <row r="509" spans="2:10" x14ac:dyDescent="0.25">
      <c r="B509" s="49"/>
      <c r="C509" s="49"/>
      <c r="D509" s="49"/>
      <c r="E509" s="49"/>
      <c r="F509" s="49"/>
      <c r="G509" s="185"/>
      <c r="H509" s="185"/>
      <c r="I509" s="185"/>
      <c r="J509" s="49"/>
    </row>
    <row r="510" spans="2:10" x14ac:dyDescent="0.25">
      <c r="B510" s="49"/>
      <c r="C510" s="49"/>
      <c r="D510" s="49"/>
      <c r="E510" s="49"/>
      <c r="F510" s="49"/>
      <c r="G510" s="185"/>
      <c r="H510" s="185"/>
      <c r="I510" s="185"/>
      <c r="J510" s="49"/>
    </row>
    <row r="511" spans="2:10" x14ac:dyDescent="0.25">
      <c r="B511" s="49"/>
      <c r="C511" s="49"/>
      <c r="D511" s="49"/>
      <c r="E511" s="49"/>
      <c r="F511" s="49"/>
      <c r="G511" s="185"/>
      <c r="H511" s="185"/>
      <c r="I511" s="185"/>
      <c r="J511" s="49"/>
    </row>
    <row r="512" spans="2:10" x14ac:dyDescent="0.25">
      <c r="B512" s="49"/>
      <c r="C512" s="49"/>
      <c r="D512" s="49"/>
      <c r="E512" s="49"/>
      <c r="F512" s="49"/>
      <c r="G512" s="185"/>
      <c r="H512" s="185"/>
      <c r="I512" s="185"/>
      <c r="J512" s="49"/>
    </row>
    <row r="513" spans="2:10" x14ac:dyDescent="0.25">
      <c r="B513" s="49"/>
      <c r="C513" s="49"/>
      <c r="D513" s="49"/>
      <c r="E513" s="49"/>
      <c r="F513" s="49"/>
      <c r="G513" s="185"/>
      <c r="H513" s="185"/>
      <c r="I513" s="185"/>
      <c r="J513" s="49"/>
    </row>
    <row r="514" spans="2:10" x14ac:dyDescent="0.25">
      <c r="B514" s="49"/>
      <c r="C514" s="49"/>
      <c r="D514" s="49"/>
      <c r="E514" s="49"/>
      <c r="F514" s="49"/>
      <c r="G514" s="185"/>
      <c r="H514" s="185"/>
      <c r="I514" s="185"/>
      <c r="J514" s="49"/>
    </row>
    <row r="515" spans="2:10" x14ac:dyDescent="0.25">
      <c r="B515" s="49"/>
      <c r="C515" s="49"/>
      <c r="D515" s="49"/>
      <c r="E515" s="49"/>
      <c r="F515" s="49"/>
      <c r="G515" s="185"/>
      <c r="H515" s="185"/>
      <c r="I515" s="185"/>
      <c r="J515" s="49"/>
    </row>
    <row r="516" spans="2:10" x14ac:dyDescent="0.25">
      <c r="B516" s="49"/>
      <c r="C516" s="49"/>
      <c r="D516" s="49"/>
      <c r="E516" s="49"/>
      <c r="F516" s="49"/>
      <c r="G516" s="185"/>
      <c r="H516" s="185"/>
      <c r="I516" s="185"/>
      <c r="J516" s="49"/>
    </row>
    <row r="517" spans="2:10" x14ac:dyDescent="0.25">
      <c r="B517" s="49"/>
      <c r="C517" s="49"/>
      <c r="D517" s="49"/>
      <c r="E517" s="49"/>
      <c r="F517" s="49"/>
      <c r="G517" s="185"/>
      <c r="H517" s="185"/>
      <c r="I517" s="185"/>
      <c r="J517" s="49"/>
    </row>
    <row r="518" spans="2:10" x14ac:dyDescent="0.25">
      <c r="B518" s="49"/>
      <c r="C518" s="49"/>
      <c r="D518" s="49"/>
      <c r="E518" s="49"/>
      <c r="F518" s="49"/>
      <c r="G518" s="185"/>
      <c r="H518" s="185"/>
      <c r="I518" s="185"/>
      <c r="J518" s="49"/>
    </row>
    <row r="519" spans="2:10" x14ac:dyDescent="0.25">
      <c r="B519" s="49"/>
      <c r="C519" s="49"/>
      <c r="D519" s="49"/>
      <c r="E519" s="49"/>
      <c r="F519" s="49"/>
      <c r="G519" s="185"/>
      <c r="H519" s="185"/>
      <c r="I519" s="185"/>
      <c r="J519" s="49"/>
    </row>
    <row r="520" spans="2:10" x14ac:dyDescent="0.25">
      <c r="B520" s="49"/>
      <c r="C520" s="49"/>
      <c r="D520" s="49"/>
      <c r="E520" s="49"/>
      <c r="F520" s="49"/>
      <c r="G520" s="185"/>
      <c r="H520" s="185"/>
      <c r="I520" s="185"/>
      <c r="J520" s="49"/>
    </row>
    <row r="521" spans="2:10" x14ac:dyDescent="0.25">
      <c r="B521" s="49"/>
      <c r="C521" s="49"/>
      <c r="D521" s="49"/>
      <c r="E521" s="49"/>
      <c r="F521" s="49"/>
      <c r="G521" s="185"/>
      <c r="H521" s="185"/>
      <c r="I521" s="185"/>
      <c r="J521" s="49"/>
    </row>
    <row r="522" spans="2:10" x14ac:dyDescent="0.25">
      <c r="B522" s="49"/>
      <c r="C522" s="49"/>
      <c r="D522" s="49"/>
      <c r="E522" s="49"/>
      <c r="F522" s="49"/>
      <c r="G522" s="185"/>
      <c r="H522" s="185"/>
      <c r="I522" s="185"/>
      <c r="J522" s="49"/>
    </row>
    <row r="523" spans="2:10" x14ac:dyDescent="0.25">
      <c r="B523" s="49"/>
      <c r="C523" s="49"/>
      <c r="D523" s="49"/>
      <c r="E523" s="49"/>
      <c r="F523" s="49"/>
      <c r="G523" s="185"/>
      <c r="H523" s="185"/>
      <c r="I523" s="185"/>
      <c r="J523" s="49"/>
    </row>
    <row r="524" spans="2:10" x14ac:dyDescent="0.25">
      <c r="B524" s="49"/>
      <c r="C524" s="49"/>
      <c r="D524" s="49"/>
      <c r="E524" s="49"/>
      <c r="F524" s="49"/>
      <c r="G524" s="185"/>
      <c r="H524" s="185"/>
      <c r="I524" s="185"/>
      <c r="J524" s="49"/>
    </row>
    <row r="525" spans="2:10" x14ac:dyDescent="0.25">
      <c r="B525" s="49"/>
      <c r="C525" s="49"/>
      <c r="D525" s="49"/>
      <c r="E525" s="49"/>
      <c r="F525" s="49"/>
      <c r="G525" s="185"/>
      <c r="H525" s="185"/>
      <c r="I525" s="185"/>
      <c r="J525" s="49"/>
    </row>
    <row r="526" spans="2:10" x14ac:dyDescent="0.25">
      <c r="B526" s="49"/>
      <c r="C526" s="49"/>
      <c r="D526" s="49"/>
      <c r="E526" s="49"/>
      <c r="F526" s="49"/>
      <c r="G526" s="185"/>
      <c r="H526" s="185"/>
      <c r="I526" s="185"/>
      <c r="J526" s="49"/>
    </row>
    <row r="527" spans="2:10" x14ac:dyDescent="0.25">
      <c r="B527" s="49"/>
      <c r="C527" s="49"/>
      <c r="D527" s="49"/>
      <c r="E527" s="49"/>
      <c r="F527" s="49"/>
      <c r="G527" s="185"/>
      <c r="H527" s="185"/>
      <c r="I527" s="185"/>
      <c r="J527" s="49"/>
    </row>
    <row r="528" spans="2:10" x14ac:dyDescent="0.25">
      <c r="B528" s="49"/>
      <c r="C528" s="49"/>
      <c r="D528" s="49"/>
      <c r="E528" s="49"/>
      <c r="F528" s="49"/>
      <c r="G528" s="185"/>
      <c r="H528" s="185"/>
      <c r="I528" s="185"/>
      <c r="J528" s="49"/>
    </row>
    <row r="529" spans="2:10" x14ac:dyDescent="0.25">
      <c r="B529" s="49"/>
      <c r="C529" s="49"/>
      <c r="D529" s="49"/>
      <c r="E529" s="49"/>
      <c r="F529" s="49"/>
      <c r="G529" s="185"/>
      <c r="H529" s="185"/>
      <c r="I529" s="185"/>
      <c r="J529" s="49"/>
    </row>
    <row r="530" spans="2:10" x14ac:dyDescent="0.25">
      <c r="B530" s="49"/>
      <c r="C530" s="49"/>
      <c r="D530" s="49"/>
      <c r="E530" s="49"/>
      <c r="F530" s="49"/>
      <c r="G530" s="185"/>
      <c r="H530" s="185"/>
      <c r="I530" s="185"/>
      <c r="J530" s="49"/>
    </row>
    <row r="531" spans="2:10" x14ac:dyDescent="0.25">
      <c r="B531" s="49"/>
      <c r="C531" s="49"/>
      <c r="D531" s="49"/>
      <c r="E531" s="49"/>
      <c r="F531" s="49"/>
      <c r="G531" s="185"/>
      <c r="H531" s="185"/>
      <c r="I531" s="185"/>
      <c r="J531" s="49"/>
    </row>
    <row r="532" spans="2:10" x14ac:dyDescent="0.25">
      <c r="B532" s="49"/>
      <c r="C532" s="49"/>
      <c r="D532" s="49"/>
      <c r="E532" s="49"/>
      <c r="F532" s="49"/>
      <c r="G532" s="185"/>
      <c r="H532" s="185"/>
      <c r="I532" s="185"/>
      <c r="J532" s="49"/>
    </row>
    <row r="533" spans="2:10" x14ac:dyDescent="0.25">
      <c r="B533" s="49"/>
      <c r="C533" s="49"/>
      <c r="D533" s="49"/>
      <c r="E533" s="49"/>
      <c r="F533" s="49"/>
      <c r="G533" s="185"/>
      <c r="H533" s="185"/>
      <c r="I533" s="185"/>
      <c r="J533" s="49"/>
    </row>
    <row r="534" spans="2:10" x14ac:dyDescent="0.25">
      <c r="B534" s="49"/>
      <c r="C534" s="49"/>
      <c r="D534" s="49"/>
      <c r="E534" s="49"/>
      <c r="F534" s="49"/>
      <c r="G534" s="185"/>
      <c r="H534" s="185"/>
      <c r="I534" s="185"/>
      <c r="J534" s="49"/>
    </row>
    <row r="535" spans="2:10" x14ac:dyDescent="0.25">
      <c r="B535" s="49"/>
      <c r="C535" s="49"/>
      <c r="D535" s="49"/>
      <c r="E535" s="49"/>
      <c r="F535" s="49"/>
      <c r="G535" s="185"/>
      <c r="H535" s="185"/>
      <c r="I535" s="185"/>
      <c r="J535" s="49"/>
    </row>
    <row r="536" spans="2:10" x14ac:dyDescent="0.25">
      <c r="B536" s="49"/>
      <c r="C536" s="49"/>
      <c r="D536" s="49"/>
      <c r="E536" s="49"/>
      <c r="F536" s="49"/>
      <c r="G536" s="185"/>
      <c r="H536" s="185"/>
      <c r="I536" s="185"/>
      <c r="J536" s="49"/>
    </row>
    <row r="537" spans="2:10" x14ac:dyDescent="0.25">
      <c r="B537" s="49"/>
      <c r="C537" s="49"/>
      <c r="D537" s="49"/>
      <c r="E537" s="49"/>
      <c r="F537" s="49"/>
      <c r="G537" s="185"/>
      <c r="H537" s="185"/>
      <c r="I537" s="185"/>
      <c r="J537" s="49"/>
    </row>
    <row r="538" spans="2:10" x14ac:dyDescent="0.25">
      <c r="B538" s="49"/>
      <c r="C538" s="49"/>
      <c r="D538" s="49"/>
      <c r="E538" s="49"/>
      <c r="F538" s="49"/>
      <c r="G538" s="185"/>
      <c r="H538" s="185"/>
      <c r="I538" s="185"/>
      <c r="J538" s="49"/>
    </row>
    <row r="539" spans="2:10" x14ac:dyDescent="0.25">
      <c r="B539" s="49"/>
      <c r="C539" s="49"/>
      <c r="D539" s="49"/>
      <c r="E539" s="49"/>
      <c r="F539" s="49"/>
      <c r="G539" s="185"/>
      <c r="H539" s="185"/>
      <c r="I539" s="185"/>
      <c r="J539" s="49"/>
    </row>
    <row r="540" spans="2:10" x14ac:dyDescent="0.25">
      <c r="B540" s="49"/>
      <c r="C540" s="49"/>
      <c r="D540" s="49"/>
      <c r="E540" s="49"/>
      <c r="F540" s="49"/>
      <c r="G540" s="185"/>
      <c r="H540" s="185"/>
      <c r="I540" s="185"/>
      <c r="J540" s="49"/>
    </row>
    <row r="541" spans="2:10" x14ac:dyDescent="0.25">
      <c r="B541" s="49"/>
      <c r="C541" s="49"/>
      <c r="D541" s="49"/>
      <c r="E541" s="49"/>
      <c r="F541" s="49"/>
      <c r="G541" s="185"/>
      <c r="H541" s="185"/>
      <c r="I541" s="185"/>
      <c r="J541" s="49"/>
    </row>
    <row r="542" spans="2:10" x14ac:dyDescent="0.25">
      <c r="B542" s="49"/>
      <c r="C542" s="49"/>
      <c r="D542" s="49"/>
      <c r="E542" s="49"/>
      <c r="F542" s="49"/>
      <c r="G542" s="185"/>
      <c r="H542" s="185"/>
      <c r="I542" s="185"/>
      <c r="J542" s="49"/>
    </row>
    <row r="543" spans="2:10" x14ac:dyDescent="0.25">
      <c r="B543" s="49"/>
      <c r="C543" s="49"/>
      <c r="D543" s="49"/>
      <c r="E543" s="49"/>
      <c r="F543" s="49"/>
      <c r="G543" s="185"/>
      <c r="H543" s="185"/>
      <c r="I543" s="185"/>
      <c r="J543" s="49"/>
    </row>
    <row r="544" spans="2:10" x14ac:dyDescent="0.25">
      <c r="B544" s="49"/>
      <c r="C544" s="49"/>
      <c r="D544" s="49"/>
      <c r="E544" s="49"/>
      <c r="F544" s="49"/>
      <c r="G544" s="185"/>
      <c r="H544" s="185"/>
      <c r="I544" s="185"/>
      <c r="J544" s="49"/>
    </row>
    <row r="545" spans="2:10" x14ac:dyDescent="0.25">
      <c r="B545" s="49"/>
      <c r="C545" s="49"/>
      <c r="D545" s="49"/>
      <c r="E545" s="49"/>
      <c r="F545" s="49"/>
      <c r="G545" s="185"/>
      <c r="H545" s="185"/>
      <c r="I545" s="185"/>
      <c r="J545" s="49"/>
    </row>
    <row r="546" spans="2:10" x14ac:dyDescent="0.25">
      <c r="B546" s="49"/>
      <c r="C546" s="49"/>
      <c r="D546" s="49"/>
      <c r="E546" s="49"/>
      <c r="F546" s="49"/>
      <c r="G546" s="185"/>
      <c r="H546" s="185"/>
      <c r="I546" s="185"/>
      <c r="J546" s="49"/>
    </row>
    <row r="547" spans="2:10" x14ac:dyDescent="0.25">
      <c r="B547" s="49"/>
      <c r="C547" s="49"/>
      <c r="D547" s="49"/>
      <c r="E547" s="49"/>
      <c r="F547" s="49"/>
      <c r="G547" s="185"/>
      <c r="H547" s="185"/>
      <c r="I547" s="185"/>
      <c r="J547" s="49"/>
    </row>
    <row r="548" spans="2:10" x14ac:dyDescent="0.25">
      <c r="B548" s="49"/>
      <c r="C548" s="49"/>
      <c r="D548" s="49"/>
      <c r="E548" s="49"/>
      <c r="F548" s="49"/>
      <c r="G548" s="185"/>
      <c r="H548" s="185"/>
      <c r="I548" s="185"/>
      <c r="J548" s="49"/>
    </row>
    <row r="549" spans="2:10" x14ac:dyDescent="0.25">
      <c r="B549" s="49"/>
      <c r="C549" s="49"/>
      <c r="D549" s="49"/>
      <c r="E549" s="49"/>
      <c r="F549" s="49"/>
      <c r="G549" s="185"/>
      <c r="H549" s="185"/>
      <c r="I549" s="185"/>
      <c r="J549" s="49"/>
    </row>
    <row r="550" spans="2:10" x14ac:dyDescent="0.25">
      <c r="B550" s="49"/>
      <c r="C550" s="49"/>
      <c r="D550" s="49"/>
      <c r="E550" s="49"/>
      <c r="F550" s="49"/>
      <c r="G550" s="185"/>
      <c r="H550" s="185"/>
      <c r="I550" s="185"/>
      <c r="J550" s="49"/>
    </row>
    <row r="551" spans="2:10" x14ac:dyDescent="0.25">
      <c r="B551" s="49"/>
      <c r="C551" s="49"/>
      <c r="D551" s="49"/>
      <c r="E551" s="49"/>
      <c r="F551" s="49"/>
      <c r="G551" s="185"/>
      <c r="H551" s="185"/>
      <c r="I551" s="185"/>
      <c r="J551" s="49"/>
    </row>
    <row r="552" spans="2:10" x14ac:dyDescent="0.25">
      <c r="B552" s="49"/>
      <c r="C552" s="49"/>
      <c r="D552" s="49"/>
      <c r="E552" s="49"/>
      <c r="F552" s="49"/>
      <c r="G552" s="185"/>
      <c r="H552" s="185"/>
      <c r="I552" s="185"/>
      <c r="J552" s="49"/>
    </row>
    <row r="553" spans="2:10" x14ac:dyDescent="0.25">
      <c r="B553" s="49"/>
      <c r="C553" s="49"/>
      <c r="D553" s="49"/>
      <c r="E553" s="49"/>
      <c r="F553" s="49"/>
      <c r="G553" s="185"/>
      <c r="H553" s="185"/>
      <c r="I553" s="185"/>
      <c r="J553" s="49"/>
    </row>
    <row r="554" spans="2:10" x14ac:dyDescent="0.25">
      <c r="B554" s="49"/>
      <c r="C554" s="49"/>
      <c r="D554" s="49"/>
      <c r="E554" s="49"/>
      <c r="F554" s="49"/>
      <c r="G554" s="185"/>
      <c r="H554" s="185"/>
      <c r="I554" s="185"/>
      <c r="J554" s="49"/>
    </row>
    <row r="555" spans="2:10" x14ac:dyDescent="0.25">
      <c r="B555" s="49"/>
      <c r="C555" s="49"/>
      <c r="D555" s="49"/>
      <c r="E555" s="49"/>
      <c r="F555" s="49"/>
      <c r="G555" s="185"/>
      <c r="H555" s="185"/>
      <c r="I555" s="185"/>
      <c r="J555" s="49"/>
    </row>
    <row r="556" spans="2:10" x14ac:dyDescent="0.25">
      <c r="B556" s="49"/>
      <c r="C556" s="49"/>
      <c r="D556" s="49"/>
      <c r="E556" s="49"/>
      <c r="F556" s="49"/>
      <c r="G556" s="185"/>
      <c r="H556" s="185"/>
      <c r="I556" s="185"/>
      <c r="J556" s="49"/>
    </row>
    <row r="557" spans="2:10" x14ac:dyDescent="0.25">
      <c r="B557" s="49"/>
      <c r="C557" s="49"/>
      <c r="D557" s="49"/>
      <c r="E557" s="49"/>
      <c r="F557" s="49"/>
      <c r="G557" s="185"/>
      <c r="H557" s="185"/>
      <c r="I557" s="185"/>
      <c r="J557" s="49"/>
    </row>
    <row r="558" spans="2:10" x14ac:dyDescent="0.25">
      <c r="B558" s="49"/>
      <c r="C558" s="49"/>
      <c r="D558" s="49"/>
      <c r="E558" s="49"/>
      <c r="F558" s="49"/>
      <c r="G558" s="185"/>
      <c r="H558" s="185"/>
      <c r="I558" s="185"/>
      <c r="J558" s="49"/>
    </row>
    <row r="559" spans="2:10" x14ac:dyDescent="0.25">
      <c r="B559" s="49"/>
      <c r="C559" s="49"/>
      <c r="D559" s="49"/>
      <c r="E559" s="49"/>
      <c r="F559" s="49"/>
      <c r="G559" s="185"/>
      <c r="H559" s="185"/>
      <c r="I559" s="185"/>
      <c r="J559" s="49"/>
    </row>
    <row r="560" spans="2:10" x14ac:dyDescent="0.25">
      <c r="B560" s="49"/>
      <c r="C560" s="49"/>
      <c r="D560" s="49"/>
      <c r="E560" s="49"/>
      <c r="F560" s="49"/>
      <c r="G560" s="185"/>
      <c r="H560" s="185"/>
      <c r="I560" s="185"/>
      <c r="J560" s="49"/>
    </row>
    <row r="561" spans="2:10" x14ac:dyDescent="0.25">
      <c r="B561" s="49"/>
      <c r="C561" s="49"/>
      <c r="D561" s="49"/>
      <c r="E561" s="49"/>
      <c r="F561" s="49"/>
      <c r="G561" s="185"/>
      <c r="H561" s="185"/>
      <c r="I561" s="185"/>
      <c r="J561" s="49"/>
    </row>
    <row r="562" spans="2:10" x14ac:dyDescent="0.25">
      <c r="B562" s="49"/>
      <c r="C562" s="49"/>
      <c r="D562" s="49"/>
      <c r="E562" s="49"/>
      <c r="F562" s="49"/>
      <c r="G562" s="185"/>
      <c r="H562" s="185"/>
      <c r="I562" s="185"/>
      <c r="J562" s="49"/>
    </row>
    <row r="563" spans="2:10" x14ac:dyDescent="0.25">
      <c r="B563" s="49"/>
      <c r="C563" s="49"/>
      <c r="D563" s="49"/>
      <c r="E563" s="49"/>
      <c r="F563" s="49"/>
      <c r="G563" s="185"/>
      <c r="H563" s="185"/>
      <c r="I563" s="185"/>
      <c r="J563" s="49"/>
    </row>
    <row r="564" spans="2:10" x14ac:dyDescent="0.25">
      <c r="B564" s="49"/>
      <c r="C564" s="49"/>
      <c r="D564" s="49"/>
      <c r="E564" s="49"/>
      <c r="F564" s="49"/>
      <c r="G564" s="185"/>
      <c r="H564" s="185"/>
      <c r="I564" s="185"/>
      <c r="J564" s="49"/>
    </row>
    <row r="565" spans="2:10" x14ac:dyDescent="0.25">
      <c r="B565" s="49"/>
      <c r="C565" s="49"/>
      <c r="D565" s="49"/>
      <c r="E565" s="49"/>
      <c r="F565" s="49"/>
      <c r="G565" s="185"/>
      <c r="H565" s="185"/>
      <c r="I565" s="185"/>
      <c r="J565" s="49"/>
    </row>
    <row r="566" spans="2:10" x14ac:dyDescent="0.25">
      <c r="B566" s="49"/>
      <c r="C566" s="49"/>
      <c r="D566" s="49"/>
      <c r="E566" s="49"/>
      <c r="F566" s="49"/>
      <c r="G566" s="185"/>
      <c r="H566" s="185"/>
      <c r="I566" s="185"/>
      <c r="J566" s="49"/>
    </row>
    <row r="567" spans="2:10" x14ac:dyDescent="0.25">
      <c r="B567" s="49"/>
      <c r="C567" s="49"/>
      <c r="D567" s="49"/>
      <c r="E567" s="49"/>
      <c r="F567" s="49"/>
      <c r="G567" s="185"/>
      <c r="H567" s="185"/>
      <c r="I567" s="185"/>
      <c r="J567" s="49"/>
    </row>
    <row r="568" spans="2:10" x14ac:dyDescent="0.25">
      <c r="B568" s="49"/>
      <c r="C568" s="49"/>
      <c r="D568" s="49"/>
      <c r="E568" s="49"/>
      <c r="F568" s="49"/>
      <c r="G568" s="185"/>
      <c r="H568" s="185"/>
      <c r="I568" s="185"/>
      <c r="J568" s="49"/>
    </row>
    <row r="569" spans="2:10" x14ac:dyDescent="0.25">
      <c r="B569" s="49"/>
      <c r="C569" s="49"/>
      <c r="D569" s="49"/>
      <c r="E569" s="49"/>
      <c r="F569" s="49"/>
      <c r="G569" s="185"/>
      <c r="H569" s="185"/>
      <c r="I569" s="185"/>
      <c r="J569" s="49"/>
    </row>
    <row r="570" spans="2:10" x14ac:dyDescent="0.25">
      <c r="B570" s="49"/>
      <c r="C570" s="49"/>
      <c r="D570" s="49"/>
      <c r="E570" s="49"/>
      <c r="F570" s="49"/>
      <c r="G570" s="185"/>
      <c r="H570" s="185"/>
      <c r="I570" s="185"/>
      <c r="J570" s="49"/>
    </row>
    <row r="571" spans="2:10" x14ac:dyDescent="0.25">
      <c r="B571" s="49"/>
      <c r="C571" s="49"/>
      <c r="D571" s="49"/>
      <c r="E571" s="49"/>
      <c r="F571" s="49"/>
      <c r="G571" s="185"/>
      <c r="H571" s="185"/>
      <c r="I571" s="185"/>
      <c r="J571" s="49"/>
    </row>
    <row r="572" spans="2:10" x14ac:dyDescent="0.25">
      <c r="B572" s="49"/>
      <c r="C572" s="49"/>
      <c r="D572" s="49"/>
      <c r="E572" s="49"/>
      <c r="F572" s="49"/>
      <c r="G572" s="185"/>
      <c r="H572" s="185"/>
      <c r="I572" s="185"/>
      <c r="J572" s="49"/>
    </row>
    <row r="573" spans="2:10" x14ac:dyDescent="0.25">
      <c r="B573" s="49"/>
      <c r="C573" s="49"/>
      <c r="D573" s="49"/>
      <c r="E573" s="49"/>
      <c r="F573" s="49"/>
      <c r="G573" s="185"/>
      <c r="H573" s="185"/>
      <c r="I573" s="185"/>
      <c r="J573" s="49"/>
    </row>
    <row r="574" spans="2:10" x14ac:dyDescent="0.25">
      <c r="B574" s="49"/>
      <c r="C574" s="49"/>
      <c r="D574" s="49"/>
      <c r="E574" s="49"/>
      <c r="F574" s="49"/>
      <c r="G574" s="185"/>
      <c r="H574" s="185"/>
      <c r="I574" s="185"/>
      <c r="J574" s="49"/>
    </row>
    <row r="575" spans="2:10" x14ac:dyDescent="0.25">
      <c r="B575" s="49"/>
      <c r="C575" s="49"/>
      <c r="D575" s="49"/>
      <c r="E575" s="49"/>
      <c r="F575" s="49"/>
      <c r="G575" s="185"/>
      <c r="H575" s="185"/>
      <c r="I575" s="185"/>
      <c r="J575" s="49"/>
    </row>
    <row r="576" spans="2:10" x14ac:dyDescent="0.25">
      <c r="B576" s="49"/>
      <c r="C576" s="49"/>
      <c r="D576" s="49"/>
      <c r="E576" s="49"/>
      <c r="F576" s="49"/>
      <c r="G576" s="185"/>
      <c r="H576" s="185"/>
      <c r="I576" s="185"/>
      <c r="J576" s="49"/>
    </row>
    <row r="577" spans="2:10" x14ac:dyDescent="0.25">
      <c r="B577" s="49"/>
      <c r="C577" s="49"/>
      <c r="D577" s="49"/>
      <c r="E577" s="49"/>
      <c r="F577" s="49"/>
      <c r="G577" s="185"/>
      <c r="H577" s="185"/>
      <c r="I577" s="185"/>
      <c r="J577" s="49"/>
    </row>
    <row r="578" spans="2:10" x14ac:dyDescent="0.25">
      <c r="B578" s="49"/>
      <c r="C578" s="49"/>
      <c r="D578" s="49"/>
      <c r="E578" s="49"/>
      <c r="F578" s="49"/>
      <c r="G578" s="185"/>
      <c r="H578" s="185"/>
      <c r="I578" s="185"/>
      <c r="J578" s="49"/>
    </row>
    <row r="579" spans="2:10" x14ac:dyDescent="0.25">
      <c r="B579" s="49"/>
      <c r="C579" s="49"/>
      <c r="D579" s="49"/>
      <c r="E579" s="49"/>
      <c r="F579" s="49"/>
      <c r="G579" s="185"/>
      <c r="H579" s="185"/>
      <c r="I579" s="185"/>
      <c r="J579" s="49"/>
    </row>
    <row r="580" spans="2:10" x14ac:dyDescent="0.25">
      <c r="B580" s="49"/>
      <c r="C580" s="49"/>
      <c r="D580" s="49"/>
      <c r="E580" s="49"/>
      <c r="F580" s="49"/>
      <c r="G580" s="185"/>
      <c r="H580" s="185"/>
      <c r="I580" s="185"/>
      <c r="J580" s="49"/>
    </row>
    <row r="581" spans="2:10" x14ac:dyDescent="0.25">
      <c r="B581" s="49"/>
      <c r="C581" s="49"/>
      <c r="D581" s="49"/>
      <c r="E581" s="49"/>
      <c r="F581" s="49"/>
      <c r="G581" s="185"/>
      <c r="H581" s="185"/>
      <c r="I581" s="185"/>
      <c r="J581" s="49"/>
    </row>
    <row r="582" spans="2:10" x14ac:dyDescent="0.25">
      <c r="B582" s="49"/>
      <c r="C582" s="49"/>
      <c r="D582" s="49"/>
      <c r="E582" s="49"/>
      <c r="F582" s="49"/>
      <c r="G582" s="185"/>
      <c r="H582" s="185"/>
      <c r="I582" s="185"/>
      <c r="J582" s="49"/>
    </row>
    <row r="583" spans="2:10" x14ac:dyDescent="0.25">
      <c r="B583" s="49"/>
      <c r="C583" s="49"/>
      <c r="D583" s="49"/>
      <c r="E583" s="49"/>
      <c r="F583" s="49"/>
      <c r="G583" s="185"/>
      <c r="H583" s="185"/>
      <c r="I583" s="185"/>
      <c r="J583" s="49"/>
    </row>
    <row r="584" spans="2:10" x14ac:dyDescent="0.25">
      <c r="B584" s="49"/>
      <c r="C584" s="49"/>
      <c r="D584" s="49"/>
      <c r="E584" s="49"/>
      <c r="F584" s="49"/>
      <c r="G584" s="185"/>
      <c r="H584" s="185"/>
      <c r="I584" s="185"/>
      <c r="J584" s="49"/>
    </row>
    <row r="585" spans="2:10" x14ac:dyDescent="0.25">
      <c r="B585" s="49"/>
      <c r="C585" s="49"/>
      <c r="D585" s="49"/>
      <c r="E585" s="49"/>
      <c r="F585" s="49"/>
      <c r="G585" s="185"/>
      <c r="H585" s="185"/>
      <c r="I585" s="185"/>
      <c r="J585" s="49"/>
    </row>
    <row r="586" spans="2:10" x14ac:dyDescent="0.25">
      <c r="B586" s="49"/>
      <c r="C586" s="49"/>
      <c r="D586" s="49"/>
      <c r="E586" s="49"/>
      <c r="F586" s="49"/>
      <c r="G586" s="185"/>
      <c r="H586" s="185"/>
      <c r="I586" s="185"/>
      <c r="J586" s="49"/>
    </row>
    <row r="587" spans="2:10" x14ac:dyDescent="0.25">
      <c r="B587" s="49"/>
      <c r="C587" s="49"/>
      <c r="D587" s="49"/>
      <c r="E587" s="49"/>
      <c r="F587" s="49"/>
      <c r="G587" s="185"/>
      <c r="H587" s="185"/>
      <c r="I587" s="185"/>
      <c r="J587" s="49"/>
    </row>
    <row r="588" spans="2:10" x14ac:dyDescent="0.25">
      <c r="B588" s="49"/>
      <c r="C588" s="49"/>
      <c r="D588" s="49"/>
      <c r="E588" s="49"/>
      <c r="F588" s="49"/>
      <c r="G588" s="185"/>
      <c r="H588" s="185"/>
      <c r="I588" s="185"/>
      <c r="J588" s="49"/>
    </row>
    <row r="589" spans="2:10" x14ac:dyDescent="0.25">
      <c r="B589" s="49"/>
      <c r="C589" s="49"/>
      <c r="D589" s="49"/>
      <c r="E589" s="49"/>
      <c r="F589" s="49"/>
      <c r="G589" s="185"/>
      <c r="H589" s="185"/>
      <c r="I589" s="185"/>
      <c r="J589" s="49"/>
    </row>
    <row r="590" spans="2:10" x14ac:dyDescent="0.25">
      <c r="B590" s="49"/>
      <c r="C590" s="49"/>
      <c r="D590" s="49"/>
      <c r="E590" s="49"/>
      <c r="F590" s="49"/>
      <c r="G590" s="185"/>
      <c r="H590" s="185"/>
      <c r="I590" s="185"/>
      <c r="J590" s="49"/>
    </row>
    <row r="591" spans="2:10" x14ac:dyDescent="0.25">
      <c r="B591" s="49"/>
      <c r="C591" s="49"/>
      <c r="D591" s="49"/>
      <c r="E591" s="49"/>
      <c r="F591" s="49"/>
      <c r="G591" s="185"/>
      <c r="H591" s="185"/>
      <c r="I591" s="185"/>
      <c r="J591" s="49"/>
    </row>
    <row r="592" spans="2:10" x14ac:dyDescent="0.25">
      <c r="B592" s="49"/>
      <c r="C592" s="49"/>
      <c r="D592" s="49"/>
      <c r="E592" s="49"/>
      <c r="F592" s="49"/>
      <c r="G592" s="185"/>
      <c r="H592" s="185"/>
      <c r="I592" s="185"/>
      <c r="J592" s="49"/>
    </row>
    <row r="593" spans="2:10" x14ac:dyDescent="0.25">
      <c r="B593" s="49"/>
      <c r="C593" s="49"/>
      <c r="D593" s="49"/>
      <c r="E593" s="49"/>
      <c r="F593" s="49"/>
      <c r="G593" s="185"/>
      <c r="H593" s="185"/>
      <c r="I593" s="185"/>
      <c r="J593" s="49"/>
    </row>
    <row r="594" spans="2:10" x14ac:dyDescent="0.25">
      <c r="B594" s="49"/>
      <c r="C594" s="49"/>
      <c r="D594" s="49"/>
      <c r="E594" s="49"/>
      <c r="F594" s="49"/>
      <c r="G594" s="185"/>
      <c r="H594" s="185"/>
      <c r="I594" s="185"/>
      <c r="J594" s="49"/>
    </row>
    <row r="595" spans="2:10" x14ac:dyDescent="0.25">
      <c r="B595" s="49"/>
      <c r="C595" s="49"/>
      <c r="D595" s="49"/>
      <c r="E595" s="49"/>
      <c r="F595" s="49"/>
      <c r="G595" s="185"/>
      <c r="H595" s="185"/>
      <c r="I595" s="185"/>
      <c r="J595" s="49"/>
    </row>
    <row r="596" spans="2:10" x14ac:dyDescent="0.25">
      <c r="B596" s="49"/>
      <c r="C596" s="49"/>
      <c r="D596" s="49"/>
      <c r="E596" s="49"/>
      <c r="F596" s="49"/>
      <c r="G596" s="185"/>
      <c r="H596" s="185"/>
      <c r="I596" s="185"/>
      <c r="J596" s="49"/>
    </row>
    <row r="597" spans="2:10" x14ac:dyDescent="0.25">
      <c r="B597" s="49"/>
      <c r="C597" s="49"/>
      <c r="D597" s="49"/>
      <c r="E597" s="49"/>
      <c r="F597" s="49"/>
      <c r="G597" s="185"/>
      <c r="H597" s="185"/>
      <c r="I597" s="185"/>
      <c r="J597" s="49"/>
    </row>
    <row r="598" spans="2:10" x14ac:dyDescent="0.25">
      <c r="B598" s="49"/>
      <c r="C598" s="49"/>
      <c r="D598" s="49"/>
      <c r="E598" s="49"/>
      <c r="F598" s="49"/>
      <c r="G598" s="185"/>
      <c r="H598" s="185"/>
      <c r="I598" s="185"/>
      <c r="J598" s="49"/>
    </row>
    <row r="599" spans="2:10" x14ac:dyDescent="0.25">
      <c r="B599" s="49"/>
      <c r="C599" s="49"/>
      <c r="D599" s="49"/>
      <c r="E599" s="49"/>
      <c r="F599" s="49"/>
      <c r="G599" s="185"/>
      <c r="H599" s="185"/>
      <c r="I599" s="185"/>
      <c r="J599" s="49"/>
    </row>
    <row r="600" spans="2:10" x14ac:dyDescent="0.25">
      <c r="B600" s="49"/>
      <c r="C600" s="49"/>
      <c r="D600" s="49"/>
      <c r="E600" s="49"/>
      <c r="F600" s="49"/>
      <c r="G600" s="185"/>
      <c r="H600" s="185"/>
      <c r="I600" s="185"/>
      <c r="J600" s="49"/>
    </row>
    <row r="601" spans="2:10" x14ac:dyDescent="0.25">
      <c r="B601" s="49"/>
      <c r="C601" s="49"/>
      <c r="D601" s="49"/>
      <c r="E601" s="49"/>
      <c r="F601" s="49"/>
      <c r="G601" s="185"/>
      <c r="H601" s="185"/>
      <c r="I601" s="185"/>
      <c r="J601" s="49"/>
    </row>
    <row r="602" spans="2:10" x14ac:dyDescent="0.25">
      <c r="B602" s="49"/>
      <c r="C602" s="49"/>
      <c r="D602" s="49"/>
      <c r="E602" s="49"/>
      <c r="F602" s="49"/>
      <c r="G602" s="185"/>
      <c r="H602" s="185"/>
      <c r="I602" s="185"/>
      <c r="J602" s="49"/>
    </row>
    <row r="603" spans="2:10" x14ac:dyDescent="0.25">
      <c r="B603" s="49"/>
      <c r="C603" s="49"/>
      <c r="D603" s="49"/>
      <c r="E603" s="49"/>
      <c r="F603" s="49"/>
      <c r="G603" s="185"/>
      <c r="H603" s="185"/>
      <c r="I603" s="185"/>
      <c r="J603" s="49"/>
    </row>
    <row r="604" spans="2:10" x14ac:dyDescent="0.25">
      <c r="B604" s="49"/>
      <c r="C604" s="49"/>
      <c r="D604" s="49"/>
      <c r="E604" s="49"/>
      <c r="F604" s="49"/>
      <c r="G604" s="185"/>
      <c r="H604" s="185"/>
      <c r="I604" s="185"/>
      <c r="J604" s="49"/>
    </row>
    <row r="605" spans="2:10" x14ac:dyDescent="0.25">
      <c r="B605" s="49"/>
      <c r="C605" s="49"/>
      <c r="D605" s="49"/>
      <c r="E605" s="49"/>
      <c r="F605" s="49"/>
      <c r="G605" s="185"/>
      <c r="H605" s="185"/>
      <c r="I605" s="185"/>
      <c r="J605" s="49"/>
    </row>
    <row r="606" spans="2:10" x14ac:dyDescent="0.25">
      <c r="B606" s="49"/>
      <c r="C606" s="49"/>
      <c r="D606" s="49"/>
      <c r="E606" s="49"/>
      <c r="F606" s="49"/>
      <c r="G606" s="185"/>
      <c r="H606" s="185"/>
      <c r="I606" s="185"/>
      <c r="J606" s="49"/>
    </row>
    <row r="607" spans="2:10" x14ac:dyDescent="0.25">
      <c r="B607" s="49"/>
      <c r="C607" s="49"/>
      <c r="D607" s="49"/>
      <c r="E607" s="49"/>
      <c r="F607" s="49"/>
      <c r="G607" s="185"/>
      <c r="H607" s="185"/>
      <c r="I607" s="185"/>
      <c r="J607" s="49"/>
    </row>
    <row r="608" spans="2:10" x14ac:dyDescent="0.25">
      <c r="B608" s="49"/>
      <c r="C608" s="49"/>
      <c r="D608" s="49"/>
      <c r="E608" s="49"/>
      <c r="F608" s="49"/>
      <c r="G608" s="185"/>
      <c r="H608" s="185"/>
      <c r="I608" s="185"/>
      <c r="J608" s="49"/>
    </row>
    <row r="609" spans="2:10" x14ac:dyDescent="0.25">
      <c r="B609" s="49"/>
      <c r="C609" s="49"/>
      <c r="D609" s="49"/>
      <c r="E609" s="49"/>
      <c r="F609" s="49"/>
      <c r="G609" s="185"/>
      <c r="H609" s="185"/>
      <c r="I609" s="185"/>
      <c r="J609" s="49"/>
    </row>
    <row r="610" spans="2:10" x14ac:dyDescent="0.25">
      <c r="B610" s="49"/>
      <c r="C610" s="49"/>
      <c r="D610" s="49"/>
      <c r="E610" s="49"/>
      <c r="F610" s="49"/>
      <c r="G610" s="185"/>
      <c r="H610" s="185"/>
      <c r="I610" s="185"/>
      <c r="J610" s="49"/>
    </row>
    <row r="611" spans="2:10" x14ac:dyDescent="0.25">
      <c r="B611" s="49"/>
      <c r="C611" s="49"/>
      <c r="D611" s="49"/>
      <c r="E611" s="49"/>
      <c r="F611" s="49"/>
      <c r="G611" s="185"/>
      <c r="H611" s="185"/>
      <c r="I611" s="185"/>
      <c r="J611" s="49"/>
    </row>
    <row r="612" spans="2:10" x14ac:dyDescent="0.25">
      <c r="B612" s="49"/>
      <c r="C612" s="49"/>
      <c r="D612" s="49"/>
      <c r="E612" s="49"/>
      <c r="F612" s="49"/>
      <c r="G612" s="185"/>
      <c r="H612" s="185"/>
      <c r="I612" s="185"/>
      <c r="J612" s="49"/>
    </row>
    <row r="613" spans="2:10" x14ac:dyDescent="0.25">
      <c r="B613" s="49"/>
      <c r="C613" s="49"/>
      <c r="D613" s="49"/>
      <c r="E613" s="49"/>
      <c r="F613" s="49"/>
      <c r="G613" s="185"/>
      <c r="H613" s="185"/>
      <c r="I613" s="185"/>
      <c r="J613" s="49"/>
    </row>
    <row r="614" spans="2:10" x14ac:dyDescent="0.25">
      <c r="B614" s="49"/>
      <c r="C614" s="49"/>
      <c r="D614" s="49"/>
      <c r="E614" s="49"/>
      <c r="F614" s="49"/>
      <c r="G614" s="185"/>
      <c r="H614" s="185"/>
      <c r="I614" s="185"/>
      <c r="J614" s="49"/>
    </row>
    <row r="615" spans="2:10" x14ac:dyDescent="0.25">
      <c r="B615" s="49"/>
      <c r="C615" s="49"/>
      <c r="D615" s="49"/>
      <c r="E615" s="49"/>
      <c r="F615" s="49"/>
      <c r="G615" s="185"/>
      <c r="H615" s="185"/>
      <c r="I615" s="185"/>
      <c r="J615" s="49"/>
    </row>
    <row r="616" spans="2:10" x14ac:dyDescent="0.25">
      <c r="B616" s="49"/>
      <c r="C616" s="49"/>
      <c r="D616" s="49"/>
      <c r="E616" s="49"/>
      <c r="F616" s="49"/>
      <c r="G616" s="185"/>
      <c r="H616" s="185"/>
      <c r="I616" s="185"/>
      <c r="J616" s="49"/>
    </row>
    <row r="617" spans="2:10" x14ac:dyDescent="0.25">
      <c r="B617" s="49"/>
      <c r="C617" s="49"/>
      <c r="D617" s="49"/>
      <c r="E617" s="49"/>
      <c r="F617" s="49"/>
      <c r="G617" s="185"/>
      <c r="H617" s="185"/>
      <c r="I617" s="185"/>
      <c r="J617" s="49"/>
    </row>
    <row r="618" spans="2:10" x14ac:dyDescent="0.25">
      <c r="B618" s="49"/>
      <c r="C618" s="49"/>
      <c r="D618" s="49"/>
      <c r="E618" s="49"/>
      <c r="F618" s="49"/>
      <c r="G618" s="185"/>
      <c r="H618" s="185"/>
      <c r="I618" s="185"/>
      <c r="J618" s="49"/>
    </row>
    <row r="619" spans="2:10" x14ac:dyDescent="0.25">
      <c r="B619" s="49"/>
      <c r="C619" s="49"/>
      <c r="D619" s="49"/>
      <c r="E619" s="49"/>
      <c r="F619" s="49"/>
      <c r="G619" s="185"/>
      <c r="H619" s="185"/>
      <c r="I619" s="185"/>
      <c r="J619" s="49"/>
    </row>
    <row r="620" spans="2:10" x14ac:dyDescent="0.25">
      <c r="B620" s="49"/>
      <c r="C620" s="49"/>
      <c r="D620" s="49"/>
      <c r="E620" s="49"/>
      <c r="F620" s="49"/>
      <c r="G620" s="185"/>
      <c r="H620" s="185"/>
      <c r="I620" s="185"/>
      <c r="J620" s="49"/>
    </row>
    <row r="621" spans="2:10" x14ac:dyDescent="0.25">
      <c r="B621" s="49"/>
      <c r="C621" s="49"/>
      <c r="D621" s="49"/>
      <c r="E621" s="49"/>
      <c r="F621" s="49"/>
      <c r="G621" s="185"/>
      <c r="H621" s="185"/>
      <c r="I621" s="185"/>
      <c r="J621" s="49"/>
    </row>
    <row r="622" spans="2:10" x14ac:dyDescent="0.25">
      <c r="B622" s="49"/>
      <c r="C622" s="49"/>
      <c r="D622" s="49"/>
      <c r="E622" s="49"/>
      <c r="F622" s="49"/>
      <c r="G622" s="185"/>
      <c r="H622" s="185"/>
      <c r="I622" s="185"/>
      <c r="J622" s="49"/>
    </row>
    <row r="623" spans="2:10" x14ac:dyDescent="0.25">
      <c r="B623" s="49"/>
      <c r="C623" s="49"/>
      <c r="D623" s="49"/>
      <c r="E623" s="49"/>
      <c r="F623" s="49"/>
      <c r="G623" s="185"/>
      <c r="H623" s="185"/>
      <c r="I623" s="185"/>
      <c r="J623" s="49"/>
    </row>
    <row r="624" spans="2:10" x14ac:dyDescent="0.25">
      <c r="B624" s="49"/>
      <c r="C624" s="49"/>
      <c r="D624" s="49"/>
      <c r="E624" s="49"/>
      <c r="F624" s="49"/>
      <c r="G624" s="185"/>
      <c r="H624" s="185"/>
      <c r="I624" s="185"/>
      <c r="J624" s="49"/>
    </row>
    <row r="625" spans="2:10" x14ac:dyDescent="0.25">
      <c r="B625" s="49"/>
      <c r="C625" s="49"/>
      <c r="D625" s="49"/>
      <c r="E625" s="49"/>
      <c r="F625" s="49"/>
      <c r="G625" s="185"/>
      <c r="H625" s="185"/>
      <c r="I625" s="185"/>
      <c r="J625" s="49"/>
    </row>
    <row r="626" spans="2:10" x14ac:dyDescent="0.25">
      <c r="B626" s="49"/>
      <c r="C626" s="49"/>
      <c r="D626" s="49"/>
      <c r="E626" s="49"/>
      <c r="F626" s="49"/>
      <c r="G626" s="185"/>
      <c r="H626" s="185"/>
      <c r="I626" s="185"/>
      <c r="J626" s="49"/>
    </row>
    <row r="627" spans="2:10" x14ac:dyDescent="0.25">
      <c r="B627" s="49"/>
      <c r="C627" s="49"/>
      <c r="D627" s="49"/>
      <c r="E627" s="49"/>
      <c r="F627" s="49"/>
      <c r="G627" s="185"/>
      <c r="H627" s="185"/>
      <c r="I627" s="185"/>
      <c r="J627" s="49"/>
    </row>
    <row r="628" spans="2:10" x14ac:dyDescent="0.25">
      <c r="B628" s="49"/>
      <c r="C628" s="49"/>
      <c r="D628" s="49"/>
      <c r="E628" s="49"/>
      <c r="F628" s="49"/>
      <c r="G628" s="185"/>
      <c r="H628" s="185"/>
      <c r="I628" s="185"/>
      <c r="J628" s="49"/>
    </row>
    <row r="629" spans="2:10" x14ac:dyDescent="0.25">
      <c r="B629" s="49"/>
      <c r="C629" s="49"/>
      <c r="D629" s="49"/>
      <c r="E629" s="49"/>
      <c r="F629" s="49"/>
      <c r="G629" s="185"/>
      <c r="H629" s="185"/>
      <c r="I629" s="185"/>
      <c r="J629" s="49"/>
    </row>
    <row r="630" spans="2:10" x14ac:dyDescent="0.25">
      <c r="B630" s="49"/>
      <c r="C630" s="49"/>
      <c r="D630" s="49"/>
      <c r="E630" s="49"/>
      <c r="F630" s="49"/>
      <c r="G630" s="185"/>
      <c r="H630" s="185"/>
      <c r="I630" s="185"/>
      <c r="J630" s="49"/>
    </row>
    <row r="631" spans="2:10" x14ac:dyDescent="0.25">
      <c r="B631" s="49"/>
      <c r="C631" s="49"/>
      <c r="D631" s="49"/>
      <c r="E631" s="49"/>
      <c r="F631" s="49"/>
      <c r="G631" s="185"/>
      <c r="H631" s="185"/>
      <c r="I631" s="185"/>
      <c r="J631" s="49"/>
    </row>
    <row r="632" spans="2:10" x14ac:dyDescent="0.25">
      <c r="B632" s="49"/>
      <c r="C632" s="49"/>
      <c r="D632" s="49"/>
      <c r="E632" s="49"/>
      <c r="F632" s="49"/>
      <c r="G632" s="185"/>
      <c r="H632" s="185"/>
      <c r="I632" s="185"/>
      <c r="J632" s="49"/>
    </row>
    <row r="633" spans="2:10" x14ac:dyDescent="0.25">
      <c r="B633" s="49"/>
      <c r="C633" s="49"/>
      <c r="D633" s="49"/>
      <c r="E633" s="49"/>
      <c r="F633" s="49"/>
      <c r="G633" s="185"/>
      <c r="H633" s="185"/>
      <c r="I633" s="185"/>
      <c r="J633" s="49"/>
    </row>
    <row r="634" spans="2:10" x14ac:dyDescent="0.25">
      <c r="B634" s="49"/>
      <c r="C634" s="49"/>
      <c r="D634" s="49"/>
      <c r="E634" s="49"/>
      <c r="F634" s="49"/>
      <c r="G634" s="185"/>
      <c r="H634" s="185"/>
      <c r="I634" s="185"/>
      <c r="J634" s="49"/>
    </row>
    <row r="635" spans="2:10" x14ac:dyDescent="0.25">
      <c r="B635" s="49"/>
      <c r="C635" s="49"/>
      <c r="D635" s="49"/>
      <c r="E635" s="49"/>
      <c r="F635" s="49"/>
      <c r="G635" s="185"/>
      <c r="H635" s="185"/>
      <c r="I635" s="185"/>
      <c r="J635" s="49"/>
    </row>
    <row r="636" spans="2:10" x14ac:dyDescent="0.25">
      <c r="B636" s="49"/>
      <c r="C636" s="49"/>
      <c r="D636" s="49"/>
      <c r="E636" s="49"/>
      <c r="F636" s="49"/>
      <c r="G636" s="185"/>
      <c r="H636" s="185"/>
      <c r="I636" s="185"/>
      <c r="J636" s="49"/>
    </row>
    <row r="637" spans="2:10" x14ac:dyDescent="0.25">
      <c r="B637" s="49"/>
      <c r="C637" s="49"/>
      <c r="D637" s="49"/>
      <c r="E637" s="49"/>
      <c r="F637" s="49"/>
      <c r="G637" s="185"/>
      <c r="H637" s="185"/>
      <c r="I637" s="185"/>
      <c r="J637" s="49"/>
    </row>
    <row r="638" spans="2:10" x14ac:dyDescent="0.25">
      <c r="B638" s="49"/>
      <c r="C638" s="49"/>
      <c r="D638" s="49"/>
      <c r="E638" s="49"/>
      <c r="F638" s="49"/>
      <c r="G638" s="185"/>
      <c r="H638" s="185"/>
      <c r="I638" s="185"/>
      <c r="J638" s="49"/>
    </row>
    <row r="639" spans="2:10" x14ac:dyDescent="0.25">
      <c r="B639" s="49"/>
      <c r="C639" s="49"/>
      <c r="D639" s="49"/>
      <c r="E639" s="49"/>
      <c r="F639" s="49"/>
      <c r="G639" s="185"/>
      <c r="H639" s="185"/>
      <c r="I639" s="185"/>
      <c r="J639" s="49"/>
    </row>
    <row r="640" spans="2:10" x14ac:dyDescent="0.25">
      <c r="B640" s="49"/>
      <c r="C640" s="49"/>
      <c r="D640" s="49"/>
      <c r="E640" s="49"/>
      <c r="F640" s="49"/>
      <c r="G640" s="185"/>
      <c r="H640" s="185"/>
      <c r="I640" s="185"/>
      <c r="J640" s="49"/>
    </row>
    <row r="641" spans="2:10" x14ac:dyDescent="0.25">
      <c r="B641" s="49"/>
      <c r="C641" s="49"/>
      <c r="D641" s="49"/>
      <c r="E641" s="49"/>
      <c r="F641" s="49"/>
      <c r="G641" s="185"/>
      <c r="H641" s="185"/>
      <c r="I641" s="185"/>
      <c r="J641" s="49"/>
    </row>
    <row r="642" spans="2:10" x14ac:dyDescent="0.25">
      <c r="B642" s="49"/>
      <c r="C642" s="49"/>
      <c r="D642" s="49"/>
      <c r="E642" s="49"/>
      <c r="F642" s="49"/>
      <c r="G642" s="185"/>
      <c r="H642" s="185"/>
      <c r="I642" s="185"/>
      <c r="J642" s="49"/>
    </row>
    <row r="643" spans="2:10" x14ac:dyDescent="0.25">
      <c r="B643" s="49"/>
      <c r="C643" s="49"/>
      <c r="D643" s="49"/>
      <c r="E643" s="49"/>
      <c r="F643" s="49"/>
      <c r="G643" s="185"/>
      <c r="H643" s="185"/>
      <c r="I643" s="185"/>
      <c r="J643" s="49"/>
    </row>
    <row r="644" spans="2:10" x14ac:dyDescent="0.25">
      <c r="B644" s="49"/>
      <c r="C644" s="49"/>
      <c r="D644" s="49"/>
      <c r="E644" s="49"/>
      <c r="F644" s="49"/>
      <c r="G644" s="185"/>
      <c r="H644" s="185"/>
      <c r="I644" s="185"/>
      <c r="J644" s="49"/>
    </row>
    <row r="645" spans="2:10" x14ac:dyDescent="0.25">
      <c r="B645" s="49"/>
      <c r="C645" s="49"/>
      <c r="D645" s="49"/>
      <c r="E645" s="49"/>
      <c r="F645" s="49"/>
      <c r="G645" s="185"/>
      <c r="H645" s="185"/>
      <c r="I645" s="185"/>
      <c r="J645" s="49"/>
    </row>
    <row r="646" spans="2:10" x14ac:dyDescent="0.25">
      <c r="B646" s="49"/>
      <c r="C646" s="49"/>
      <c r="D646" s="49"/>
      <c r="E646" s="49"/>
      <c r="F646" s="49"/>
      <c r="G646" s="185"/>
      <c r="H646" s="185"/>
      <c r="I646" s="185"/>
      <c r="J646" s="49"/>
    </row>
    <row r="647" spans="2:10" x14ac:dyDescent="0.25">
      <c r="B647" s="49"/>
      <c r="C647" s="49"/>
      <c r="D647" s="49"/>
      <c r="E647" s="49"/>
      <c r="F647" s="49"/>
      <c r="G647" s="185"/>
      <c r="H647" s="185"/>
      <c r="I647" s="185"/>
      <c r="J647" s="49"/>
    </row>
    <row r="648" spans="2:10" x14ac:dyDescent="0.25">
      <c r="B648" s="49"/>
      <c r="C648" s="49"/>
      <c r="D648" s="49"/>
      <c r="E648" s="49"/>
      <c r="F648" s="49"/>
      <c r="G648" s="185"/>
      <c r="H648" s="185"/>
      <c r="I648" s="185"/>
      <c r="J648" s="49"/>
    </row>
    <row r="649" spans="2:10" x14ac:dyDescent="0.25">
      <c r="B649" s="49"/>
      <c r="C649" s="49"/>
      <c r="D649" s="49"/>
      <c r="E649" s="49"/>
      <c r="F649" s="49"/>
      <c r="G649" s="185"/>
      <c r="H649" s="185"/>
      <c r="I649" s="185"/>
      <c r="J649" s="49"/>
    </row>
    <row r="650" spans="2:10" x14ac:dyDescent="0.25">
      <c r="B650" s="49"/>
      <c r="C650" s="49"/>
      <c r="D650" s="49"/>
      <c r="E650" s="49"/>
      <c r="F650" s="49"/>
      <c r="G650" s="185"/>
      <c r="H650" s="185"/>
      <c r="I650" s="185"/>
      <c r="J650" s="49"/>
    </row>
    <row r="651" spans="2:10" x14ac:dyDescent="0.25">
      <c r="B651" s="49"/>
      <c r="C651" s="49"/>
      <c r="D651" s="49"/>
      <c r="E651" s="49"/>
      <c r="F651" s="49"/>
      <c r="G651" s="185"/>
      <c r="H651" s="185"/>
      <c r="I651" s="185"/>
      <c r="J651" s="49"/>
    </row>
    <row r="652" spans="2:10" x14ac:dyDescent="0.25">
      <c r="B652" s="49"/>
      <c r="C652" s="49"/>
      <c r="D652" s="49"/>
      <c r="E652" s="49"/>
      <c r="F652" s="49"/>
      <c r="G652" s="185"/>
      <c r="H652" s="185"/>
      <c r="I652" s="185"/>
      <c r="J652" s="49"/>
    </row>
    <row r="653" spans="2:10" x14ac:dyDescent="0.25">
      <c r="B653" s="49"/>
      <c r="C653" s="49"/>
      <c r="D653" s="49"/>
      <c r="E653" s="49"/>
      <c r="F653" s="49"/>
      <c r="G653" s="185"/>
      <c r="H653" s="185"/>
      <c r="I653" s="185"/>
      <c r="J653" s="49"/>
    </row>
    <row r="654" spans="2:10" x14ac:dyDescent="0.25">
      <c r="B654" s="49"/>
      <c r="C654" s="49"/>
      <c r="D654" s="49"/>
      <c r="E654" s="49"/>
      <c r="F654" s="49"/>
      <c r="G654" s="185"/>
      <c r="H654" s="185"/>
      <c r="I654" s="185"/>
      <c r="J654" s="49"/>
    </row>
    <row r="655" spans="2:10" x14ac:dyDescent="0.25">
      <c r="B655" s="49"/>
      <c r="C655" s="49"/>
      <c r="D655" s="49"/>
      <c r="E655" s="49"/>
      <c r="F655" s="49"/>
      <c r="G655" s="185"/>
      <c r="H655" s="185"/>
      <c r="I655" s="185"/>
      <c r="J655" s="49"/>
    </row>
    <row r="656" spans="2:10" x14ac:dyDescent="0.25">
      <c r="B656" s="49"/>
      <c r="C656" s="49"/>
      <c r="D656" s="49"/>
      <c r="E656" s="49"/>
      <c r="F656" s="49"/>
      <c r="G656" s="185"/>
      <c r="H656" s="185"/>
      <c r="I656" s="185"/>
      <c r="J656" s="49"/>
    </row>
    <row r="657" spans="2:10" x14ac:dyDescent="0.25">
      <c r="B657" s="49"/>
      <c r="C657" s="49"/>
      <c r="D657" s="49"/>
      <c r="E657" s="49"/>
      <c r="F657" s="49"/>
      <c r="G657" s="185"/>
      <c r="H657" s="185"/>
      <c r="I657" s="185"/>
      <c r="J657" s="49"/>
    </row>
    <row r="658" spans="2:10" x14ac:dyDescent="0.25">
      <c r="B658" s="49"/>
      <c r="C658" s="49"/>
      <c r="D658" s="49"/>
      <c r="E658" s="49"/>
      <c r="F658" s="49"/>
      <c r="G658" s="185"/>
      <c r="H658" s="185"/>
      <c r="I658" s="185"/>
      <c r="J658" s="49"/>
    </row>
    <row r="659" spans="2:10" x14ac:dyDescent="0.25">
      <c r="B659" s="49"/>
      <c r="C659" s="49"/>
      <c r="D659" s="49"/>
      <c r="E659" s="49"/>
      <c r="F659" s="49"/>
      <c r="G659" s="185"/>
      <c r="H659" s="185"/>
      <c r="I659" s="185"/>
      <c r="J659" s="49"/>
    </row>
    <row r="660" spans="2:10" x14ac:dyDescent="0.25">
      <c r="B660" s="49"/>
      <c r="C660" s="49"/>
      <c r="D660" s="49"/>
      <c r="E660" s="49"/>
      <c r="F660" s="49"/>
      <c r="G660" s="185"/>
      <c r="H660" s="185"/>
      <c r="I660" s="185"/>
      <c r="J660" s="49"/>
    </row>
    <row r="661" spans="2:10" x14ac:dyDescent="0.25">
      <c r="B661" s="49"/>
      <c r="C661" s="49"/>
      <c r="D661" s="49"/>
      <c r="E661" s="49"/>
      <c r="F661" s="49"/>
      <c r="G661" s="185"/>
      <c r="H661" s="185"/>
      <c r="I661" s="185"/>
      <c r="J661" s="49"/>
    </row>
    <row r="662" spans="2:10" x14ac:dyDescent="0.25">
      <c r="B662" s="49"/>
      <c r="C662" s="49"/>
      <c r="D662" s="49"/>
      <c r="E662" s="49"/>
      <c r="F662" s="49"/>
      <c r="G662" s="185"/>
      <c r="H662" s="185"/>
      <c r="I662" s="185"/>
      <c r="J662" s="49"/>
    </row>
    <row r="663" spans="2:10" x14ac:dyDescent="0.25">
      <c r="B663" s="49"/>
      <c r="C663" s="49"/>
      <c r="D663" s="49"/>
      <c r="E663" s="49"/>
      <c r="F663" s="49"/>
      <c r="G663" s="185"/>
      <c r="H663" s="185"/>
      <c r="I663" s="185"/>
      <c r="J663" s="49"/>
    </row>
    <row r="664" spans="2:10" x14ac:dyDescent="0.25">
      <c r="B664" s="49"/>
      <c r="C664" s="49"/>
      <c r="D664" s="49"/>
      <c r="E664" s="49"/>
      <c r="F664" s="49"/>
      <c r="G664" s="185"/>
      <c r="H664" s="185"/>
      <c r="I664" s="185"/>
      <c r="J664" s="49"/>
    </row>
    <row r="665" spans="2:10" x14ac:dyDescent="0.25">
      <c r="B665" s="49"/>
      <c r="C665" s="49"/>
      <c r="D665" s="49"/>
      <c r="E665" s="49"/>
      <c r="F665" s="49"/>
      <c r="G665" s="185"/>
      <c r="H665" s="185"/>
      <c r="I665" s="185"/>
      <c r="J665" s="49"/>
    </row>
    <row r="666" spans="2:10" x14ac:dyDescent="0.25">
      <c r="B666" s="49"/>
      <c r="C666" s="49"/>
      <c r="D666" s="49"/>
      <c r="E666" s="49"/>
      <c r="F666" s="49"/>
      <c r="G666" s="185"/>
      <c r="H666" s="185"/>
      <c r="I666" s="185"/>
      <c r="J666" s="49"/>
    </row>
    <row r="667" spans="2:10" x14ac:dyDescent="0.25">
      <c r="B667" s="49"/>
      <c r="C667" s="49"/>
      <c r="D667" s="49"/>
      <c r="E667" s="49"/>
      <c r="F667" s="49"/>
      <c r="G667" s="185"/>
      <c r="H667" s="185"/>
      <c r="I667" s="185"/>
      <c r="J667" s="49"/>
    </row>
    <row r="668" spans="2:10" x14ac:dyDescent="0.25">
      <c r="B668" s="49"/>
      <c r="C668" s="49"/>
      <c r="D668" s="49"/>
      <c r="E668" s="49"/>
      <c r="F668" s="49"/>
      <c r="G668" s="185"/>
      <c r="H668" s="185"/>
      <c r="I668" s="185"/>
      <c r="J668" s="49"/>
    </row>
    <row r="669" spans="2:10" x14ac:dyDescent="0.25">
      <c r="B669" s="49"/>
      <c r="C669" s="49"/>
      <c r="D669" s="49"/>
      <c r="E669" s="49"/>
      <c r="F669" s="49"/>
      <c r="G669" s="185"/>
      <c r="H669" s="185"/>
      <c r="I669" s="185"/>
      <c r="J669" s="49"/>
    </row>
    <row r="670" spans="2:10" x14ac:dyDescent="0.25">
      <c r="B670" s="49"/>
      <c r="C670" s="49"/>
      <c r="D670" s="49"/>
      <c r="E670" s="49"/>
      <c r="F670" s="49"/>
      <c r="G670" s="185"/>
      <c r="H670" s="185"/>
      <c r="I670" s="185"/>
      <c r="J670" s="49"/>
    </row>
    <row r="671" spans="2:10" x14ac:dyDescent="0.25">
      <c r="B671" s="49"/>
      <c r="C671" s="49"/>
      <c r="D671" s="49"/>
      <c r="E671" s="49"/>
      <c r="F671" s="49"/>
      <c r="G671" s="185"/>
      <c r="H671" s="185"/>
      <c r="I671" s="185"/>
      <c r="J671" s="49"/>
    </row>
    <row r="672" spans="2:10" x14ac:dyDescent="0.25">
      <c r="B672" s="49"/>
      <c r="C672" s="49"/>
      <c r="D672" s="49"/>
      <c r="E672" s="49"/>
      <c r="F672" s="49"/>
      <c r="G672" s="185"/>
      <c r="H672" s="185"/>
      <c r="I672" s="185"/>
      <c r="J672" s="49"/>
    </row>
    <row r="673" spans="2:10" x14ac:dyDescent="0.25">
      <c r="B673" s="49"/>
      <c r="C673" s="49"/>
      <c r="D673" s="49"/>
      <c r="E673" s="49"/>
      <c r="F673" s="49"/>
      <c r="G673" s="185"/>
      <c r="H673" s="185"/>
      <c r="I673" s="185"/>
      <c r="J673" s="49"/>
    </row>
    <row r="674" spans="2:10" x14ac:dyDescent="0.25">
      <c r="B674" s="49"/>
      <c r="C674" s="49"/>
      <c r="D674" s="49"/>
      <c r="E674" s="49"/>
      <c r="F674" s="49"/>
      <c r="G674" s="185"/>
      <c r="H674" s="185"/>
      <c r="I674" s="185"/>
      <c r="J674" s="49"/>
    </row>
    <row r="675" spans="2:10" x14ac:dyDescent="0.25">
      <c r="B675" s="49"/>
      <c r="C675" s="49"/>
      <c r="D675" s="49"/>
      <c r="E675" s="49"/>
      <c r="F675" s="49"/>
      <c r="G675" s="185"/>
      <c r="H675" s="185"/>
      <c r="I675" s="185"/>
      <c r="J675" s="49"/>
    </row>
    <row r="676" spans="2:10" x14ac:dyDescent="0.25">
      <c r="B676" s="49"/>
      <c r="C676" s="49"/>
      <c r="D676" s="49"/>
      <c r="E676" s="49"/>
      <c r="F676" s="49"/>
      <c r="G676" s="185"/>
      <c r="H676" s="185"/>
      <c r="I676" s="185"/>
      <c r="J676" s="49"/>
    </row>
    <row r="677" spans="2:10" x14ac:dyDescent="0.25">
      <c r="B677" s="49"/>
      <c r="C677" s="49"/>
      <c r="D677" s="49"/>
      <c r="E677" s="49"/>
      <c r="F677" s="49"/>
      <c r="G677" s="185"/>
      <c r="H677" s="185"/>
      <c r="I677" s="185"/>
      <c r="J677" s="49"/>
    </row>
    <row r="678" spans="2:10" x14ac:dyDescent="0.25">
      <c r="B678" s="49"/>
      <c r="C678" s="49"/>
      <c r="D678" s="49"/>
      <c r="E678" s="49"/>
      <c r="F678" s="49"/>
      <c r="G678" s="185"/>
      <c r="H678" s="185"/>
      <c r="I678" s="185"/>
      <c r="J678" s="49"/>
    </row>
    <row r="679" spans="2:10" x14ac:dyDescent="0.25">
      <c r="B679" s="49"/>
      <c r="C679" s="49"/>
      <c r="D679" s="49"/>
      <c r="E679" s="49"/>
      <c r="F679" s="49"/>
      <c r="G679" s="185"/>
      <c r="H679" s="185"/>
      <c r="I679" s="185"/>
      <c r="J679" s="49"/>
    </row>
    <row r="680" spans="2:10" x14ac:dyDescent="0.25">
      <c r="B680" s="49"/>
      <c r="C680" s="49"/>
      <c r="D680" s="49"/>
      <c r="E680" s="49"/>
      <c r="F680" s="49"/>
      <c r="G680" s="185"/>
      <c r="H680" s="185"/>
      <c r="I680" s="185"/>
      <c r="J680" s="49"/>
    </row>
    <row r="681" spans="2:10" x14ac:dyDescent="0.25">
      <c r="B681" s="49"/>
      <c r="C681" s="49"/>
      <c r="D681" s="49"/>
      <c r="E681" s="49"/>
      <c r="F681" s="49"/>
      <c r="G681" s="185"/>
      <c r="H681" s="185"/>
      <c r="I681" s="185"/>
      <c r="J681" s="49"/>
    </row>
    <row r="682" spans="2:10" x14ac:dyDescent="0.25">
      <c r="B682" s="49"/>
      <c r="C682" s="49"/>
      <c r="D682" s="49"/>
      <c r="E682" s="49"/>
      <c r="F682" s="49"/>
      <c r="G682" s="185"/>
      <c r="H682" s="185"/>
      <c r="I682" s="185"/>
      <c r="J682" s="49"/>
    </row>
    <row r="683" spans="2:10" x14ac:dyDescent="0.25">
      <c r="B683" s="49"/>
      <c r="C683" s="49"/>
      <c r="D683" s="49"/>
      <c r="E683" s="49"/>
      <c r="F683" s="49"/>
      <c r="G683" s="185"/>
      <c r="H683" s="185"/>
      <c r="I683" s="185"/>
      <c r="J683" s="49"/>
    </row>
    <row r="684" spans="2:10" x14ac:dyDescent="0.25">
      <c r="B684" s="49"/>
      <c r="C684" s="49"/>
      <c r="D684" s="49"/>
      <c r="E684" s="49"/>
      <c r="F684" s="49"/>
      <c r="G684" s="185"/>
      <c r="H684" s="185"/>
      <c r="I684" s="185"/>
      <c r="J684" s="49"/>
    </row>
    <row r="685" spans="2:10" x14ac:dyDescent="0.25">
      <c r="B685" s="49"/>
      <c r="C685" s="49"/>
      <c r="D685" s="49"/>
      <c r="E685" s="49"/>
      <c r="F685" s="49"/>
      <c r="G685" s="185"/>
      <c r="H685" s="185"/>
      <c r="I685" s="185"/>
      <c r="J685" s="49"/>
    </row>
    <row r="686" spans="2:10" x14ac:dyDescent="0.25">
      <c r="B686" s="49"/>
      <c r="C686" s="49"/>
      <c r="D686" s="49"/>
      <c r="E686" s="49"/>
      <c r="F686" s="49"/>
      <c r="G686" s="185"/>
      <c r="H686" s="185"/>
      <c r="I686" s="185"/>
      <c r="J686" s="49"/>
    </row>
    <row r="687" spans="2:10" x14ac:dyDescent="0.25">
      <c r="B687" s="49"/>
      <c r="C687" s="49"/>
      <c r="D687" s="49"/>
      <c r="E687" s="49"/>
      <c r="F687" s="49"/>
      <c r="G687" s="185"/>
      <c r="H687" s="185"/>
      <c r="I687" s="185"/>
      <c r="J687" s="49"/>
    </row>
    <row r="688" spans="2:10" x14ac:dyDescent="0.25">
      <c r="B688" s="49"/>
      <c r="C688" s="49"/>
      <c r="D688" s="49"/>
      <c r="E688" s="49"/>
      <c r="F688" s="49"/>
      <c r="G688" s="185"/>
      <c r="H688" s="185"/>
      <c r="I688" s="185"/>
      <c r="J688" s="49"/>
    </row>
    <row r="689" spans="2:10" x14ac:dyDescent="0.25">
      <c r="B689" s="49"/>
      <c r="C689" s="49"/>
      <c r="D689" s="49"/>
      <c r="E689" s="49"/>
      <c r="F689" s="49"/>
      <c r="G689" s="185"/>
      <c r="H689" s="185"/>
      <c r="I689" s="185"/>
      <c r="J689" s="49"/>
    </row>
    <row r="690" spans="2:10" x14ac:dyDescent="0.25">
      <c r="B690" s="49"/>
      <c r="C690" s="49"/>
      <c r="D690" s="49"/>
      <c r="E690" s="49"/>
      <c r="F690" s="49"/>
      <c r="G690" s="185"/>
      <c r="H690" s="185"/>
      <c r="I690" s="185"/>
      <c r="J690" s="49"/>
    </row>
    <row r="691" spans="2:10" x14ac:dyDescent="0.25">
      <c r="B691" s="49"/>
      <c r="C691" s="49"/>
      <c r="D691" s="49"/>
      <c r="E691" s="49"/>
      <c r="F691" s="49"/>
      <c r="G691" s="185"/>
      <c r="H691" s="185"/>
      <c r="I691" s="185"/>
      <c r="J691" s="49"/>
    </row>
    <row r="692" spans="2:10" x14ac:dyDescent="0.25">
      <c r="B692" s="49"/>
      <c r="C692" s="49"/>
      <c r="D692" s="49"/>
      <c r="E692" s="49"/>
      <c r="F692" s="49"/>
      <c r="G692" s="185"/>
      <c r="H692" s="185"/>
      <c r="I692" s="185"/>
      <c r="J692" s="49"/>
    </row>
    <row r="693" spans="2:10" x14ac:dyDescent="0.25">
      <c r="B693" s="49"/>
      <c r="C693" s="49"/>
      <c r="D693" s="49"/>
      <c r="E693" s="49"/>
      <c r="F693" s="49"/>
      <c r="G693" s="185"/>
      <c r="H693" s="185"/>
      <c r="I693" s="185"/>
      <c r="J693" s="49"/>
    </row>
    <row r="694" spans="2:10" x14ac:dyDescent="0.25">
      <c r="B694" s="49"/>
      <c r="C694" s="49"/>
      <c r="D694" s="49"/>
      <c r="E694" s="49"/>
      <c r="F694" s="49"/>
      <c r="G694" s="185"/>
      <c r="H694" s="185"/>
      <c r="I694" s="185"/>
      <c r="J694" s="49"/>
    </row>
    <row r="695" spans="2:10" x14ac:dyDescent="0.25">
      <c r="B695" s="49"/>
      <c r="C695" s="49"/>
      <c r="D695" s="49"/>
      <c r="E695" s="49"/>
      <c r="F695" s="49"/>
      <c r="G695" s="185"/>
      <c r="H695" s="185"/>
      <c r="I695" s="185"/>
      <c r="J695" s="49"/>
    </row>
    <row r="696" spans="2:10" x14ac:dyDescent="0.25">
      <c r="B696" s="49"/>
      <c r="C696" s="49"/>
      <c r="D696" s="49"/>
      <c r="E696" s="49"/>
      <c r="F696" s="49"/>
      <c r="G696" s="185"/>
      <c r="H696" s="185"/>
      <c r="I696" s="185"/>
      <c r="J696" s="49"/>
    </row>
    <row r="697" spans="2:10" x14ac:dyDescent="0.25">
      <c r="B697" s="49"/>
      <c r="C697" s="49"/>
      <c r="D697" s="49"/>
      <c r="E697" s="49"/>
      <c r="F697" s="49"/>
      <c r="G697" s="185"/>
      <c r="H697" s="185"/>
      <c r="I697" s="185"/>
      <c r="J697" s="49"/>
    </row>
    <row r="698" spans="2:10" x14ac:dyDescent="0.25">
      <c r="B698" s="49"/>
      <c r="C698" s="49"/>
      <c r="D698" s="49"/>
      <c r="E698" s="49"/>
      <c r="F698" s="49"/>
      <c r="G698" s="185"/>
      <c r="H698" s="185"/>
      <c r="I698" s="185"/>
      <c r="J698" s="49"/>
    </row>
    <row r="699" spans="2:10" x14ac:dyDescent="0.25">
      <c r="B699" s="49"/>
      <c r="C699" s="49"/>
      <c r="D699" s="49"/>
      <c r="E699" s="49"/>
      <c r="F699" s="49"/>
      <c r="G699" s="185"/>
      <c r="H699" s="185"/>
      <c r="I699" s="185"/>
      <c r="J699" s="49"/>
    </row>
    <row r="700" spans="2:10" x14ac:dyDescent="0.25">
      <c r="B700" s="49"/>
      <c r="C700" s="49"/>
      <c r="D700" s="49"/>
      <c r="E700" s="49"/>
      <c r="F700" s="49"/>
      <c r="G700" s="185"/>
      <c r="H700" s="185"/>
      <c r="I700" s="185"/>
      <c r="J700" s="49"/>
    </row>
    <row r="701" spans="2:10" x14ac:dyDescent="0.25">
      <c r="B701" s="49"/>
      <c r="C701" s="49"/>
      <c r="D701" s="49"/>
      <c r="E701" s="49"/>
      <c r="F701" s="49"/>
      <c r="G701" s="185"/>
      <c r="H701" s="185"/>
      <c r="I701" s="185"/>
      <c r="J701" s="49"/>
    </row>
    <row r="702" spans="2:10" x14ac:dyDescent="0.25">
      <c r="B702" s="49"/>
      <c r="C702" s="49"/>
      <c r="D702" s="49"/>
      <c r="E702" s="49"/>
      <c r="F702" s="49"/>
      <c r="G702" s="185"/>
      <c r="H702" s="185"/>
      <c r="I702" s="185"/>
      <c r="J702" s="49"/>
    </row>
    <row r="703" spans="2:10" x14ac:dyDescent="0.25">
      <c r="B703" s="49"/>
      <c r="C703" s="49"/>
      <c r="D703" s="49"/>
      <c r="E703" s="49"/>
      <c r="F703" s="49"/>
      <c r="G703" s="185"/>
      <c r="H703" s="185"/>
      <c r="I703" s="185"/>
      <c r="J703" s="49"/>
    </row>
    <row r="704" spans="2:10" x14ac:dyDescent="0.25">
      <c r="B704" s="49"/>
      <c r="C704" s="49"/>
      <c r="D704" s="49"/>
      <c r="E704" s="49"/>
      <c r="F704" s="49"/>
      <c r="G704" s="185"/>
      <c r="H704" s="185"/>
      <c r="I704" s="185"/>
      <c r="J704" s="49"/>
    </row>
    <row r="705" spans="2:10" x14ac:dyDescent="0.25">
      <c r="B705" s="49"/>
      <c r="C705" s="49"/>
      <c r="D705" s="49"/>
      <c r="E705" s="49"/>
      <c r="F705" s="49"/>
      <c r="G705" s="185"/>
      <c r="H705" s="185"/>
      <c r="I705" s="185"/>
      <c r="J705" s="49"/>
    </row>
    <row r="706" spans="2:10" x14ac:dyDescent="0.25">
      <c r="B706" s="49"/>
      <c r="C706" s="49"/>
      <c r="D706" s="49"/>
      <c r="E706" s="49"/>
      <c r="F706" s="49"/>
      <c r="G706" s="185"/>
      <c r="H706" s="185"/>
      <c r="I706" s="185"/>
      <c r="J706" s="49"/>
    </row>
    <row r="707" spans="2:10" x14ac:dyDescent="0.25">
      <c r="B707" s="49"/>
      <c r="C707" s="49"/>
      <c r="D707" s="49"/>
      <c r="E707" s="49"/>
      <c r="F707" s="49"/>
      <c r="G707" s="185"/>
      <c r="H707" s="185"/>
      <c r="I707" s="185"/>
      <c r="J707" s="49"/>
    </row>
    <row r="708" spans="2:10" x14ac:dyDescent="0.25">
      <c r="B708" s="49"/>
      <c r="C708" s="49"/>
      <c r="D708" s="49"/>
      <c r="E708" s="49"/>
      <c r="F708" s="49"/>
      <c r="G708" s="185"/>
      <c r="H708" s="185"/>
      <c r="I708" s="185"/>
      <c r="J708" s="49"/>
    </row>
    <row r="709" spans="2:10" x14ac:dyDescent="0.25">
      <c r="B709" s="49"/>
      <c r="C709" s="49"/>
      <c r="D709" s="49"/>
      <c r="E709" s="49"/>
      <c r="F709" s="49"/>
      <c r="G709" s="185"/>
      <c r="H709" s="185"/>
      <c r="I709" s="185"/>
      <c r="J709" s="49"/>
    </row>
    <row r="710" spans="2:10" x14ac:dyDescent="0.25">
      <c r="B710" s="49"/>
      <c r="C710" s="49"/>
      <c r="D710" s="49"/>
      <c r="E710" s="49"/>
      <c r="F710" s="49"/>
      <c r="G710" s="185"/>
      <c r="H710" s="185"/>
      <c r="I710" s="185"/>
      <c r="J710" s="49"/>
    </row>
    <row r="711" spans="2:10" x14ac:dyDescent="0.25">
      <c r="B711" s="49"/>
      <c r="C711" s="49"/>
      <c r="D711" s="49"/>
      <c r="E711" s="49"/>
      <c r="F711" s="49"/>
      <c r="G711" s="185"/>
      <c r="H711" s="185"/>
      <c r="I711" s="185"/>
      <c r="J711" s="49"/>
    </row>
    <row r="712" spans="2:10" x14ac:dyDescent="0.25">
      <c r="B712" s="49"/>
      <c r="C712" s="49"/>
      <c r="D712" s="49"/>
      <c r="E712" s="49"/>
      <c r="F712" s="49"/>
      <c r="G712" s="185"/>
      <c r="H712" s="185"/>
      <c r="I712" s="185"/>
      <c r="J712" s="49"/>
    </row>
    <row r="713" spans="2:10" x14ac:dyDescent="0.25">
      <c r="B713" s="49"/>
      <c r="C713" s="49"/>
      <c r="D713" s="49"/>
      <c r="E713" s="49"/>
      <c r="F713" s="49"/>
      <c r="G713" s="185"/>
      <c r="H713" s="185"/>
      <c r="I713" s="185"/>
      <c r="J713" s="49"/>
    </row>
    <row r="714" spans="2:10" x14ac:dyDescent="0.25">
      <c r="B714" s="49"/>
      <c r="C714" s="49"/>
      <c r="D714" s="49"/>
      <c r="E714" s="49"/>
      <c r="F714" s="49"/>
      <c r="G714" s="185"/>
      <c r="H714" s="185"/>
      <c r="I714" s="185"/>
      <c r="J714" s="49"/>
    </row>
    <row r="715" spans="2:10" x14ac:dyDescent="0.25">
      <c r="B715" s="49"/>
      <c r="C715" s="49"/>
      <c r="D715" s="49"/>
      <c r="E715" s="49"/>
      <c r="F715" s="49"/>
      <c r="G715" s="185"/>
      <c r="H715" s="185"/>
      <c r="I715" s="185"/>
      <c r="J715" s="49"/>
    </row>
    <row r="716" spans="2:10" x14ac:dyDescent="0.25">
      <c r="B716" s="49"/>
      <c r="C716" s="49"/>
      <c r="D716" s="49"/>
      <c r="E716" s="49"/>
      <c r="F716" s="49"/>
      <c r="G716" s="185"/>
      <c r="H716" s="185"/>
      <c r="I716" s="185"/>
      <c r="J716" s="49"/>
    </row>
    <row r="717" spans="2:10" x14ac:dyDescent="0.25">
      <c r="B717" s="49"/>
      <c r="C717" s="49"/>
      <c r="D717" s="49"/>
      <c r="E717" s="49"/>
      <c r="F717" s="49"/>
      <c r="G717" s="185"/>
      <c r="H717" s="185"/>
      <c r="I717" s="185"/>
      <c r="J717" s="49"/>
    </row>
    <row r="718" spans="2:10" x14ac:dyDescent="0.25">
      <c r="B718" s="49"/>
      <c r="C718" s="49"/>
      <c r="D718" s="49"/>
      <c r="E718" s="49"/>
      <c r="F718" s="49"/>
      <c r="G718" s="185"/>
      <c r="H718" s="185"/>
      <c r="I718" s="185"/>
      <c r="J718" s="49"/>
    </row>
    <row r="719" spans="2:10" x14ac:dyDescent="0.25">
      <c r="B719" s="49"/>
      <c r="C719" s="49"/>
      <c r="D719" s="49"/>
      <c r="E719" s="49"/>
      <c r="F719" s="49"/>
      <c r="G719" s="185"/>
      <c r="H719" s="185"/>
      <c r="I719" s="185"/>
      <c r="J719" s="49"/>
    </row>
    <row r="720" spans="2:10" x14ac:dyDescent="0.25">
      <c r="B720" s="49"/>
      <c r="C720" s="49"/>
      <c r="D720" s="49"/>
      <c r="E720" s="49"/>
      <c r="F720" s="49"/>
      <c r="G720" s="185"/>
      <c r="H720" s="185"/>
      <c r="I720" s="185"/>
      <c r="J720" s="49"/>
    </row>
    <row r="721" spans="2:10" x14ac:dyDescent="0.25">
      <c r="B721" s="49"/>
      <c r="C721" s="49"/>
      <c r="D721" s="49"/>
      <c r="E721" s="49"/>
      <c r="F721" s="49"/>
      <c r="G721" s="185"/>
      <c r="H721" s="185"/>
      <c r="I721" s="185"/>
      <c r="J721" s="49"/>
    </row>
    <row r="722" spans="2:10" x14ac:dyDescent="0.25">
      <c r="B722" s="49"/>
      <c r="C722" s="49"/>
      <c r="D722" s="49"/>
      <c r="E722" s="49"/>
      <c r="F722" s="49"/>
      <c r="G722" s="185"/>
      <c r="H722" s="185"/>
      <c r="I722" s="185"/>
      <c r="J722" s="49"/>
    </row>
    <row r="723" spans="2:10" x14ac:dyDescent="0.25">
      <c r="B723" s="49"/>
      <c r="C723" s="49"/>
      <c r="D723" s="49"/>
      <c r="E723" s="49"/>
      <c r="F723" s="49"/>
      <c r="G723" s="185"/>
      <c r="H723" s="185"/>
      <c r="I723" s="185"/>
      <c r="J723" s="49"/>
    </row>
    <row r="724" spans="2:10" x14ac:dyDescent="0.25">
      <c r="B724" s="49"/>
      <c r="C724" s="49"/>
      <c r="D724" s="49"/>
      <c r="E724" s="49"/>
      <c r="F724" s="49"/>
      <c r="G724" s="185"/>
      <c r="H724" s="185"/>
      <c r="I724" s="185"/>
      <c r="J724" s="49"/>
    </row>
    <row r="725" spans="2:10" x14ac:dyDescent="0.25">
      <c r="B725" s="49"/>
      <c r="C725" s="49"/>
      <c r="D725" s="49"/>
      <c r="E725" s="49"/>
      <c r="F725" s="49"/>
      <c r="G725" s="185"/>
      <c r="H725" s="185"/>
      <c r="I725" s="185"/>
      <c r="J725" s="49"/>
    </row>
    <row r="726" spans="2:10" x14ac:dyDescent="0.25">
      <c r="B726" s="49"/>
      <c r="C726" s="49"/>
      <c r="D726" s="49"/>
      <c r="E726" s="49"/>
      <c r="F726" s="49"/>
      <c r="G726" s="185"/>
      <c r="H726" s="185"/>
      <c r="I726" s="185"/>
      <c r="J726" s="49"/>
    </row>
    <row r="727" spans="2:10" x14ac:dyDescent="0.25">
      <c r="B727" s="49"/>
      <c r="C727" s="49"/>
      <c r="D727" s="49"/>
      <c r="E727" s="49"/>
      <c r="F727" s="49"/>
      <c r="G727" s="185"/>
      <c r="H727" s="185"/>
      <c r="I727" s="185"/>
      <c r="J727" s="49"/>
    </row>
    <row r="728" spans="2:10" x14ac:dyDescent="0.25">
      <c r="B728" s="49"/>
      <c r="C728" s="49"/>
      <c r="D728" s="49"/>
      <c r="E728" s="49"/>
      <c r="F728" s="49"/>
      <c r="G728" s="185"/>
      <c r="H728" s="185"/>
      <c r="I728" s="185"/>
      <c r="J728" s="49"/>
    </row>
    <row r="729" spans="2:10" x14ac:dyDescent="0.25">
      <c r="B729" s="49"/>
      <c r="C729" s="49"/>
      <c r="D729" s="49"/>
      <c r="E729" s="49"/>
      <c r="F729" s="49"/>
      <c r="G729" s="185"/>
      <c r="H729" s="185"/>
      <c r="I729" s="185"/>
      <c r="J729" s="49"/>
    </row>
    <row r="730" spans="2:10" x14ac:dyDescent="0.25">
      <c r="B730" s="49"/>
      <c r="C730" s="49"/>
      <c r="D730" s="49"/>
      <c r="E730" s="49"/>
      <c r="F730" s="49"/>
      <c r="G730" s="185"/>
      <c r="H730" s="185"/>
      <c r="I730" s="185"/>
      <c r="J730" s="49"/>
    </row>
    <row r="731" spans="2:10" x14ac:dyDescent="0.25">
      <c r="B731" s="49"/>
      <c r="C731" s="49"/>
      <c r="D731" s="49"/>
      <c r="E731" s="49"/>
      <c r="F731" s="49"/>
      <c r="G731" s="185"/>
      <c r="H731" s="185"/>
      <c r="I731" s="185"/>
      <c r="J731" s="49"/>
    </row>
    <row r="732" spans="2:10" x14ac:dyDescent="0.25">
      <c r="B732" s="49"/>
      <c r="C732" s="49"/>
      <c r="D732" s="49"/>
      <c r="E732" s="49"/>
      <c r="F732" s="49"/>
      <c r="G732" s="185"/>
      <c r="H732" s="185"/>
      <c r="I732" s="185"/>
      <c r="J732" s="49"/>
    </row>
    <row r="733" spans="2:10" x14ac:dyDescent="0.25">
      <c r="B733" s="49"/>
      <c r="C733" s="49"/>
      <c r="D733" s="49"/>
      <c r="E733" s="49"/>
      <c r="F733" s="49"/>
      <c r="G733" s="185"/>
      <c r="H733" s="185"/>
      <c r="I733" s="185"/>
      <c r="J733" s="49"/>
    </row>
    <row r="734" spans="2:10" x14ac:dyDescent="0.25">
      <c r="B734" s="49"/>
      <c r="C734" s="49"/>
      <c r="D734" s="49"/>
      <c r="E734" s="49"/>
      <c r="F734" s="49"/>
      <c r="G734" s="185"/>
      <c r="H734" s="185"/>
      <c r="I734" s="185"/>
      <c r="J734" s="49"/>
    </row>
    <row r="735" spans="2:10" x14ac:dyDescent="0.25">
      <c r="B735" s="49"/>
      <c r="C735" s="49"/>
      <c r="D735" s="49"/>
      <c r="E735" s="49"/>
      <c r="F735" s="49"/>
      <c r="G735" s="185"/>
      <c r="H735" s="185"/>
      <c r="I735" s="185"/>
      <c r="J735" s="49"/>
    </row>
    <row r="736" spans="2:10" x14ac:dyDescent="0.25">
      <c r="B736" s="49"/>
      <c r="C736" s="49"/>
      <c r="D736" s="49"/>
      <c r="E736" s="49"/>
      <c r="F736" s="49"/>
      <c r="G736" s="185"/>
      <c r="H736" s="185"/>
      <c r="I736" s="185"/>
      <c r="J736" s="49"/>
    </row>
    <row r="737" spans="2:10" x14ac:dyDescent="0.25">
      <c r="B737" s="49"/>
      <c r="C737" s="49"/>
      <c r="D737" s="49"/>
      <c r="E737" s="49"/>
      <c r="F737" s="49"/>
      <c r="G737" s="185"/>
      <c r="H737" s="185"/>
      <c r="I737" s="185"/>
      <c r="J737" s="49"/>
    </row>
    <row r="738" spans="2:10" x14ac:dyDescent="0.25">
      <c r="B738" s="49"/>
      <c r="C738" s="49"/>
      <c r="D738" s="49"/>
      <c r="E738" s="49"/>
      <c r="F738" s="49"/>
      <c r="G738" s="185"/>
      <c r="H738" s="185"/>
      <c r="I738" s="185"/>
      <c r="J738" s="49"/>
    </row>
    <row r="739" spans="2:10" x14ac:dyDescent="0.25">
      <c r="B739" s="49"/>
      <c r="C739" s="49"/>
      <c r="D739" s="49"/>
      <c r="E739" s="49"/>
      <c r="F739" s="49"/>
      <c r="G739" s="185"/>
      <c r="H739" s="185"/>
      <c r="I739" s="185"/>
      <c r="J739" s="49"/>
    </row>
    <row r="740" spans="2:10" x14ac:dyDescent="0.25">
      <c r="B740" s="49"/>
      <c r="C740" s="49"/>
      <c r="D740" s="49"/>
      <c r="E740" s="49"/>
      <c r="F740" s="49"/>
      <c r="G740" s="185"/>
      <c r="H740" s="185"/>
      <c r="I740" s="185"/>
      <c r="J740" s="49"/>
    </row>
    <row r="741" spans="2:10" x14ac:dyDescent="0.25">
      <c r="B741" s="49"/>
      <c r="C741" s="49"/>
      <c r="D741" s="49"/>
      <c r="E741" s="49"/>
      <c r="F741" s="49"/>
      <c r="G741" s="185"/>
      <c r="H741" s="185"/>
      <c r="I741" s="185"/>
      <c r="J741" s="49"/>
    </row>
    <row r="742" spans="2:10" x14ac:dyDescent="0.25">
      <c r="B742" s="49"/>
      <c r="C742" s="49"/>
      <c r="D742" s="49"/>
      <c r="E742" s="49"/>
      <c r="F742" s="49"/>
      <c r="G742" s="185"/>
      <c r="H742" s="185"/>
      <c r="I742" s="185"/>
      <c r="J742" s="49"/>
    </row>
    <row r="743" spans="2:10" x14ac:dyDescent="0.25">
      <c r="B743" s="49"/>
      <c r="C743" s="49"/>
      <c r="D743" s="49"/>
      <c r="E743" s="49"/>
      <c r="F743" s="49"/>
      <c r="G743" s="185"/>
      <c r="H743" s="185"/>
      <c r="I743" s="185"/>
      <c r="J743" s="49"/>
    </row>
    <row r="744" spans="2:10" x14ac:dyDescent="0.25">
      <c r="B744" s="49"/>
      <c r="C744" s="49"/>
      <c r="D744" s="49"/>
      <c r="E744" s="49"/>
      <c r="F744" s="49"/>
      <c r="G744" s="185"/>
      <c r="H744" s="185"/>
      <c r="I744" s="185"/>
      <c r="J744" s="49"/>
    </row>
    <row r="745" spans="2:10" x14ac:dyDescent="0.25">
      <c r="B745" s="49"/>
      <c r="C745" s="49"/>
      <c r="D745" s="49"/>
      <c r="E745" s="49"/>
      <c r="F745" s="49"/>
      <c r="G745" s="185"/>
      <c r="H745" s="185"/>
      <c r="I745" s="185"/>
      <c r="J745" s="49"/>
    </row>
    <row r="746" spans="2:10" x14ac:dyDescent="0.25">
      <c r="B746" s="49"/>
      <c r="C746" s="49"/>
      <c r="D746" s="49"/>
      <c r="E746" s="49"/>
      <c r="F746" s="49"/>
      <c r="G746" s="185"/>
      <c r="H746" s="185"/>
      <c r="I746" s="185"/>
      <c r="J746" s="49"/>
    </row>
    <row r="747" spans="2:10" x14ac:dyDescent="0.25">
      <c r="B747" s="49"/>
      <c r="C747" s="49"/>
      <c r="D747" s="49"/>
      <c r="E747" s="49"/>
      <c r="F747" s="49"/>
      <c r="G747" s="185"/>
      <c r="H747" s="185"/>
      <c r="I747" s="185"/>
      <c r="J747" s="49"/>
    </row>
    <row r="748" spans="2:10" x14ac:dyDescent="0.25">
      <c r="B748" s="49"/>
      <c r="C748" s="49"/>
      <c r="D748" s="49"/>
      <c r="E748" s="49"/>
      <c r="F748" s="49"/>
      <c r="G748" s="185"/>
      <c r="H748" s="185"/>
      <c r="I748" s="185"/>
      <c r="J748" s="49"/>
    </row>
    <row r="749" spans="2:10" x14ac:dyDescent="0.25">
      <c r="B749" s="49"/>
      <c r="C749" s="49"/>
      <c r="D749" s="49"/>
      <c r="E749" s="49"/>
      <c r="F749" s="49"/>
      <c r="G749" s="185"/>
      <c r="H749" s="185"/>
      <c r="I749" s="185"/>
      <c r="J749" s="49"/>
    </row>
    <row r="750" spans="2:10" x14ac:dyDescent="0.25">
      <c r="B750" s="49"/>
      <c r="C750" s="49"/>
      <c r="D750" s="49"/>
      <c r="E750" s="49"/>
      <c r="F750" s="49"/>
      <c r="G750" s="185"/>
      <c r="H750" s="185"/>
      <c r="I750" s="185"/>
      <c r="J750" s="49"/>
    </row>
    <row r="751" spans="2:10" x14ac:dyDescent="0.25">
      <c r="B751" s="49"/>
      <c r="C751" s="49"/>
      <c r="D751" s="49"/>
      <c r="E751" s="49"/>
      <c r="F751" s="49"/>
      <c r="G751" s="185"/>
      <c r="H751" s="185"/>
      <c r="I751" s="185"/>
      <c r="J751" s="49"/>
    </row>
    <row r="752" spans="2:10" x14ac:dyDescent="0.25">
      <c r="B752" s="49"/>
      <c r="C752" s="49"/>
      <c r="D752" s="49"/>
      <c r="E752" s="49"/>
      <c r="F752" s="49"/>
      <c r="G752" s="185"/>
      <c r="H752" s="185"/>
      <c r="I752" s="185"/>
      <c r="J752" s="49"/>
    </row>
    <row r="753" spans="2:10" x14ac:dyDescent="0.25">
      <c r="B753" s="49"/>
      <c r="C753" s="49"/>
      <c r="D753" s="49"/>
      <c r="E753" s="49"/>
      <c r="F753" s="49"/>
      <c r="G753" s="185"/>
      <c r="H753" s="185"/>
      <c r="I753" s="185"/>
      <c r="J753" s="49"/>
    </row>
    <row r="754" spans="2:10" x14ac:dyDescent="0.25">
      <c r="B754" s="49"/>
      <c r="C754" s="49"/>
      <c r="D754" s="49"/>
      <c r="E754" s="49"/>
      <c r="F754" s="49"/>
      <c r="G754" s="185"/>
      <c r="H754" s="185"/>
      <c r="I754" s="185"/>
      <c r="J754" s="49"/>
    </row>
    <row r="755" spans="2:10" x14ac:dyDescent="0.25">
      <c r="B755" s="49"/>
      <c r="C755" s="49"/>
      <c r="D755" s="49"/>
      <c r="E755" s="49"/>
      <c r="F755" s="49"/>
      <c r="G755" s="185"/>
      <c r="H755" s="185"/>
      <c r="I755" s="185"/>
      <c r="J755" s="49"/>
    </row>
    <row r="756" spans="2:10" x14ac:dyDescent="0.25">
      <c r="B756" s="49"/>
      <c r="C756" s="49"/>
      <c r="D756" s="49"/>
      <c r="E756" s="49"/>
      <c r="F756" s="49"/>
      <c r="G756" s="185"/>
      <c r="H756" s="185"/>
      <c r="I756" s="185"/>
      <c r="J756" s="49"/>
    </row>
    <row r="757" spans="2:10" x14ac:dyDescent="0.25">
      <c r="B757" s="49"/>
      <c r="C757" s="49"/>
      <c r="D757" s="49"/>
      <c r="E757" s="49"/>
      <c r="F757" s="49"/>
      <c r="G757" s="185"/>
      <c r="H757" s="185"/>
      <c r="I757" s="185"/>
      <c r="J757" s="49"/>
    </row>
    <row r="758" spans="2:10" x14ac:dyDescent="0.25">
      <c r="B758" s="49"/>
      <c r="C758" s="49"/>
      <c r="D758" s="49"/>
      <c r="E758" s="49"/>
      <c r="F758" s="49"/>
      <c r="G758" s="185"/>
      <c r="H758" s="185"/>
      <c r="I758" s="185"/>
      <c r="J758" s="49"/>
    </row>
    <row r="759" spans="2:10" x14ac:dyDescent="0.25">
      <c r="B759" s="49"/>
      <c r="C759" s="49"/>
      <c r="D759" s="49"/>
      <c r="E759" s="49"/>
      <c r="F759" s="49"/>
      <c r="G759" s="185"/>
      <c r="H759" s="185"/>
      <c r="I759" s="185"/>
      <c r="J759" s="49"/>
    </row>
    <row r="760" spans="2:10" x14ac:dyDescent="0.25">
      <c r="B760" s="49"/>
      <c r="C760" s="49"/>
      <c r="D760" s="49"/>
      <c r="E760" s="49"/>
      <c r="F760" s="49"/>
      <c r="G760" s="185"/>
      <c r="H760" s="185"/>
      <c r="I760" s="185"/>
      <c r="J760" s="49"/>
    </row>
    <row r="761" spans="2:10" x14ac:dyDescent="0.25">
      <c r="B761" s="49"/>
      <c r="C761" s="49"/>
      <c r="D761" s="49"/>
      <c r="E761" s="49"/>
      <c r="F761" s="49"/>
      <c r="G761" s="185"/>
      <c r="H761" s="185"/>
      <c r="I761" s="185"/>
      <c r="J761" s="49"/>
    </row>
    <row r="762" spans="2:10" x14ac:dyDescent="0.25">
      <c r="B762" s="49"/>
      <c r="C762" s="49"/>
      <c r="D762" s="49"/>
      <c r="E762" s="49"/>
      <c r="F762" s="49"/>
      <c r="G762" s="185"/>
      <c r="H762" s="185"/>
      <c r="I762" s="185"/>
      <c r="J762" s="49"/>
    </row>
    <row r="763" spans="2:10" x14ac:dyDescent="0.25">
      <c r="B763" s="49"/>
      <c r="C763" s="49"/>
      <c r="D763" s="49"/>
      <c r="E763" s="49"/>
      <c r="F763" s="49"/>
      <c r="G763" s="185"/>
      <c r="H763" s="185"/>
      <c r="I763" s="185"/>
      <c r="J763" s="49"/>
    </row>
    <row r="764" spans="2:10" x14ac:dyDescent="0.25">
      <c r="B764" s="49"/>
      <c r="C764" s="49"/>
      <c r="D764" s="49"/>
      <c r="E764" s="49"/>
      <c r="F764" s="49"/>
      <c r="G764" s="185"/>
      <c r="H764" s="185"/>
      <c r="I764" s="185"/>
      <c r="J764" s="49"/>
    </row>
    <row r="765" spans="2:10" x14ac:dyDescent="0.25">
      <c r="B765" s="49"/>
      <c r="C765" s="49"/>
      <c r="D765" s="49"/>
      <c r="E765" s="49"/>
      <c r="F765" s="49"/>
      <c r="G765" s="185"/>
      <c r="H765" s="185"/>
      <c r="I765" s="185"/>
      <c r="J765" s="49"/>
    </row>
    <row r="766" spans="2:10" x14ac:dyDescent="0.25">
      <c r="B766" s="49"/>
      <c r="C766" s="49"/>
      <c r="D766" s="49"/>
      <c r="E766" s="49"/>
      <c r="F766" s="49"/>
      <c r="G766" s="185"/>
      <c r="H766" s="185"/>
      <c r="I766" s="185"/>
      <c r="J766" s="49"/>
    </row>
    <row r="767" spans="2:10" x14ac:dyDescent="0.25">
      <c r="B767" s="49"/>
      <c r="C767" s="49"/>
      <c r="D767" s="49"/>
      <c r="E767" s="49"/>
      <c r="F767" s="49"/>
      <c r="G767" s="185"/>
      <c r="H767" s="185"/>
      <c r="I767" s="185"/>
      <c r="J767" s="49"/>
    </row>
    <row r="768" spans="2:10" x14ac:dyDescent="0.25">
      <c r="B768" s="49"/>
      <c r="C768" s="49"/>
      <c r="D768" s="49"/>
      <c r="E768" s="49"/>
      <c r="F768" s="49"/>
      <c r="G768" s="185"/>
      <c r="H768" s="185"/>
      <c r="I768" s="185"/>
      <c r="J768" s="49"/>
    </row>
    <row r="769" spans="2:10" x14ac:dyDescent="0.25">
      <c r="B769" s="49"/>
      <c r="C769" s="49"/>
      <c r="D769" s="49"/>
      <c r="E769" s="49"/>
      <c r="F769" s="49"/>
      <c r="G769" s="185"/>
      <c r="H769" s="185"/>
      <c r="I769" s="185"/>
      <c r="J769" s="49"/>
    </row>
    <row r="770" spans="2:10" x14ac:dyDescent="0.25">
      <c r="B770" s="49"/>
      <c r="C770" s="49"/>
      <c r="D770" s="49"/>
      <c r="E770" s="49"/>
      <c r="F770" s="49"/>
      <c r="G770" s="185"/>
      <c r="H770" s="185"/>
      <c r="I770" s="185"/>
      <c r="J770" s="49"/>
    </row>
    <row r="771" spans="2:10" x14ac:dyDescent="0.25">
      <c r="B771" s="49"/>
      <c r="C771" s="49"/>
      <c r="D771" s="49"/>
      <c r="E771" s="49"/>
      <c r="F771" s="49"/>
      <c r="G771" s="185"/>
      <c r="H771" s="185"/>
      <c r="I771" s="185"/>
      <c r="J771" s="49"/>
    </row>
    <row r="772" spans="2:10" x14ac:dyDescent="0.25">
      <c r="B772" s="49"/>
      <c r="C772" s="49"/>
      <c r="D772" s="49"/>
      <c r="E772" s="49"/>
      <c r="F772" s="49"/>
      <c r="G772" s="185"/>
      <c r="H772" s="185"/>
      <c r="I772" s="185"/>
      <c r="J772" s="49"/>
    </row>
    <row r="773" spans="2:10" x14ac:dyDescent="0.25">
      <c r="B773" s="49"/>
      <c r="C773" s="49"/>
      <c r="D773" s="49"/>
      <c r="E773" s="49"/>
      <c r="F773" s="49"/>
      <c r="G773" s="185"/>
      <c r="H773" s="185"/>
      <c r="I773" s="185"/>
      <c r="J773" s="49"/>
    </row>
    <row r="774" spans="2:10" x14ac:dyDescent="0.25">
      <c r="B774" s="49"/>
      <c r="C774" s="49"/>
      <c r="D774" s="49"/>
      <c r="E774" s="49"/>
      <c r="F774" s="49"/>
      <c r="G774" s="185"/>
      <c r="H774" s="185"/>
      <c r="I774" s="185"/>
      <c r="J774" s="49"/>
    </row>
    <row r="775" spans="2:10" x14ac:dyDescent="0.25">
      <c r="B775" s="49"/>
      <c r="C775" s="49"/>
      <c r="D775" s="49"/>
      <c r="E775" s="49"/>
      <c r="F775" s="49"/>
      <c r="G775" s="185"/>
      <c r="H775" s="185"/>
      <c r="I775" s="185"/>
      <c r="J775" s="49"/>
    </row>
    <row r="776" spans="2:10" x14ac:dyDescent="0.25">
      <c r="B776" s="49"/>
      <c r="C776" s="49"/>
      <c r="D776" s="49"/>
      <c r="E776" s="49"/>
      <c r="F776" s="49"/>
      <c r="G776" s="185"/>
      <c r="H776" s="185"/>
      <c r="I776" s="185"/>
      <c r="J776" s="49"/>
    </row>
    <row r="777" spans="2:10" x14ac:dyDescent="0.25">
      <c r="B777" s="49"/>
      <c r="C777" s="49"/>
      <c r="D777" s="49"/>
      <c r="E777" s="49"/>
      <c r="F777" s="49"/>
      <c r="G777" s="185"/>
      <c r="H777" s="185"/>
      <c r="I777" s="185"/>
      <c r="J777" s="49"/>
    </row>
    <row r="778" spans="2:10" x14ac:dyDescent="0.25">
      <c r="B778" s="49"/>
      <c r="C778" s="49"/>
      <c r="D778" s="49"/>
      <c r="E778" s="49"/>
      <c r="F778" s="49"/>
      <c r="G778" s="185"/>
      <c r="H778" s="185"/>
      <c r="I778" s="185"/>
      <c r="J778" s="49"/>
    </row>
    <row r="779" spans="2:10" x14ac:dyDescent="0.25">
      <c r="B779" s="49"/>
      <c r="C779" s="49"/>
      <c r="D779" s="49"/>
      <c r="E779" s="49"/>
      <c r="F779" s="49"/>
      <c r="G779" s="185"/>
      <c r="H779" s="185"/>
      <c r="I779" s="185"/>
      <c r="J779" s="49"/>
    </row>
    <row r="780" spans="2:10" x14ac:dyDescent="0.25">
      <c r="B780" s="49"/>
      <c r="C780" s="49"/>
      <c r="D780" s="49"/>
      <c r="E780" s="49"/>
      <c r="F780" s="49"/>
      <c r="G780" s="185"/>
      <c r="H780" s="185"/>
      <c r="I780" s="185"/>
      <c r="J780" s="49"/>
    </row>
    <row r="781" spans="2:10" x14ac:dyDescent="0.25">
      <c r="B781" s="49"/>
      <c r="C781" s="49"/>
      <c r="D781" s="49"/>
      <c r="E781" s="49"/>
      <c r="F781" s="49"/>
      <c r="G781" s="185"/>
      <c r="H781" s="185"/>
      <c r="I781" s="185"/>
      <c r="J781" s="49"/>
    </row>
    <row r="782" spans="2:10" x14ac:dyDescent="0.25">
      <c r="B782" s="49"/>
      <c r="C782" s="49"/>
      <c r="D782" s="49"/>
      <c r="E782" s="49"/>
      <c r="F782" s="49"/>
      <c r="G782" s="185"/>
      <c r="H782" s="185"/>
      <c r="I782" s="185"/>
      <c r="J782" s="49"/>
    </row>
    <row r="783" spans="2:10" x14ac:dyDescent="0.25">
      <c r="B783" s="49"/>
      <c r="C783" s="49"/>
      <c r="D783" s="49"/>
      <c r="E783" s="49"/>
      <c r="F783" s="49"/>
      <c r="G783" s="185"/>
      <c r="H783" s="185"/>
      <c r="I783" s="185"/>
      <c r="J783" s="49"/>
    </row>
    <row r="784" spans="2:10" x14ac:dyDescent="0.25">
      <c r="B784" s="49"/>
      <c r="C784" s="49"/>
      <c r="D784" s="49"/>
      <c r="E784" s="49"/>
      <c r="F784" s="49"/>
      <c r="G784" s="185"/>
      <c r="H784" s="185"/>
      <c r="I784" s="185"/>
      <c r="J784" s="49"/>
    </row>
    <row r="785" spans="2:10" x14ac:dyDescent="0.25">
      <c r="B785" s="49"/>
      <c r="C785" s="49"/>
      <c r="D785" s="49"/>
      <c r="E785" s="49"/>
      <c r="F785" s="49"/>
      <c r="G785" s="185"/>
      <c r="H785" s="185"/>
      <c r="I785" s="185"/>
      <c r="J785" s="49"/>
    </row>
    <row r="786" spans="2:10" x14ac:dyDescent="0.25">
      <c r="B786" s="49"/>
      <c r="C786" s="49"/>
      <c r="D786" s="49"/>
      <c r="E786" s="49"/>
      <c r="F786" s="49"/>
      <c r="G786" s="185"/>
      <c r="H786" s="185"/>
      <c r="I786" s="185"/>
      <c r="J786" s="49"/>
    </row>
    <row r="787" spans="2:10" x14ac:dyDescent="0.25">
      <c r="B787" s="49"/>
      <c r="C787" s="49"/>
      <c r="D787" s="49"/>
      <c r="E787" s="49"/>
      <c r="F787" s="49"/>
      <c r="G787" s="185"/>
      <c r="H787" s="185"/>
      <c r="I787" s="185"/>
      <c r="J787" s="49"/>
    </row>
    <row r="788" spans="2:10" x14ac:dyDescent="0.25">
      <c r="B788" s="49"/>
      <c r="C788" s="49"/>
      <c r="D788" s="49"/>
      <c r="E788" s="49"/>
      <c r="F788" s="49"/>
      <c r="G788" s="185"/>
      <c r="H788" s="185"/>
      <c r="I788" s="185"/>
      <c r="J788" s="49"/>
    </row>
    <row r="789" spans="2:10" x14ac:dyDescent="0.25">
      <c r="B789" s="49"/>
      <c r="C789" s="49"/>
      <c r="D789" s="49"/>
      <c r="E789" s="49"/>
      <c r="F789" s="49"/>
      <c r="G789" s="185"/>
      <c r="H789" s="185"/>
      <c r="I789" s="185"/>
      <c r="J789" s="49"/>
    </row>
    <row r="790" spans="2:10" x14ac:dyDescent="0.25">
      <c r="B790" s="49"/>
      <c r="C790" s="49"/>
      <c r="D790" s="49"/>
      <c r="E790" s="49"/>
      <c r="F790" s="49"/>
      <c r="G790" s="185"/>
      <c r="H790" s="185"/>
      <c r="I790" s="185"/>
      <c r="J790" s="49"/>
    </row>
    <row r="791" spans="2:10" x14ac:dyDescent="0.25">
      <c r="B791" s="49"/>
      <c r="C791" s="49"/>
      <c r="D791" s="49"/>
      <c r="E791" s="49"/>
      <c r="F791" s="49"/>
      <c r="G791" s="185"/>
      <c r="H791" s="185"/>
      <c r="I791" s="185"/>
      <c r="J791" s="49"/>
    </row>
    <row r="792" spans="2:10" x14ac:dyDescent="0.25">
      <c r="B792" s="49"/>
      <c r="C792" s="49"/>
      <c r="D792" s="49"/>
      <c r="E792" s="49"/>
      <c r="F792" s="49"/>
      <c r="G792" s="185"/>
      <c r="H792" s="185"/>
      <c r="I792" s="185"/>
      <c r="J792" s="49"/>
    </row>
    <row r="793" spans="2:10" x14ac:dyDescent="0.25">
      <c r="B793" s="49"/>
      <c r="C793" s="49"/>
      <c r="D793" s="49"/>
      <c r="E793" s="49"/>
      <c r="F793" s="49"/>
      <c r="G793" s="185"/>
      <c r="H793" s="185"/>
      <c r="I793" s="185"/>
      <c r="J793" s="49"/>
    </row>
    <row r="794" spans="2:10" x14ac:dyDescent="0.25">
      <c r="B794" s="49"/>
      <c r="C794" s="49"/>
      <c r="D794" s="49"/>
      <c r="E794" s="49"/>
      <c r="F794" s="49"/>
      <c r="G794" s="185"/>
      <c r="H794" s="185"/>
      <c r="I794" s="185"/>
      <c r="J794" s="49"/>
    </row>
    <row r="795" spans="2:10" x14ac:dyDescent="0.25">
      <c r="B795" s="49"/>
      <c r="C795" s="49"/>
      <c r="D795" s="49"/>
      <c r="E795" s="49"/>
      <c r="F795" s="49"/>
      <c r="G795" s="185"/>
      <c r="H795" s="185"/>
      <c r="I795" s="185"/>
      <c r="J795" s="49"/>
    </row>
    <row r="796" spans="2:10" x14ac:dyDescent="0.25">
      <c r="B796" s="49"/>
      <c r="C796" s="49"/>
      <c r="D796" s="49"/>
      <c r="E796" s="49"/>
      <c r="F796" s="49"/>
      <c r="G796" s="185"/>
      <c r="H796" s="185"/>
      <c r="I796" s="185"/>
      <c r="J796" s="49"/>
    </row>
    <row r="797" spans="2:10" x14ac:dyDescent="0.25">
      <c r="B797" s="49"/>
      <c r="C797" s="49"/>
      <c r="D797" s="49"/>
      <c r="E797" s="49"/>
      <c r="F797" s="49"/>
      <c r="G797" s="185"/>
      <c r="H797" s="185"/>
      <c r="I797" s="185"/>
      <c r="J797" s="49"/>
    </row>
    <row r="798" spans="2:10" x14ac:dyDescent="0.25">
      <c r="B798" s="49"/>
      <c r="C798" s="49"/>
      <c r="D798" s="49"/>
      <c r="E798" s="49"/>
      <c r="F798" s="49"/>
      <c r="G798" s="185"/>
      <c r="H798" s="185"/>
      <c r="I798" s="185"/>
      <c r="J798" s="49"/>
    </row>
    <row r="799" spans="2:10" x14ac:dyDescent="0.25">
      <c r="B799" s="49"/>
      <c r="C799" s="49"/>
      <c r="D799" s="49"/>
      <c r="E799" s="49"/>
      <c r="F799" s="49"/>
      <c r="G799" s="185"/>
      <c r="H799" s="185"/>
      <c r="I799" s="185"/>
      <c r="J799" s="49"/>
    </row>
    <row r="800" spans="2:10" x14ac:dyDescent="0.25">
      <c r="B800" s="49"/>
      <c r="C800" s="49"/>
      <c r="D800" s="49"/>
      <c r="E800" s="49"/>
      <c r="F800" s="49"/>
      <c r="G800" s="185"/>
      <c r="H800" s="185"/>
      <c r="I800" s="185"/>
      <c r="J800" s="49"/>
    </row>
    <row r="801" spans="2:10" x14ac:dyDescent="0.25">
      <c r="B801" s="49"/>
      <c r="C801" s="49"/>
      <c r="D801" s="49"/>
      <c r="E801" s="49"/>
      <c r="F801" s="49"/>
      <c r="G801" s="185"/>
      <c r="H801" s="185"/>
      <c r="I801" s="185"/>
      <c r="J801" s="49"/>
    </row>
    <row r="802" spans="2:10" x14ac:dyDescent="0.25">
      <c r="B802" s="49"/>
      <c r="C802" s="49"/>
      <c r="D802" s="49"/>
      <c r="E802" s="49"/>
      <c r="F802" s="49"/>
      <c r="G802" s="185"/>
      <c r="H802" s="185"/>
      <c r="I802" s="185"/>
      <c r="J802" s="49"/>
    </row>
    <row r="803" spans="2:10" x14ac:dyDescent="0.25">
      <c r="B803" s="49"/>
      <c r="C803" s="49"/>
      <c r="D803" s="49"/>
      <c r="E803" s="49"/>
      <c r="F803" s="49"/>
      <c r="G803" s="185"/>
      <c r="H803" s="185"/>
      <c r="I803" s="185"/>
      <c r="J803" s="49"/>
    </row>
    <row r="804" spans="2:10" x14ac:dyDescent="0.25">
      <c r="B804" s="49"/>
      <c r="C804" s="49"/>
      <c r="D804" s="49"/>
      <c r="E804" s="49"/>
      <c r="F804" s="49"/>
      <c r="G804" s="185"/>
      <c r="H804" s="185"/>
      <c r="I804" s="185"/>
      <c r="J804" s="49"/>
    </row>
    <row r="805" spans="2:10" x14ac:dyDescent="0.25">
      <c r="B805" s="49"/>
      <c r="C805" s="49"/>
      <c r="D805" s="49"/>
      <c r="E805" s="49"/>
      <c r="F805" s="49"/>
      <c r="G805" s="185"/>
      <c r="H805" s="185"/>
      <c r="I805" s="185"/>
      <c r="J805" s="49"/>
    </row>
    <row r="806" spans="2:10" x14ac:dyDescent="0.25">
      <c r="B806" s="49"/>
      <c r="C806" s="49"/>
      <c r="D806" s="49"/>
      <c r="E806" s="49"/>
      <c r="F806" s="49"/>
      <c r="G806" s="185"/>
      <c r="H806" s="185"/>
      <c r="I806" s="185"/>
      <c r="J806" s="49"/>
    </row>
    <row r="807" spans="2:10" x14ac:dyDescent="0.25">
      <c r="B807" s="49"/>
      <c r="C807" s="49"/>
      <c r="D807" s="49"/>
      <c r="E807" s="49"/>
      <c r="F807" s="49"/>
      <c r="G807" s="185"/>
      <c r="H807" s="185"/>
      <c r="I807" s="185"/>
      <c r="J807" s="49"/>
    </row>
    <row r="808" spans="2:10" x14ac:dyDescent="0.25">
      <c r="B808" s="49"/>
      <c r="C808" s="49"/>
      <c r="D808" s="49"/>
      <c r="E808" s="49"/>
      <c r="F808" s="49"/>
      <c r="G808" s="185"/>
      <c r="H808" s="185"/>
      <c r="I808" s="185"/>
      <c r="J808" s="49"/>
    </row>
    <row r="809" spans="2:10" x14ac:dyDescent="0.25">
      <c r="B809" s="49"/>
      <c r="C809" s="49"/>
      <c r="D809" s="49"/>
      <c r="E809" s="49"/>
      <c r="F809" s="49"/>
      <c r="G809" s="185"/>
      <c r="H809" s="185"/>
      <c r="I809" s="185"/>
      <c r="J809" s="49"/>
    </row>
    <row r="810" spans="2:10" x14ac:dyDescent="0.25">
      <c r="B810" s="49"/>
      <c r="C810" s="49"/>
      <c r="D810" s="49"/>
      <c r="E810" s="49"/>
      <c r="F810" s="49"/>
      <c r="G810" s="185"/>
      <c r="H810" s="185"/>
      <c r="I810" s="185"/>
      <c r="J810" s="49"/>
    </row>
    <row r="811" spans="2:10" x14ac:dyDescent="0.25">
      <c r="B811" s="49"/>
      <c r="C811" s="49"/>
      <c r="D811" s="49"/>
      <c r="E811" s="49"/>
      <c r="F811" s="49"/>
      <c r="G811" s="185"/>
      <c r="H811" s="185"/>
      <c r="I811" s="185"/>
      <c r="J811" s="49"/>
    </row>
    <row r="812" spans="2:10" x14ac:dyDescent="0.25">
      <c r="B812" s="49"/>
      <c r="C812" s="49"/>
      <c r="D812" s="49"/>
      <c r="E812" s="49"/>
      <c r="F812" s="49"/>
      <c r="G812" s="185"/>
      <c r="H812" s="185"/>
      <c r="I812" s="185"/>
      <c r="J812" s="49"/>
    </row>
    <row r="813" spans="2:10" x14ac:dyDescent="0.25">
      <c r="B813" s="49"/>
      <c r="C813" s="49"/>
      <c r="D813" s="49"/>
      <c r="E813" s="49"/>
      <c r="F813" s="49"/>
      <c r="G813" s="185"/>
      <c r="H813" s="185"/>
      <c r="I813" s="185"/>
      <c r="J813" s="49"/>
    </row>
    <row r="814" spans="2:10" x14ac:dyDescent="0.25">
      <c r="B814" s="49"/>
      <c r="C814" s="49"/>
      <c r="D814" s="49"/>
      <c r="E814" s="49"/>
      <c r="F814" s="49"/>
      <c r="G814" s="185"/>
      <c r="H814" s="185"/>
      <c r="I814" s="185"/>
      <c r="J814" s="49"/>
    </row>
    <row r="815" spans="2:10" x14ac:dyDescent="0.25">
      <c r="B815" s="49"/>
      <c r="C815" s="49"/>
      <c r="D815" s="49"/>
      <c r="E815" s="49"/>
      <c r="F815" s="49"/>
      <c r="G815" s="185"/>
      <c r="H815" s="185"/>
      <c r="I815" s="185"/>
      <c r="J815" s="49"/>
    </row>
    <row r="816" spans="2:10" x14ac:dyDescent="0.25">
      <c r="B816" s="49"/>
      <c r="C816" s="49"/>
      <c r="D816" s="49"/>
      <c r="E816" s="49"/>
      <c r="F816" s="49"/>
      <c r="G816" s="185"/>
      <c r="H816" s="185"/>
      <c r="I816" s="185"/>
      <c r="J816" s="49"/>
    </row>
    <row r="817" spans="2:10" x14ac:dyDescent="0.25">
      <c r="B817" s="49"/>
      <c r="C817" s="49"/>
      <c r="D817" s="49"/>
      <c r="E817" s="49"/>
      <c r="F817" s="49"/>
      <c r="G817" s="185"/>
      <c r="H817" s="185"/>
      <c r="I817" s="185"/>
      <c r="J817" s="49"/>
    </row>
    <row r="818" spans="2:10" x14ac:dyDescent="0.25">
      <c r="B818" s="49"/>
      <c r="C818" s="49"/>
      <c r="D818" s="49"/>
      <c r="E818" s="49"/>
      <c r="F818" s="49"/>
      <c r="G818" s="185"/>
      <c r="H818" s="185"/>
      <c r="I818" s="185"/>
      <c r="J818" s="49"/>
    </row>
    <row r="819" spans="2:10" x14ac:dyDescent="0.25">
      <c r="B819" s="49"/>
      <c r="C819" s="49"/>
      <c r="D819" s="49"/>
      <c r="E819" s="49"/>
      <c r="F819" s="49"/>
      <c r="G819" s="185"/>
      <c r="H819" s="185"/>
      <c r="I819" s="185"/>
      <c r="J819" s="49"/>
    </row>
    <row r="820" spans="2:10" x14ac:dyDescent="0.25">
      <c r="B820" s="49"/>
      <c r="C820" s="49"/>
      <c r="D820" s="49"/>
      <c r="E820" s="49"/>
      <c r="F820" s="49"/>
      <c r="G820" s="185"/>
      <c r="H820" s="185"/>
      <c r="I820" s="185"/>
      <c r="J820" s="49"/>
    </row>
    <row r="821" spans="2:10" x14ac:dyDescent="0.25">
      <c r="B821" s="49"/>
      <c r="C821" s="49"/>
      <c r="D821" s="49"/>
      <c r="E821" s="49"/>
      <c r="F821" s="49"/>
      <c r="G821" s="185"/>
      <c r="H821" s="185"/>
      <c r="I821" s="185"/>
      <c r="J821" s="49"/>
    </row>
    <row r="822" spans="2:10" x14ac:dyDescent="0.25">
      <c r="B822" s="49"/>
      <c r="C822" s="49"/>
      <c r="D822" s="49"/>
      <c r="E822" s="49"/>
      <c r="F822" s="49"/>
      <c r="G822" s="185"/>
      <c r="H822" s="185"/>
      <c r="I822" s="185"/>
      <c r="J822" s="49"/>
    </row>
    <row r="823" spans="2:10" x14ac:dyDescent="0.25">
      <c r="B823" s="49"/>
      <c r="C823" s="49"/>
      <c r="D823" s="49"/>
      <c r="E823" s="49"/>
      <c r="F823" s="49"/>
      <c r="G823" s="185"/>
      <c r="H823" s="185"/>
      <c r="I823" s="185"/>
      <c r="J823" s="49"/>
    </row>
    <row r="824" spans="2:10" x14ac:dyDescent="0.25">
      <c r="B824" s="49"/>
      <c r="C824" s="49"/>
      <c r="D824" s="49"/>
      <c r="E824" s="49"/>
      <c r="F824" s="49"/>
      <c r="G824" s="185"/>
      <c r="H824" s="185"/>
      <c r="I824" s="185"/>
      <c r="J824" s="49"/>
    </row>
    <row r="825" spans="2:10" x14ac:dyDescent="0.25">
      <c r="B825" s="49"/>
      <c r="C825" s="49"/>
      <c r="D825" s="49"/>
      <c r="E825" s="49"/>
      <c r="F825" s="49"/>
      <c r="G825" s="185"/>
      <c r="H825" s="185"/>
      <c r="I825" s="185"/>
      <c r="J825" s="49"/>
    </row>
    <row r="826" spans="2:10" x14ac:dyDescent="0.25">
      <c r="B826" s="49"/>
      <c r="C826" s="49"/>
      <c r="D826" s="49"/>
      <c r="E826" s="49"/>
      <c r="F826" s="49"/>
      <c r="G826" s="185"/>
      <c r="H826" s="185"/>
      <c r="I826" s="185"/>
      <c r="J826" s="49"/>
    </row>
    <row r="827" spans="2:10" x14ac:dyDescent="0.25">
      <c r="B827" s="49"/>
      <c r="C827" s="49"/>
      <c r="D827" s="49"/>
      <c r="E827" s="49"/>
      <c r="F827" s="49"/>
      <c r="G827" s="185"/>
      <c r="H827" s="185"/>
      <c r="I827" s="185"/>
      <c r="J827" s="49"/>
    </row>
    <row r="828" spans="2:10" x14ac:dyDescent="0.25">
      <c r="B828" s="49"/>
      <c r="C828" s="49"/>
      <c r="D828" s="49"/>
      <c r="E828" s="49"/>
      <c r="F828" s="49"/>
      <c r="G828" s="185"/>
      <c r="H828" s="185"/>
      <c r="I828" s="185"/>
      <c r="J828" s="49"/>
    </row>
    <row r="829" spans="2:10" x14ac:dyDescent="0.25">
      <c r="B829" s="49"/>
      <c r="C829" s="49"/>
      <c r="D829" s="49"/>
      <c r="E829" s="49"/>
      <c r="F829" s="49"/>
      <c r="G829" s="185"/>
      <c r="H829" s="185"/>
      <c r="I829" s="185"/>
      <c r="J829" s="49"/>
    </row>
    <row r="830" spans="2:10" x14ac:dyDescent="0.25">
      <c r="B830" s="49"/>
      <c r="C830" s="49"/>
      <c r="D830" s="49"/>
      <c r="E830" s="49"/>
      <c r="F830" s="49"/>
      <c r="G830" s="185"/>
      <c r="H830" s="185"/>
      <c r="I830" s="185"/>
      <c r="J830" s="49"/>
    </row>
    <row r="831" spans="2:10" x14ac:dyDescent="0.25">
      <c r="B831" s="49"/>
      <c r="C831" s="49"/>
      <c r="D831" s="49"/>
      <c r="E831" s="49"/>
      <c r="F831" s="49"/>
      <c r="G831" s="185"/>
      <c r="H831" s="185"/>
      <c r="I831" s="185"/>
      <c r="J831" s="49"/>
    </row>
    <row r="832" spans="2:10" x14ac:dyDescent="0.25">
      <c r="B832" s="49"/>
      <c r="C832" s="49"/>
      <c r="D832" s="49"/>
      <c r="E832" s="49"/>
      <c r="F832" s="49"/>
      <c r="G832" s="185"/>
      <c r="H832" s="185"/>
      <c r="I832" s="185"/>
      <c r="J832" s="49"/>
    </row>
    <row r="833" spans="2:10" x14ac:dyDescent="0.25">
      <c r="B833" s="49"/>
      <c r="C833" s="49"/>
      <c r="D833" s="49"/>
      <c r="E833" s="49"/>
      <c r="F833" s="49"/>
      <c r="G833" s="185"/>
      <c r="H833" s="185"/>
      <c r="I833" s="185"/>
      <c r="J833" s="49"/>
    </row>
    <row r="834" spans="2:10" x14ac:dyDescent="0.25">
      <c r="B834" s="49"/>
      <c r="C834" s="49"/>
      <c r="D834" s="49"/>
      <c r="E834" s="49"/>
      <c r="F834" s="49"/>
      <c r="G834" s="185"/>
      <c r="H834" s="185"/>
      <c r="I834" s="185"/>
      <c r="J834" s="49"/>
    </row>
    <row r="835" spans="2:10" x14ac:dyDescent="0.25">
      <c r="B835" s="49"/>
      <c r="C835" s="49"/>
      <c r="D835" s="49"/>
      <c r="E835" s="49"/>
      <c r="F835" s="49"/>
      <c r="G835" s="185"/>
      <c r="H835" s="185"/>
      <c r="I835" s="185"/>
      <c r="J835" s="49"/>
    </row>
    <row r="836" spans="2:10" x14ac:dyDescent="0.25">
      <c r="B836" s="49"/>
      <c r="C836" s="49"/>
      <c r="D836" s="49"/>
      <c r="E836" s="49"/>
      <c r="F836" s="49"/>
      <c r="G836" s="185"/>
      <c r="H836" s="185"/>
      <c r="I836" s="185"/>
      <c r="J836" s="49"/>
    </row>
    <row r="837" spans="2:10" x14ac:dyDescent="0.25">
      <c r="B837" s="49"/>
      <c r="C837" s="49"/>
      <c r="D837" s="49"/>
      <c r="E837" s="49"/>
      <c r="F837" s="49"/>
      <c r="G837" s="185"/>
      <c r="H837" s="185"/>
      <c r="I837" s="185"/>
      <c r="J837" s="49"/>
    </row>
    <row r="838" spans="2:10" x14ac:dyDescent="0.25">
      <c r="B838" s="49"/>
      <c r="C838" s="49"/>
      <c r="D838" s="49"/>
      <c r="E838" s="49"/>
      <c r="F838" s="49"/>
      <c r="G838" s="185"/>
      <c r="H838" s="185"/>
      <c r="I838" s="185"/>
      <c r="J838" s="49"/>
    </row>
    <row r="839" spans="2:10" x14ac:dyDescent="0.25">
      <c r="B839" s="49"/>
      <c r="C839" s="49"/>
      <c r="D839" s="49"/>
      <c r="E839" s="49"/>
      <c r="F839" s="49"/>
      <c r="G839" s="185"/>
      <c r="H839" s="185"/>
      <c r="I839" s="185"/>
      <c r="J839" s="49"/>
    </row>
    <row r="840" spans="2:10" x14ac:dyDescent="0.25">
      <c r="B840" s="49"/>
      <c r="C840" s="49"/>
      <c r="D840" s="49"/>
      <c r="E840" s="49"/>
      <c r="F840" s="49"/>
      <c r="G840" s="185"/>
      <c r="H840" s="185"/>
      <c r="I840" s="185"/>
      <c r="J840" s="49"/>
    </row>
    <row r="841" spans="2:10" x14ac:dyDescent="0.25">
      <c r="B841" s="49"/>
      <c r="C841" s="49"/>
      <c r="D841" s="49"/>
      <c r="E841" s="49"/>
      <c r="F841" s="49"/>
      <c r="G841" s="185"/>
      <c r="H841" s="185"/>
      <c r="I841" s="185"/>
      <c r="J841" s="49"/>
    </row>
    <row r="842" spans="2:10" x14ac:dyDescent="0.25">
      <c r="B842" s="49"/>
      <c r="C842" s="49"/>
      <c r="D842" s="49"/>
      <c r="E842" s="49"/>
      <c r="F842" s="49"/>
      <c r="G842" s="185"/>
      <c r="H842" s="185"/>
      <c r="I842" s="185"/>
      <c r="J842" s="49"/>
    </row>
    <row r="843" spans="2:10" x14ac:dyDescent="0.25">
      <c r="B843" s="49"/>
      <c r="C843" s="49"/>
      <c r="D843" s="49"/>
      <c r="E843" s="49"/>
      <c r="F843" s="49"/>
      <c r="G843" s="185"/>
      <c r="H843" s="185"/>
      <c r="I843" s="185"/>
      <c r="J843" s="49"/>
    </row>
    <row r="844" spans="2:10" x14ac:dyDescent="0.25">
      <c r="B844" s="49"/>
      <c r="C844" s="49"/>
      <c r="D844" s="49"/>
      <c r="E844" s="49"/>
      <c r="F844" s="49"/>
      <c r="G844" s="185"/>
      <c r="H844" s="185"/>
      <c r="I844" s="185"/>
      <c r="J844" s="49"/>
    </row>
    <row r="845" spans="2:10" x14ac:dyDescent="0.25">
      <c r="B845" s="49"/>
      <c r="C845" s="49"/>
      <c r="D845" s="49"/>
      <c r="E845" s="49"/>
      <c r="F845" s="49"/>
      <c r="G845" s="185"/>
      <c r="H845" s="185"/>
      <c r="I845" s="185"/>
      <c r="J845" s="49"/>
    </row>
    <row r="846" spans="2:10" x14ac:dyDescent="0.25">
      <c r="B846" s="49"/>
      <c r="C846" s="49"/>
      <c r="D846" s="49"/>
      <c r="E846" s="49"/>
      <c r="F846" s="49"/>
      <c r="G846" s="185"/>
      <c r="H846" s="185"/>
      <c r="I846" s="185"/>
      <c r="J846" s="49"/>
    </row>
    <row r="847" spans="2:10" x14ac:dyDescent="0.25">
      <c r="B847" s="49"/>
      <c r="C847" s="49"/>
      <c r="D847" s="49"/>
      <c r="E847" s="49"/>
      <c r="F847" s="49"/>
      <c r="G847" s="185"/>
      <c r="H847" s="185"/>
      <c r="I847" s="185"/>
      <c r="J847" s="49"/>
    </row>
    <row r="848" spans="2:10" x14ac:dyDescent="0.25">
      <c r="B848" s="49"/>
      <c r="C848" s="49"/>
      <c r="D848" s="49"/>
      <c r="E848" s="49"/>
      <c r="F848" s="49"/>
      <c r="G848" s="185"/>
      <c r="H848" s="185"/>
      <c r="I848" s="185"/>
      <c r="J848" s="49"/>
    </row>
    <row r="849" spans="2:10" x14ac:dyDescent="0.25">
      <c r="B849" s="49"/>
      <c r="C849" s="49"/>
      <c r="D849" s="49"/>
      <c r="E849" s="49"/>
      <c r="F849" s="49"/>
      <c r="G849" s="185"/>
      <c r="H849" s="185"/>
      <c r="I849" s="185"/>
      <c r="J849" s="49"/>
    </row>
    <row r="850" spans="2:10" x14ac:dyDescent="0.25">
      <c r="B850" s="49"/>
      <c r="C850" s="49"/>
      <c r="D850" s="49"/>
      <c r="E850" s="49"/>
      <c r="F850" s="49"/>
      <c r="G850" s="185"/>
      <c r="H850" s="185"/>
      <c r="I850" s="185"/>
      <c r="J850" s="49"/>
    </row>
    <row r="851" spans="2:10" x14ac:dyDescent="0.25">
      <c r="B851" s="49"/>
      <c r="C851" s="49"/>
      <c r="D851" s="49"/>
      <c r="E851" s="49"/>
      <c r="F851" s="49"/>
      <c r="G851" s="185"/>
      <c r="H851" s="185"/>
      <c r="I851" s="185"/>
      <c r="J851" s="49"/>
    </row>
    <row r="852" spans="2:10" x14ac:dyDescent="0.25">
      <c r="B852" s="49"/>
      <c r="C852" s="49"/>
      <c r="D852" s="49"/>
      <c r="E852" s="49"/>
      <c r="F852" s="49"/>
      <c r="G852" s="185"/>
      <c r="H852" s="185"/>
      <c r="I852" s="185"/>
      <c r="J852" s="49"/>
    </row>
    <row r="853" spans="2:10" x14ac:dyDescent="0.25">
      <c r="B853" s="49"/>
      <c r="C853" s="49"/>
      <c r="D853" s="49"/>
      <c r="E853" s="49"/>
      <c r="F853" s="49"/>
      <c r="G853" s="185"/>
      <c r="H853" s="185"/>
      <c r="I853" s="185"/>
      <c r="J853" s="49"/>
    </row>
    <row r="854" spans="2:10" x14ac:dyDescent="0.25">
      <c r="B854" s="49"/>
      <c r="C854" s="49"/>
      <c r="D854" s="49"/>
      <c r="E854" s="49"/>
      <c r="F854" s="49"/>
      <c r="G854" s="185"/>
      <c r="H854" s="185"/>
      <c r="I854" s="185"/>
      <c r="J854" s="49"/>
    </row>
    <row r="855" spans="2:10" x14ac:dyDescent="0.25">
      <c r="B855" s="49"/>
      <c r="C855" s="49"/>
      <c r="D855" s="49"/>
      <c r="E855" s="49"/>
      <c r="F855" s="49"/>
      <c r="G855" s="185"/>
      <c r="H855" s="185"/>
      <c r="I855" s="185"/>
      <c r="J855" s="49"/>
    </row>
    <row r="856" spans="2:10" x14ac:dyDescent="0.25">
      <c r="B856" s="49"/>
      <c r="C856" s="49"/>
      <c r="D856" s="49"/>
      <c r="E856" s="49"/>
      <c r="F856" s="49"/>
      <c r="G856" s="185"/>
      <c r="H856" s="185"/>
      <c r="I856" s="185"/>
      <c r="J856" s="49"/>
    </row>
    <row r="857" spans="2:10" x14ac:dyDescent="0.25">
      <c r="B857" s="49"/>
      <c r="C857" s="49"/>
      <c r="D857" s="49"/>
      <c r="E857" s="49"/>
      <c r="F857" s="49"/>
      <c r="G857" s="185"/>
      <c r="H857" s="185"/>
      <c r="I857" s="185"/>
      <c r="J857" s="49"/>
    </row>
    <row r="858" spans="2:10" x14ac:dyDescent="0.25">
      <c r="B858" s="49"/>
      <c r="C858" s="49"/>
      <c r="D858" s="49"/>
      <c r="E858" s="49"/>
      <c r="F858" s="49"/>
      <c r="G858" s="185"/>
      <c r="H858" s="185"/>
      <c r="I858" s="185"/>
      <c r="J858" s="49"/>
    </row>
    <row r="859" spans="2:10" x14ac:dyDescent="0.25">
      <c r="B859" s="49"/>
      <c r="C859" s="49"/>
      <c r="D859" s="49"/>
      <c r="E859" s="49"/>
      <c r="F859" s="49"/>
      <c r="G859" s="185"/>
      <c r="H859" s="185"/>
      <c r="I859" s="185"/>
      <c r="J859" s="49"/>
    </row>
    <row r="860" spans="2:10" x14ac:dyDescent="0.25">
      <c r="B860" s="49"/>
      <c r="C860" s="49"/>
      <c r="D860" s="49"/>
      <c r="E860" s="49"/>
      <c r="F860" s="49"/>
      <c r="G860" s="185"/>
      <c r="H860" s="185"/>
      <c r="I860" s="185"/>
      <c r="J860" s="49"/>
    </row>
    <row r="861" spans="2:10" x14ac:dyDescent="0.25">
      <c r="B861" s="49"/>
      <c r="C861" s="49"/>
      <c r="D861" s="49"/>
      <c r="E861" s="49"/>
      <c r="F861" s="49"/>
      <c r="G861" s="185"/>
      <c r="H861" s="185"/>
      <c r="I861" s="185"/>
      <c r="J861" s="49"/>
    </row>
    <row r="862" spans="2:10" x14ac:dyDescent="0.25">
      <c r="B862" s="49"/>
      <c r="C862" s="49"/>
      <c r="D862" s="49"/>
      <c r="E862" s="49"/>
      <c r="F862" s="49"/>
      <c r="G862" s="185"/>
      <c r="H862" s="185"/>
      <c r="I862" s="185"/>
      <c r="J862" s="49"/>
    </row>
    <row r="863" spans="2:10" x14ac:dyDescent="0.25">
      <c r="B863" s="49"/>
      <c r="C863" s="49"/>
      <c r="D863" s="49"/>
      <c r="E863" s="49"/>
      <c r="F863" s="49"/>
      <c r="G863" s="185"/>
      <c r="H863" s="185"/>
      <c r="I863" s="185"/>
      <c r="J863" s="49"/>
    </row>
    <row r="864" spans="2:10" x14ac:dyDescent="0.25">
      <c r="B864" s="49"/>
      <c r="C864" s="49"/>
      <c r="D864" s="49"/>
      <c r="E864" s="49"/>
      <c r="F864" s="49"/>
      <c r="G864" s="185"/>
      <c r="H864" s="185"/>
      <c r="I864" s="185"/>
      <c r="J864" s="49"/>
    </row>
    <row r="865" spans="2:10" x14ac:dyDescent="0.25">
      <c r="B865" s="49"/>
      <c r="C865" s="49"/>
      <c r="D865" s="49"/>
      <c r="E865" s="49"/>
      <c r="F865" s="49"/>
      <c r="G865" s="185"/>
      <c r="H865" s="185"/>
      <c r="I865" s="185"/>
      <c r="J865" s="49"/>
    </row>
    <row r="866" spans="2:10" x14ac:dyDescent="0.25">
      <c r="B866" s="49"/>
      <c r="C866" s="49"/>
      <c r="D866" s="49"/>
      <c r="E866" s="49"/>
      <c r="F866" s="49"/>
      <c r="G866" s="185"/>
      <c r="H866" s="185"/>
      <c r="I866" s="185"/>
      <c r="J866" s="49"/>
    </row>
    <row r="867" spans="2:10" x14ac:dyDescent="0.25">
      <c r="B867" s="49"/>
      <c r="C867" s="49"/>
      <c r="D867" s="49"/>
      <c r="E867" s="49"/>
      <c r="F867" s="49"/>
      <c r="G867" s="185"/>
      <c r="H867" s="185"/>
      <c r="I867" s="185"/>
      <c r="J867" s="49"/>
    </row>
    <row r="868" spans="2:10" x14ac:dyDescent="0.25">
      <c r="B868" s="49"/>
      <c r="C868" s="49"/>
      <c r="D868" s="49"/>
      <c r="E868" s="49"/>
      <c r="F868" s="49"/>
      <c r="G868" s="185"/>
      <c r="H868" s="185"/>
      <c r="I868" s="185"/>
      <c r="J868" s="49"/>
    </row>
    <row r="869" spans="2:10" x14ac:dyDescent="0.25">
      <c r="B869" s="49"/>
      <c r="C869" s="49"/>
      <c r="D869" s="49"/>
      <c r="E869" s="49"/>
      <c r="F869" s="49"/>
      <c r="G869" s="185"/>
      <c r="H869" s="185"/>
      <c r="I869" s="185"/>
      <c r="J869" s="49"/>
    </row>
    <row r="870" spans="2:10" x14ac:dyDescent="0.25">
      <c r="B870" s="49"/>
      <c r="C870" s="49"/>
      <c r="D870" s="49"/>
      <c r="E870" s="49"/>
      <c r="F870" s="49"/>
      <c r="G870" s="185"/>
      <c r="H870" s="185"/>
      <c r="I870" s="185"/>
      <c r="J870" s="49"/>
    </row>
    <row r="871" spans="2:10" x14ac:dyDescent="0.25">
      <c r="B871" s="49"/>
      <c r="C871" s="49"/>
      <c r="D871" s="49"/>
      <c r="E871" s="49"/>
      <c r="F871" s="49"/>
      <c r="G871" s="185"/>
      <c r="H871" s="185"/>
      <c r="I871" s="185"/>
      <c r="J871" s="49"/>
    </row>
    <row r="872" spans="2:10" x14ac:dyDescent="0.25">
      <c r="B872" s="49"/>
      <c r="C872" s="49"/>
      <c r="D872" s="49"/>
      <c r="E872" s="49"/>
      <c r="F872" s="49"/>
      <c r="G872" s="185"/>
      <c r="H872" s="185"/>
      <c r="I872" s="185"/>
      <c r="J872" s="49"/>
    </row>
    <row r="873" spans="2:10" x14ac:dyDescent="0.25">
      <c r="B873" s="49"/>
      <c r="C873" s="49"/>
      <c r="D873" s="49"/>
      <c r="E873" s="49"/>
      <c r="F873" s="49"/>
      <c r="G873" s="185"/>
      <c r="H873" s="185"/>
      <c r="I873" s="185"/>
      <c r="J873" s="49"/>
    </row>
    <row r="874" spans="2:10" x14ac:dyDescent="0.25">
      <c r="B874" s="49"/>
      <c r="C874" s="49"/>
      <c r="D874" s="49"/>
      <c r="E874" s="49"/>
      <c r="F874" s="49"/>
      <c r="G874" s="185"/>
      <c r="H874" s="185"/>
      <c r="I874" s="185"/>
      <c r="J874" s="49"/>
    </row>
    <row r="875" spans="2:10" x14ac:dyDescent="0.25">
      <c r="B875" s="49"/>
      <c r="C875" s="49"/>
      <c r="D875" s="49"/>
      <c r="E875" s="49"/>
      <c r="F875" s="49"/>
      <c r="G875" s="185"/>
      <c r="H875" s="185"/>
      <c r="I875" s="185"/>
      <c r="J875" s="49"/>
    </row>
  </sheetData>
  <autoFilter ref="B8:J399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M369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14" sqref="B14"/>
    </sheetView>
  </sheetViews>
  <sheetFormatPr defaultColWidth="9.140625" defaultRowHeight="15" x14ac:dyDescent="0.25"/>
  <cols>
    <col min="1" max="1" width="5.5703125" style="82" hidden="1" customWidth="1"/>
    <col min="2" max="2" width="42.7109375" style="82" customWidth="1"/>
    <col min="3" max="3" width="13.7109375" style="82" customWidth="1"/>
    <col min="4" max="4" width="14.5703125" style="82" customWidth="1"/>
    <col min="5" max="5" width="13" style="82" customWidth="1"/>
    <col min="6" max="6" width="9.7109375" style="82" customWidth="1"/>
    <col min="7" max="7" width="15" style="82" customWidth="1"/>
    <col min="8" max="8" width="14.42578125" style="82" customWidth="1"/>
    <col min="9" max="9" width="14.28515625" style="82" customWidth="1"/>
    <col min="10" max="10" width="10" style="82" customWidth="1"/>
    <col min="11" max="12" width="9.140625" style="99" customWidth="1"/>
    <col min="13" max="247" width="9.140625" style="99"/>
    <col min="248" max="16384" width="9.140625" style="82"/>
  </cols>
  <sheetData>
    <row r="1" spans="1:247" s="395" customFormat="1" ht="36" customHeight="1" x14ac:dyDescent="0.25">
      <c r="B1" s="396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2018</v>
      </c>
      <c r="C1" s="397"/>
      <c r="D1" s="397"/>
      <c r="E1" s="397"/>
      <c r="F1" s="397"/>
      <c r="G1" s="397"/>
      <c r="H1" s="397"/>
      <c r="I1" s="397"/>
      <c r="J1" s="397"/>
      <c r="K1" s="398"/>
      <c r="L1" s="398"/>
      <c r="M1" s="398"/>
      <c r="N1" s="398"/>
      <c r="O1" s="398"/>
      <c r="P1" s="398"/>
      <c r="Q1" s="398"/>
      <c r="R1" s="398"/>
      <c r="S1" s="398"/>
      <c r="T1" s="398"/>
      <c r="U1" s="398"/>
      <c r="V1" s="398"/>
      <c r="W1" s="398"/>
      <c r="X1" s="398"/>
      <c r="Y1" s="398"/>
      <c r="Z1" s="398"/>
      <c r="AA1" s="398"/>
      <c r="AB1" s="398"/>
      <c r="AC1" s="398"/>
      <c r="AD1" s="398"/>
      <c r="AE1" s="398"/>
      <c r="AF1" s="398"/>
      <c r="AG1" s="398"/>
      <c r="AH1" s="398"/>
      <c r="AI1" s="398"/>
      <c r="AJ1" s="398"/>
      <c r="AK1" s="398"/>
      <c r="AL1" s="398"/>
      <c r="AM1" s="398"/>
      <c r="AN1" s="398"/>
      <c r="AO1" s="398"/>
      <c r="AP1" s="398"/>
      <c r="AQ1" s="398"/>
      <c r="AR1" s="398"/>
      <c r="AS1" s="398"/>
      <c r="AT1" s="398"/>
      <c r="AU1" s="398"/>
      <c r="AV1" s="398"/>
      <c r="AW1" s="398"/>
      <c r="AX1" s="398"/>
      <c r="AY1" s="398"/>
      <c r="AZ1" s="398"/>
      <c r="BA1" s="398"/>
      <c r="BB1" s="398"/>
      <c r="BC1" s="398"/>
      <c r="BD1" s="398"/>
      <c r="BE1" s="398"/>
      <c r="BF1" s="398"/>
      <c r="BG1" s="398"/>
      <c r="BH1" s="398"/>
      <c r="BI1" s="398"/>
      <c r="BJ1" s="398"/>
      <c r="BK1" s="398"/>
      <c r="BL1" s="398"/>
      <c r="BM1" s="398"/>
      <c r="BN1" s="398"/>
      <c r="BO1" s="398"/>
      <c r="BP1" s="398"/>
      <c r="BQ1" s="398"/>
      <c r="BR1" s="398"/>
      <c r="BS1" s="398"/>
      <c r="BT1" s="398"/>
      <c r="BU1" s="398"/>
      <c r="BV1" s="398"/>
      <c r="BW1" s="398"/>
      <c r="BX1" s="398"/>
      <c r="BY1" s="398"/>
      <c r="BZ1" s="398"/>
      <c r="CA1" s="398"/>
      <c r="CB1" s="398"/>
      <c r="CC1" s="398"/>
      <c r="CD1" s="398"/>
      <c r="CE1" s="398"/>
      <c r="CF1" s="398"/>
      <c r="CG1" s="398"/>
      <c r="CH1" s="398"/>
      <c r="CI1" s="398"/>
      <c r="CJ1" s="398"/>
      <c r="CK1" s="398"/>
      <c r="CL1" s="398"/>
      <c r="CM1" s="398"/>
      <c r="CN1" s="398"/>
      <c r="CO1" s="398"/>
      <c r="CP1" s="398"/>
      <c r="CQ1" s="398"/>
      <c r="CR1" s="398"/>
      <c r="CS1" s="398"/>
      <c r="CT1" s="398"/>
      <c r="CU1" s="398"/>
      <c r="CV1" s="398"/>
      <c r="CW1" s="398"/>
      <c r="CX1" s="398"/>
      <c r="CY1" s="398"/>
      <c r="CZ1" s="398"/>
      <c r="DA1" s="398"/>
      <c r="DB1" s="398"/>
      <c r="DC1" s="398"/>
      <c r="DD1" s="398"/>
      <c r="DE1" s="398"/>
      <c r="DF1" s="398"/>
      <c r="DG1" s="398"/>
      <c r="DH1" s="398"/>
      <c r="DI1" s="398"/>
      <c r="DJ1" s="398"/>
      <c r="DK1" s="398"/>
      <c r="DL1" s="398"/>
      <c r="DM1" s="398"/>
      <c r="DN1" s="398"/>
      <c r="DO1" s="398"/>
      <c r="DP1" s="398"/>
      <c r="DQ1" s="398"/>
      <c r="DR1" s="398"/>
      <c r="DS1" s="398"/>
      <c r="DT1" s="398"/>
      <c r="DU1" s="398"/>
      <c r="DV1" s="398"/>
      <c r="DW1" s="398"/>
      <c r="DX1" s="398"/>
      <c r="DY1" s="398"/>
      <c r="DZ1" s="398"/>
      <c r="EA1" s="398"/>
      <c r="EB1" s="398"/>
      <c r="EC1" s="398"/>
      <c r="ED1" s="398"/>
      <c r="EE1" s="398"/>
      <c r="EF1" s="398"/>
      <c r="EG1" s="398"/>
      <c r="EH1" s="398"/>
      <c r="EI1" s="398"/>
      <c r="EJ1" s="398"/>
      <c r="EK1" s="398"/>
      <c r="EL1" s="398"/>
      <c r="EM1" s="398"/>
      <c r="EN1" s="398"/>
      <c r="EO1" s="398"/>
      <c r="EP1" s="398"/>
      <c r="EQ1" s="398"/>
      <c r="ER1" s="398"/>
      <c r="ES1" s="398"/>
      <c r="ET1" s="398"/>
      <c r="EU1" s="398"/>
      <c r="EV1" s="398"/>
      <c r="EW1" s="398"/>
      <c r="EX1" s="398"/>
      <c r="EY1" s="398"/>
      <c r="EZ1" s="398"/>
      <c r="FA1" s="398"/>
      <c r="FB1" s="398"/>
      <c r="FC1" s="398"/>
      <c r="FD1" s="398"/>
      <c r="FE1" s="398"/>
      <c r="FF1" s="398"/>
      <c r="FG1" s="398"/>
      <c r="FH1" s="398"/>
      <c r="FI1" s="398"/>
      <c r="FJ1" s="398"/>
      <c r="FK1" s="398"/>
      <c r="FL1" s="398"/>
      <c r="FM1" s="398"/>
      <c r="FN1" s="398"/>
      <c r="FO1" s="398"/>
      <c r="FP1" s="398"/>
      <c r="FQ1" s="398"/>
      <c r="FR1" s="398"/>
      <c r="FS1" s="398"/>
      <c r="FT1" s="398"/>
      <c r="FU1" s="398"/>
      <c r="FV1" s="398"/>
      <c r="FW1" s="398"/>
      <c r="FX1" s="398"/>
      <c r="FY1" s="398"/>
      <c r="FZ1" s="398"/>
      <c r="GA1" s="398"/>
      <c r="GB1" s="398"/>
      <c r="GC1" s="398"/>
      <c r="GD1" s="398"/>
      <c r="GE1" s="398"/>
      <c r="GF1" s="398"/>
      <c r="GG1" s="398"/>
      <c r="GH1" s="398"/>
      <c r="GI1" s="398"/>
      <c r="GJ1" s="398"/>
      <c r="GK1" s="398"/>
      <c r="GL1" s="398"/>
      <c r="GM1" s="398"/>
      <c r="GN1" s="398"/>
      <c r="GO1" s="398"/>
      <c r="GP1" s="398"/>
      <c r="GQ1" s="398"/>
      <c r="GR1" s="398"/>
      <c r="GS1" s="398"/>
      <c r="GT1" s="398"/>
      <c r="GU1" s="398"/>
      <c r="GV1" s="398"/>
      <c r="GW1" s="398"/>
      <c r="GX1" s="398"/>
      <c r="GY1" s="398"/>
      <c r="GZ1" s="398"/>
      <c r="HA1" s="398"/>
      <c r="HB1" s="398"/>
      <c r="HC1" s="398"/>
      <c r="HD1" s="398"/>
      <c r="HE1" s="398"/>
      <c r="HF1" s="398"/>
      <c r="HG1" s="398"/>
      <c r="HH1" s="398"/>
      <c r="HI1" s="398"/>
      <c r="HJ1" s="398"/>
      <c r="HK1" s="398"/>
      <c r="HL1" s="398"/>
      <c r="HM1" s="398"/>
      <c r="HN1" s="398"/>
      <c r="HO1" s="398"/>
      <c r="HP1" s="398"/>
      <c r="HQ1" s="398"/>
      <c r="HR1" s="398"/>
      <c r="HS1" s="398"/>
      <c r="HT1" s="398"/>
      <c r="HU1" s="398"/>
      <c r="HV1" s="398"/>
      <c r="HW1" s="398"/>
      <c r="HX1" s="398"/>
      <c r="HY1" s="398"/>
      <c r="HZ1" s="398"/>
      <c r="IA1" s="398"/>
      <c r="IB1" s="398"/>
      <c r="IC1" s="398"/>
      <c r="ID1" s="398"/>
      <c r="IE1" s="398"/>
      <c r="IF1" s="398"/>
      <c r="IG1" s="398"/>
      <c r="IH1" s="398"/>
      <c r="II1" s="398"/>
      <c r="IJ1" s="398"/>
      <c r="IK1" s="398"/>
      <c r="IL1" s="398"/>
      <c r="IM1" s="398"/>
    </row>
    <row r="2" spans="1:247" s="395" customFormat="1" ht="12" customHeight="1" x14ac:dyDescent="0.25">
      <c r="B2" s="396"/>
      <c r="C2" s="396"/>
      <c r="D2" s="396"/>
      <c r="E2" s="396"/>
      <c r="F2" s="396"/>
      <c r="G2" s="396"/>
      <c r="H2" s="396"/>
      <c r="I2" s="396"/>
      <c r="J2" s="396"/>
      <c r="K2" s="398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8"/>
      <c r="Z2" s="398"/>
      <c r="AA2" s="398"/>
      <c r="AB2" s="398"/>
      <c r="AC2" s="398"/>
      <c r="AD2" s="398"/>
      <c r="AE2" s="398"/>
      <c r="AF2" s="398"/>
      <c r="AG2" s="398"/>
      <c r="AH2" s="398"/>
      <c r="AI2" s="398"/>
      <c r="AJ2" s="398"/>
      <c r="AK2" s="398"/>
      <c r="AL2" s="398"/>
      <c r="AM2" s="398"/>
      <c r="AN2" s="398"/>
      <c r="AO2" s="398"/>
      <c r="AP2" s="398"/>
      <c r="AQ2" s="398"/>
      <c r="AR2" s="398"/>
      <c r="AS2" s="398"/>
      <c r="AT2" s="398"/>
      <c r="AU2" s="398"/>
      <c r="AV2" s="398"/>
      <c r="AW2" s="398"/>
      <c r="AX2" s="398"/>
      <c r="AY2" s="398"/>
      <c r="AZ2" s="398"/>
      <c r="BA2" s="398"/>
      <c r="BB2" s="398"/>
      <c r="BC2" s="398"/>
      <c r="BD2" s="398"/>
      <c r="BE2" s="398"/>
      <c r="BF2" s="398"/>
      <c r="BG2" s="398"/>
      <c r="BH2" s="398"/>
      <c r="BI2" s="398"/>
      <c r="BJ2" s="398"/>
      <c r="BK2" s="398"/>
      <c r="BL2" s="398"/>
      <c r="BM2" s="398"/>
      <c r="BN2" s="398"/>
      <c r="BO2" s="398"/>
      <c r="BP2" s="398"/>
      <c r="BQ2" s="398"/>
      <c r="BR2" s="398"/>
      <c r="BS2" s="398"/>
      <c r="BT2" s="398"/>
      <c r="BU2" s="398"/>
      <c r="BV2" s="398"/>
      <c r="BW2" s="398"/>
      <c r="BX2" s="398"/>
      <c r="BY2" s="398"/>
      <c r="BZ2" s="398"/>
      <c r="CA2" s="398"/>
      <c r="CB2" s="398"/>
      <c r="CC2" s="398"/>
      <c r="CD2" s="398"/>
      <c r="CE2" s="398"/>
      <c r="CF2" s="398"/>
      <c r="CG2" s="398"/>
      <c r="CH2" s="398"/>
      <c r="CI2" s="398"/>
      <c r="CJ2" s="398"/>
      <c r="CK2" s="398"/>
      <c r="CL2" s="398"/>
      <c r="CM2" s="398"/>
      <c r="CN2" s="398"/>
      <c r="CO2" s="398"/>
      <c r="CP2" s="398"/>
      <c r="CQ2" s="398"/>
      <c r="CR2" s="398"/>
      <c r="CS2" s="398"/>
      <c r="CT2" s="398"/>
      <c r="CU2" s="398"/>
      <c r="CV2" s="398"/>
      <c r="CW2" s="398"/>
      <c r="CX2" s="398"/>
      <c r="CY2" s="398"/>
      <c r="CZ2" s="398"/>
      <c r="DA2" s="398"/>
      <c r="DB2" s="398"/>
      <c r="DC2" s="398"/>
      <c r="DD2" s="398"/>
      <c r="DE2" s="398"/>
      <c r="DF2" s="398"/>
      <c r="DG2" s="398"/>
      <c r="DH2" s="398"/>
      <c r="DI2" s="398"/>
      <c r="DJ2" s="398"/>
      <c r="DK2" s="398"/>
      <c r="DL2" s="398"/>
      <c r="DM2" s="398"/>
      <c r="DN2" s="398"/>
      <c r="DO2" s="398"/>
      <c r="DP2" s="398"/>
      <c r="DQ2" s="398"/>
      <c r="DR2" s="398"/>
      <c r="DS2" s="398"/>
      <c r="DT2" s="398"/>
      <c r="DU2" s="398"/>
      <c r="DV2" s="398"/>
      <c r="DW2" s="398"/>
      <c r="DX2" s="398"/>
      <c r="DY2" s="398"/>
      <c r="DZ2" s="398"/>
      <c r="EA2" s="398"/>
      <c r="EB2" s="398"/>
      <c r="EC2" s="398"/>
      <c r="ED2" s="398"/>
      <c r="EE2" s="398"/>
      <c r="EF2" s="398"/>
      <c r="EG2" s="398"/>
      <c r="EH2" s="398"/>
      <c r="EI2" s="398"/>
      <c r="EJ2" s="398"/>
      <c r="EK2" s="398"/>
      <c r="EL2" s="398"/>
      <c r="EM2" s="398"/>
      <c r="EN2" s="398"/>
      <c r="EO2" s="398"/>
      <c r="EP2" s="398"/>
      <c r="EQ2" s="398"/>
      <c r="ER2" s="398"/>
      <c r="ES2" s="398"/>
      <c r="ET2" s="398"/>
      <c r="EU2" s="398"/>
      <c r="EV2" s="398"/>
      <c r="EW2" s="398"/>
      <c r="EX2" s="398"/>
      <c r="EY2" s="398"/>
      <c r="EZ2" s="398"/>
      <c r="FA2" s="398"/>
      <c r="FB2" s="398"/>
      <c r="FC2" s="398"/>
      <c r="FD2" s="398"/>
      <c r="FE2" s="398"/>
      <c r="FF2" s="398"/>
      <c r="FG2" s="398"/>
      <c r="FH2" s="398"/>
      <c r="FI2" s="398"/>
      <c r="FJ2" s="398"/>
      <c r="FK2" s="398"/>
      <c r="FL2" s="398"/>
      <c r="FM2" s="398"/>
      <c r="FN2" s="398"/>
      <c r="FO2" s="398"/>
      <c r="FP2" s="398"/>
      <c r="FQ2" s="398"/>
      <c r="FR2" s="398"/>
      <c r="FS2" s="398"/>
      <c r="FT2" s="398"/>
      <c r="FU2" s="398"/>
      <c r="FV2" s="398"/>
      <c r="FW2" s="398"/>
      <c r="FX2" s="398"/>
      <c r="FY2" s="398"/>
      <c r="FZ2" s="398"/>
      <c r="GA2" s="398"/>
      <c r="GB2" s="398"/>
      <c r="GC2" s="398"/>
      <c r="GD2" s="398"/>
      <c r="GE2" s="398"/>
      <c r="GF2" s="398"/>
      <c r="GG2" s="398"/>
      <c r="GH2" s="398"/>
      <c r="GI2" s="398"/>
      <c r="GJ2" s="398"/>
      <c r="GK2" s="398"/>
      <c r="GL2" s="398"/>
      <c r="GM2" s="398"/>
      <c r="GN2" s="398"/>
      <c r="GO2" s="398"/>
      <c r="GP2" s="398"/>
      <c r="GQ2" s="398"/>
      <c r="GR2" s="398"/>
      <c r="GS2" s="398"/>
      <c r="GT2" s="398"/>
      <c r="GU2" s="398"/>
      <c r="GV2" s="398"/>
      <c r="GW2" s="398"/>
      <c r="GX2" s="398"/>
      <c r="GY2" s="398"/>
      <c r="GZ2" s="398"/>
      <c r="HA2" s="398"/>
      <c r="HB2" s="398"/>
      <c r="HC2" s="398"/>
      <c r="HD2" s="398"/>
      <c r="HE2" s="398"/>
      <c r="HF2" s="398"/>
      <c r="HG2" s="398"/>
      <c r="HH2" s="398"/>
      <c r="HI2" s="398"/>
      <c r="HJ2" s="398"/>
      <c r="HK2" s="398"/>
      <c r="HL2" s="398"/>
      <c r="HM2" s="398"/>
      <c r="HN2" s="398"/>
      <c r="HO2" s="398"/>
      <c r="HP2" s="398"/>
      <c r="HQ2" s="398"/>
      <c r="HR2" s="398"/>
      <c r="HS2" s="398"/>
      <c r="HT2" s="398"/>
      <c r="HU2" s="398"/>
      <c r="HV2" s="398"/>
      <c r="HW2" s="398"/>
      <c r="HX2" s="398"/>
      <c r="HY2" s="398"/>
      <c r="HZ2" s="398"/>
      <c r="IA2" s="398"/>
      <c r="IB2" s="398"/>
      <c r="IC2" s="398"/>
      <c r="ID2" s="398"/>
      <c r="IE2" s="398"/>
      <c r="IF2" s="398"/>
      <c r="IG2" s="398"/>
      <c r="IH2" s="398"/>
      <c r="II2" s="398"/>
      <c r="IJ2" s="398"/>
      <c r="IK2" s="398"/>
      <c r="IL2" s="398"/>
      <c r="IM2" s="398"/>
    </row>
    <row r="3" spans="1:247" hidden="1" x14ac:dyDescent="0.25">
      <c r="B3" s="399">
        <v>5</v>
      </c>
    </row>
    <row r="4" spans="1:247" ht="15.75" customHeight="1" thickBot="1" x14ac:dyDescent="0.3">
      <c r="B4" s="399"/>
    </row>
    <row r="5" spans="1:247" ht="20.25" customHeight="1" thickBot="1" x14ac:dyDescent="0.3">
      <c r="B5" s="400" t="s">
        <v>0</v>
      </c>
      <c r="C5" s="401" t="s">
        <v>102</v>
      </c>
      <c r="D5" s="402"/>
      <c r="E5" s="402"/>
      <c r="F5" s="403"/>
      <c r="G5" s="401" t="s">
        <v>101</v>
      </c>
      <c r="H5" s="402"/>
      <c r="I5" s="402"/>
      <c r="J5" s="403"/>
    </row>
    <row r="6" spans="1:247" ht="72.75" customHeight="1" thickBot="1" x14ac:dyDescent="0.3">
      <c r="B6" s="404"/>
      <c r="C6" s="149" t="s">
        <v>128</v>
      </c>
      <c r="D6" s="149" t="s">
        <v>132</v>
      </c>
      <c r="E6" s="149" t="s">
        <v>103</v>
      </c>
      <c r="F6" s="405" t="s">
        <v>35</v>
      </c>
      <c r="G6" s="149" t="s">
        <v>129</v>
      </c>
      <c r="H6" s="149" t="s">
        <v>133</v>
      </c>
      <c r="I6" s="149" t="s">
        <v>104</v>
      </c>
      <c r="J6" s="405" t="s">
        <v>35</v>
      </c>
    </row>
    <row r="7" spans="1:247" s="99" customFormat="1" ht="15.75" thickBot="1" x14ac:dyDescent="0.3">
      <c r="B7" s="406">
        <v>1</v>
      </c>
      <c r="C7" s="406">
        <v>2</v>
      </c>
      <c r="D7" s="406">
        <v>3</v>
      </c>
      <c r="E7" s="406">
        <v>4</v>
      </c>
      <c r="F7" s="406">
        <v>5</v>
      </c>
      <c r="G7" s="406">
        <v>6</v>
      </c>
      <c r="H7" s="406">
        <v>7</v>
      </c>
      <c r="I7" s="406">
        <v>8</v>
      </c>
      <c r="J7" s="406">
        <v>9</v>
      </c>
    </row>
    <row r="8" spans="1:247" s="99" customFormat="1" ht="19.149999999999999" customHeight="1" x14ac:dyDescent="0.25">
      <c r="A8" s="99">
        <v>1</v>
      </c>
      <c r="B8" s="63" t="s">
        <v>2</v>
      </c>
      <c r="C8" s="83"/>
      <c r="D8" s="83"/>
      <c r="E8" s="83"/>
      <c r="F8" s="83"/>
      <c r="G8" s="58"/>
      <c r="H8" s="58"/>
      <c r="I8" s="58"/>
      <c r="J8" s="58"/>
    </row>
    <row r="9" spans="1:247" ht="31.5" customHeight="1" x14ac:dyDescent="0.25">
      <c r="A9" s="99">
        <v>1</v>
      </c>
      <c r="B9" s="407" t="s">
        <v>71</v>
      </c>
      <c r="C9" s="67"/>
      <c r="D9" s="67"/>
      <c r="E9" s="67"/>
      <c r="F9" s="67"/>
      <c r="G9" s="197"/>
      <c r="H9" s="197"/>
      <c r="I9" s="197"/>
      <c r="J9" s="197"/>
    </row>
    <row r="10" spans="1:247" s="49" customFormat="1" ht="30" x14ac:dyDescent="0.25">
      <c r="A10" s="99">
        <v>1</v>
      </c>
      <c r="B10" s="121" t="s">
        <v>120</v>
      </c>
      <c r="C10" s="54">
        <f>SUM(C11:C14)</f>
        <v>12072</v>
      </c>
      <c r="D10" s="54">
        <f>SUM(D11:D14)</f>
        <v>5031</v>
      </c>
      <c r="E10" s="54">
        <f>SUM(E11:E14)</f>
        <v>4493</v>
      </c>
      <c r="F10" s="58">
        <f t="shared" ref="F10:F20" si="0">E10/D10*100</f>
        <v>89.306300934207911</v>
      </c>
      <c r="G10" s="205">
        <f>SUM(G11:G14)</f>
        <v>20984.503579999997</v>
      </c>
      <c r="H10" s="205">
        <f>SUM(H11:H14)</f>
        <v>8743.5399999999991</v>
      </c>
      <c r="I10" s="205">
        <f>SUM(I11:I14)</f>
        <v>8633.1782000000003</v>
      </c>
      <c r="J10" s="198">
        <f>I10/H10*100</f>
        <v>98.737790414408821</v>
      </c>
    </row>
    <row r="11" spans="1:247" s="49" customFormat="1" ht="30" x14ac:dyDescent="0.25">
      <c r="A11" s="99">
        <v>1</v>
      </c>
      <c r="B11" s="57" t="s">
        <v>79</v>
      </c>
      <c r="C11" s="54">
        <v>9139</v>
      </c>
      <c r="D11" s="50">
        <f t="shared" ref="D11:D18" si="1">ROUND(C11/12*$B$3,0)</f>
        <v>3808</v>
      </c>
      <c r="E11" s="54">
        <v>4107</v>
      </c>
      <c r="F11" s="58">
        <f t="shared" si="0"/>
        <v>107.85189075630252</v>
      </c>
      <c r="G11" s="205">
        <v>14710.7534</v>
      </c>
      <c r="H11" s="379">
        <f>ROUND(G11/12*$B$3,2)</f>
        <v>6129.48</v>
      </c>
      <c r="I11" s="199">
        <v>6497.8270600000005</v>
      </c>
      <c r="J11" s="198">
        <f>I11/H11*100</f>
        <v>106.00943407923675</v>
      </c>
    </row>
    <row r="12" spans="1:247" s="49" customFormat="1" ht="30" x14ac:dyDescent="0.25">
      <c r="A12" s="99">
        <v>1</v>
      </c>
      <c r="B12" s="57" t="s">
        <v>80</v>
      </c>
      <c r="C12" s="54">
        <v>2742</v>
      </c>
      <c r="D12" s="50">
        <f>ROUND(C12/12*$B$3,0)</f>
        <v>1143</v>
      </c>
      <c r="E12" s="54">
        <v>77</v>
      </c>
      <c r="F12" s="58">
        <f t="shared" si="0"/>
        <v>6.7366579177602803</v>
      </c>
      <c r="G12" s="205">
        <v>5020.3929000000007</v>
      </c>
      <c r="H12" s="323">
        <f t="shared" ref="H12:H14" si="2">ROUND(G12/12*$B$3,2)</f>
        <v>2091.83</v>
      </c>
      <c r="I12" s="199">
        <v>133.91741999999999</v>
      </c>
      <c r="J12" s="198">
        <f t="shared" ref="J12:J21" si="3">I12/H12*100</f>
        <v>6.4019265427878933</v>
      </c>
    </row>
    <row r="13" spans="1:247" s="49" customFormat="1" ht="45" x14ac:dyDescent="0.25">
      <c r="A13" s="99">
        <v>1</v>
      </c>
      <c r="B13" s="57" t="s">
        <v>114</v>
      </c>
      <c r="C13" s="54">
        <v>65</v>
      </c>
      <c r="D13" s="50">
        <f t="shared" si="1"/>
        <v>27</v>
      </c>
      <c r="E13" s="54">
        <v>63</v>
      </c>
      <c r="F13" s="58">
        <f t="shared" si="0"/>
        <v>233.33333333333334</v>
      </c>
      <c r="G13" s="205">
        <v>426.53520000000003</v>
      </c>
      <c r="H13" s="323">
        <f t="shared" si="2"/>
        <v>177.72</v>
      </c>
      <c r="I13" s="199">
        <v>413.41103999999996</v>
      </c>
      <c r="J13" s="198">
        <f t="shared" si="3"/>
        <v>232.61931127616475</v>
      </c>
    </row>
    <row r="14" spans="1:247" s="49" customFormat="1" ht="30" x14ac:dyDescent="0.25">
      <c r="A14" s="99">
        <v>1</v>
      </c>
      <c r="B14" s="57" t="s">
        <v>115</v>
      </c>
      <c r="C14" s="54">
        <v>126</v>
      </c>
      <c r="D14" s="50">
        <f t="shared" si="1"/>
        <v>53</v>
      </c>
      <c r="E14" s="54">
        <v>246</v>
      </c>
      <c r="F14" s="58">
        <f t="shared" si="0"/>
        <v>464.15094339622647</v>
      </c>
      <c r="G14" s="205">
        <v>826.82207999999991</v>
      </c>
      <c r="H14" s="323">
        <f t="shared" si="2"/>
        <v>344.51</v>
      </c>
      <c r="I14" s="199">
        <v>1588.02268</v>
      </c>
      <c r="J14" s="198">
        <f t="shared" si="3"/>
        <v>460.95111317523447</v>
      </c>
    </row>
    <row r="15" spans="1:247" s="49" customFormat="1" ht="44.25" customHeight="1" x14ac:dyDescent="0.25">
      <c r="A15" s="99">
        <v>1</v>
      </c>
      <c r="B15" s="121" t="s">
        <v>112</v>
      </c>
      <c r="C15" s="54">
        <f>SUM(C16:C18)</f>
        <v>16548</v>
      </c>
      <c r="D15" s="54">
        <f>SUM(D16:D18)</f>
        <v>6895</v>
      </c>
      <c r="E15" s="54">
        <f>SUM(E16:E18)</f>
        <v>7612</v>
      </c>
      <c r="F15" s="58">
        <f t="shared" si="0"/>
        <v>110.39883973894126</v>
      </c>
      <c r="G15" s="199">
        <f>SUM(G16:G18)</f>
        <v>40115.386599999998</v>
      </c>
      <c r="H15" s="199">
        <f>SUM(H16:H18)</f>
        <v>16714.75</v>
      </c>
      <c r="I15" s="199">
        <f>SUM(I16:I18)</f>
        <v>17167.151719999998</v>
      </c>
      <c r="J15" s="198">
        <f t="shared" si="3"/>
        <v>102.70660177388234</v>
      </c>
    </row>
    <row r="16" spans="1:247" s="49" customFormat="1" ht="30" x14ac:dyDescent="0.25">
      <c r="A16" s="99">
        <v>1</v>
      </c>
      <c r="B16" s="57" t="s">
        <v>108</v>
      </c>
      <c r="C16" s="54">
        <v>1008</v>
      </c>
      <c r="D16" s="50">
        <f t="shared" si="1"/>
        <v>420</v>
      </c>
      <c r="E16" s="54">
        <v>441</v>
      </c>
      <c r="F16" s="58">
        <f t="shared" si="0"/>
        <v>105</v>
      </c>
      <c r="G16" s="323">
        <v>2137.47408</v>
      </c>
      <c r="H16" s="323">
        <f t="shared" ref="H16:H20" si="4">ROUND(G16/12*$B$3,2)</f>
        <v>890.61</v>
      </c>
      <c r="I16" s="205">
        <v>911.18293000000006</v>
      </c>
      <c r="J16" s="198">
        <f t="shared" si="3"/>
        <v>102.30998192250256</v>
      </c>
    </row>
    <row r="17" spans="1:247" s="49" customFormat="1" ht="60" customHeight="1" x14ac:dyDescent="0.25">
      <c r="A17" s="99">
        <v>1</v>
      </c>
      <c r="B17" s="57" t="s">
        <v>119</v>
      </c>
      <c r="C17" s="54">
        <v>14212</v>
      </c>
      <c r="D17" s="50">
        <f t="shared" si="1"/>
        <v>5922</v>
      </c>
      <c r="E17" s="54">
        <v>7072</v>
      </c>
      <c r="F17" s="58">
        <f t="shared" si="0"/>
        <v>119.41911516379602</v>
      </c>
      <c r="G17" s="323">
        <v>36676.260040000001</v>
      </c>
      <c r="H17" s="323">
        <f t="shared" si="4"/>
        <v>15281.78</v>
      </c>
      <c r="I17" s="199">
        <v>16215.78758</v>
      </c>
      <c r="J17" s="198">
        <f t="shared" si="3"/>
        <v>106.11190306364836</v>
      </c>
    </row>
    <row r="18" spans="1:247" s="49" customFormat="1" ht="45" x14ac:dyDescent="0.25">
      <c r="A18" s="99">
        <v>1</v>
      </c>
      <c r="B18" s="57" t="s">
        <v>109</v>
      </c>
      <c r="C18" s="54">
        <v>1328</v>
      </c>
      <c r="D18" s="50">
        <f t="shared" si="1"/>
        <v>553</v>
      </c>
      <c r="E18" s="54">
        <v>99</v>
      </c>
      <c r="F18" s="58">
        <f t="shared" si="0"/>
        <v>17.902350813743219</v>
      </c>
      <c r="G18" s="323">
        <v>1301.65248</v>
      </c>
      <c r="H18" s="323">
        <f t="shared" si="4"/>
        <v>542.36</v>
      </c>
      <c r="I18" s="199">
        <v>40.18121</v>
      </c>
      <c r="J18" s="198">
        <f t="shared" si="3"/>
        <v>7.4085865476805068</v>
      </c>
    </row>
    <row r="19" spans="1:247" s="49" customFormat="1" ht="30" x14ac:dyDescent="0.25">
      <c r="A19" s="99">
        <v>1</v>
      </c>
      <c r="B19" s="408" t="s">
        <v>123</v>
      </c>
      <c r="C19" s="54">
        <v>26960</v>
      </c>
      <c r="D19" s="50">
        <f>ROUND(C19/12*$B$3,0)</f>
        <v>11233</v>
      </c>
      <c r="E19" s="54">
        <f>8999+E20</f>
        <v>11170</v>
      </c>
      <c r="F19" s="58">
        <f t="shared" si="0"/>
        <v>99.439152497106747</v>
      </c>
      <c r="G19" s="205">
        <v>26238.011200000001</v>
      </c>
      <c r="H19" s="323">
        <f t="shared" si="4"/>
        <v>10932.5</v>
      </c>
      <c r="I19" s="199">
        <f>8711.25867+I20</f>
        <v>10814.798569999999</v>
      </c>
      <c r="J19" s="198">
        <f>I19/H19*100</f>
        <v>98.923380471072491</v>
      </c>
    </row>
    <row r="20" spans="1:247" s="49" customFormat="1" ht="24" customHeight="1" thickBot="1" x14ac:dyDescent="0.3">
      <c r="A20" s="99">
        <v>1</v>
      </c>
      <c r="B20" s="408" t="s">
        <v>125</v>
      </c>
      <c r="C20" s="54">
        <v>2861</v>
      </c>
      <c r="D20" s="50">
        <f>ROUND(C20/12*$B$3,0)</f>
        <v>1192</v>
      </c>
      <c r="E20" s="54">
        <v>2171</v>
      </c>
      <c r="F20" s="58">
        <f t="shared" si="0"/>
        <v>182.13087248322148</v>
      </c>
      <c r="G20" s="205">
        <v>2784.3824200000004</v>
      </c>
      <c r="H20" s="323">
        <f t="shared" si="4"/>
        <v>1160.1600000000001</v>
      </c>
      <c r="I20" s="199">
        <v>2103.5398999999998</v>
      </c>
      <c r="J20" s="198">
        <f>I20/H20*100</f>
        <v>181.31463763618808</v>
      </c>
    </row>
    <row r="21" spans="1:247" s="410" customFormat="1" ht="15.75" thickBot="1" x14ac:dyDescent="0.3">
      <c r="A21" s="99">
        <v>1</v>
      </c>
      <c r="B21" s="409" t="s">
        <v>3</v>
      </c>
      <c r="C21" s="193"/>
      <c r="D21" s="193"/>
      <c r="E21" s="193"/>
      <c r="F21" s="194"/>
      <c r="G21" s="201">
        <f>G10+G15+G19</f>
        <v>87337.901379999996</v>
      </c>
      <c r="H21" s="201">
        <f>H10+H15+H19</f>
        <v>36390.79</v>
      </c>
      <c r="I21" s="201">
        <f>I10+I15+I19</f>
        <v>36615.128489999996</v>
      </c>
      <c r="J21" s="202">
        <f t="shared" si="3"/>
        <v>100.61647051355575</v>
      </c>
    </row>
    <row r="22" spans="1:247" ht="14.25" customHeight="1" x14ac:dyDescent="0.25">
      <c r="A22" s="99">
        <v>1</v>
      </c>
      <c r="B22" s="120"/>
      <c r="C22" s="84"/>
      <c r="D22" s="84"/>
      <c r="E22" s="84"/>
      <c r="F22" s="84"/>
      <c r="G22" s="203"/>
      <c r="H22" s="203"/>
      <c r="I22" s="203"/>
      <c r="J22" s="203"/>
    </row>
    <row r="23" spans="1:247" s="411" customFormat="1" ht="27.75" customHeight="1" x14ac:dyDescent="0.25">
      <c r="A23" s="99">
        <v>1</v>
      </c>
      <c r="B23" s="407" t="s">
        <v>72</v>
      </c>
      <c r="C23" s="85"/>
      <c r="D23" s="85"/>
      <c r="E23" s="85"/>
      <c r="F23" s="85"/>
      <c r="G23" s="197"/>
      <c r="H23" s="197"/>
      <c r="I23" s="197"/>
      <c r="J23" s="197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</row>
    <row r="24" spans="1:247" s="49" customFormat="1" ht="30" x14ac:dyDescent="0.25">
      <c r="A24" s="99">
        <v>1</v>
      </c>
      <c r="B24" s="121" t="s">
        <v>120</v>
      </c>
      <c r="C24" s="54">
        <f>SUM(C25:C28)</f>
        <v>7042</v>
      </c>
      <c r="D24" s="54">
        <f>SUM(D25:D28)</f>
        <v>2934</v>
      </c>
      <c r="E24" s="54">
        <f>SUM(E25:E28)</f>
        <v>3769</v>
      </c>
      <c r="F24" s="58">
        <f>E24/D24*100</f>
        <v>128.45944103612817</v>
      </c>
      <c r="G24" s="205">
        <f>SUM(G25:G28)</f>
        <v>11936.22388</v>
      </c>
      <c r="H24" s="205">
        <f>SUM(H25:H28)</f>
        <v>4973.43</v>
      </c>
      <c r="I24" s="205">
        <f>SUM(I25:I28)</f>
        <v>6050.5888500000001</v>
      </c>
      <c r="J24" s="198">
        <f>I24/H24*100</f>
        <v>121.65826904168753</v>
      </c>
    </row>
    <row r="25" spans="1:247" s="49" customFormat="1" ht="30" x14ac:dyDescent="0.25">
      <c r="A25" s="99">
        <v>1</v>
      </c>
      <c r="B25" s="57" t="s">
        <v>79</v>
      </c>
      <c r="C25" s="54">
        <v>5370</v>
      </c>
      <c r="D25" s="50">
        <f>ROUND(C25/12*$B$3,0)</f>
        <v>2238</v>
      </c>
      <c r="E25" s="54">
        <v>2914</v>
      </c>
      <c r="F25" s="58">
        <f>E25/D25*100</f>
        <v>130.20554066130475</v>
      </c>
      <c r="G25" s="205">
        <v>8551.4056</v>
      </c>
      <c r="H25" s="323">
        <f t="shared" ref="H25:H28" si="5">ROUND(G25/12*$B$3,2)</f>
        <v>3563.09</v>
      </c>
      <c r="I25" s="199">
        <v>4186.5109499999999</v>
      </c>
      <c r="J25" s="198">
        <f>I25/H25*100</f>
        <v>117.49663774981826</v>
      </c>
    </row>
    <row r="26" spans="1:247" s="49" customFormat="1" ht="30" x14ac:dyDescent="0.25">
      <c r="A26" s="99">
        <v>1</v>
      </c>
      <c r="B26" s="57" t="s">
        <v>80</v>
      </c>
      <c r="C26" s="54">
        <v>1611</v>
      </c>
      <c r="D26" s="50">
        <f>ROUND(C26/12*$B$3,0)</f>
        <v>671</v>
      </c>
      <c r="E26" s="54">
        <v>793</v>
      </c>
      <c r="F26" s="58">
        <f>E26/D26*100</f>
        <v>118.18181818181819</v>
      </c>
      <c r="G26" s="205">
        <f>2984.5314</f>
        <v>2984.5313999999998</v>
      </c>
      <c r="H26" s="323">
        <f t="shared" si="5"/>
        <v>1243.55</v>
      </c>
      <c r="I26" s="199">
        <v>1457.22894</v>
      </c>
      <c r="J26" s="198">
        <f t="shared" ref="J26:J35" si="6">I26/H26*100</f>
        <v>117.1829793735676</v>
      </c>
    </row>
    <row r="27" spans="1:247" s="49" customFormat="1" ht="45" x14ac:dyDescent="0.25">
      <c r="A27" s="99">
        <v>1</v>
      </c>
      <c r="B27" s="57" t="s">
        <v>114</v>
      </c>
      <c r="C27" s="54"/>
      <c r="D27" s="50">
        <f>ROUND(C27/12*$B$3,0)</f>
        <v>0</v>
      </c>
      <c r="E27" s="54"/>
      <c r="F27" s="58"/>
      <c r="G27" s="205"/>
      <c r="H27" s="323">
        <f t="shared" si="5"/>
        <v>0</v>
      </c>
      <c r="I27" s="199"/>
      <c r="J27" s="198"/>
    </row>
    <row r="28" spans="1:247" s="49" customFormat="1" ht="30" x14ac:dyDescent="0.25">
      <c r="A28" s="99">
        <v>1</v>
      </c>
      <c r="B28" s="57" t="s">
        <v>115</v>
      </c>
      <c r="C28" s="54">
        <v>61</v>
      </c>
      <c r="D28" s="50">
        <f>ROUND(C28/12*$B$3,0)</f>
        <v>25</v>
      </c>
      <c r="E28" s="54">
        <v>62</v>
      </c>
      <c r="F28" s="58">
        <f t="shared" ref="F28:F32" si="7">E28/D28*100</f>
        <v>248</v>
      </c>
      <c r="G28" s="205">
        <v>400.28688</v>
      </c>
      <c r="H28" s="323">
        <f t="shared" si="5"/>
        <v>166.79</v>
      </c>
      <c r="I28" s="199">
        <v>406.84896000000003</v>
      </c>
      <c r="J28" s="198">
        <f t="shared" si="6"/>
        <v>243.9288686372085</v>
      </c>
    </row>
    <row r="29" spans="1:247" s="49" customFormat="1" ht="30" x14ac:dyDescent="0.25">
      <c r="A29" s="99">
        <v>1</v>
      </c>
      <c r="B29" s="121" t="s">
        <v>112</v>
      </c>
      <c r="C29" s="54">
        <f>SUM(C30:C32)</f>
        <v>6436</v>
      </c>
      <c r="D29" s="54">
        <f>SUM(D30:D32)</f>
        <v>2682</v>
      </c>
      <c r="E29" s="54">
        <f>SUM(E30:E32)</f>
        <v>2102</v>
      </c>
      <c r="F29" s="58">
        <f t="shared" si="7"/>
        <v>78.374347501864278</v>
      </c>
      <c r="G29" s="199">
        <f>SUM(G30:G32)</f>
        <v>11706.71876</v>
      </c>
      <c r="H29" s="199">
        <f>SUM(H30:H32)</f>
        <v>4877.79</v>
      </c>
      <c r="I29" s="199">
        <f>SUM(I30:I32)</f>
        <v>4506.5880700000007</v>
      </c>
      <c r="J29" s="198">
        <f t="shared" si="6"/>
        <v>92.389956722204118</v>
      </c>
    </row>
    <row r="30" spans="1:247" s="49" customFormat="1" ht="30" x14ac:dyDescent="0.25">
      <c r="A30" s="99">
        <v>1</v>
      </c>
      <c r="B30" s="57" t="s">
        <v>108</v>
      </c>
      <c r="C30" s="54">
        <v>500</v>
      </c>
      <c r="D30" s="50">
        <f t="shared" ref="D30:D34" si="8">ROUND(C30/12*$B$3,0)</f>
        <v>208</v>
      </c>
      <c r="E30" s="54">
        <v>258</v>
      </c>
      <c r="F30" s="58">
        <f t="shared" si="7"/>
        <v>124.03846153846155</v>
      </c>
      <c r="G30" s="323">
        <v>1060.2550000000001</v>
      </c>
      <c r="H30" s="323">
        <f t="shared" ref="H30:H34" si="9">ROUND(G30/12*$B$3,2)</f>
        <v>441.77</v>
      </c>
      <c r="I30" s="205">
        <v>540.11797000000013</v>
      </c>
      <c r="J30" s="198">
        <f t="shared" si="6"/>
        <v>122.26225637775316</v>
      </c>
    </row>
    <row r="31" spans="1:247" s="49" customFormat="1" ht="61.5" customHeight="1" x14ac:dyDescent="0.25">
      <c r="A31" s="99">
        <v>1</v>
      </c>
      <c r="B31" s="57" t="s">
        <v>119</v>
      </c>
      <c r="C31" s="54">
        <v>3400</v>
      </c>
      <c r="D31" s="50">
        <f t="shared" si="8"/>
        <v>1417</v>
      </c>
      <c r="E31" s="54">
        <v>1184</v>
      </c>
      <c r="F31" s="58">
        <f t="shared" si="7"/>
        <v>83.556810162314747</v>
      </c>
      <c r="G31" s="323">
        <v>8160.7780000000002</v>
      </c>
      <c r="H31" s="323">
        <f t="shared" si="9"/>
        <v>3400.32</v>
      </c>
      <c r="I31" s="199">
        <v>3242.4079400000001</v>
      </c>
      <c r="J31" s="198">
        <f t="shared" si="6"/>
        <v>95.355964732731039</v>
      </c>
    </row>
    <row r="32" spans="1:247" s="49" customFormat="1" ht="45" x14ac:dyDescent="0.25">
      <c r="A32" s="99">
        <v>1</v>
      </c>
      <c r="B32" s="57" t="s">
        <v>109</v>
      </c>
      <c r="C32" s="54">
        <v>2536</v>
      </c>
      <c r="D32" s="50">
        <f t="shared" si="8"/>
        <v>1057</v>
      </c>
      <c r="E32" s="54">
        <v>660</v>
      </c>
      <c r="F32" s="58">
        <f t="shared" si="7"/>
        <v>62.440870387890257</v>
      </c>
      <c r="G32" s="323">
        <v>2485.6857599999998</v>
      </c>
      <c r="H32" s="323">
        <f t="shared" si="9"/>
        <v>1035.7</v>
      </c>
      <c r="I32" s="199">
        <v>724.06216000000006</v>
      </c>
      <c r="J32" s="198">
        <f t="shared" si="6"/>
        <v>69.910414212609822</v>
      </c>
    </row>
    <row r="33" spans="1:247" s="49" customFormat="1" ht="30" x14ac:dyDescent="0.25">
      <c r="A33" s="99">
        <v>1</v>
      </c>
      <c r="B33" s="408" t="s">
        <v>123</v>
      </c>
      <c r="C33" s="54">
        <v>13125</v>
      </c>
      <c r="D33" s="50">
        <f t="shared" si="8"/>
        <v>5469</v>
      </c>
      <c r="E33" s="54">
        <f>5426+E34</f>
        <v>5446</v>
      </c>
      <c r="F33" s="58">
        <f>E33/D33*100</f>
        <v>99.579447796672156</v>
      </c>
      <c r="G33" s="205">
        <v>12773.512500000001</v>
      </c>
      <c r="H33" s="323">
        <f t="shared" si="9"/>
        <v>5322.3</v>
      </c>
      <c r="I33" s="199">
        <f>5270.46943+I34</f>
        <v>5289.9338299999999</v>
      </c>
      <c r="J33" s="198">
        <f>I33/H33*100</f>
        <v>99.39187625650564</v>
      </c>
    </row>
    <row r="34" spans="1:247" s="49" customFormat="1" ht="30.75" thickBot="1" x14ac:dyDescent="0.3">
      <c r="A34" s="99">
        <v>1</v>
      </c>
      <c r="B34" s="408" t="s">
        <v>125</v>
      </c>
      <c r="C34" s="54">
        <v>50</v>
      </c>
      <c r="D34" s="50">
        <f t="shared" si="8"/>
        <v>21</v>
      </c>
      <c r="E34" s="54">
        <v>20</v>
      </c>
      <c r="F34" s="58">
        <f>E34/D34*100</f>
        <v>95.238095238095227</v>
      </c>
      <c r="G34" s="205">
        <v>48.661000000000001</v>
      </c>
      <c r="H34" s="323">
        <f t="shared" si="9"/>
        <v>20.28</v>
      </c>
      <c r="I34" s="199">
        <v>19.464400000000001</v>
      </c>
      <c r="J34" s="198">
        <f>I34/H34*100</f>
        <v>95.978303747534525</v>
      </c>
    </row>
    <row r="35" spans="1:247" s="49" customFormat="1" ht="17.25" customHeight="1" thickBot="1" x14ac:dyDescent="0.3">
      <c r="A35" s="99">
        <v>1</v>
      </c>
      <c r="B35" s="409" t="s">
        <v>3</v>
      </c>
      <c r="C35" s="193"/>
      <c r="D35" s="193"/>
      <c r="E35" s="193"/>
      <c r="F35" s="194"/>
      <c r="G35" s="201">
        <f>G29+G24+G33</f>
        <v>36416.455140000005</v>
      </c>
      <c r="H35" s="201">
        <f>H29+H24+H33</f>
        <v>15173.52</v>
      </c>
      <c r="I35" s="201">
        <f>I29+I24+I33</f>
        <v>15847.110750000002</v>
      </c>
      <c r="J35" s="202">
        <f t="shared" si="6"/>
        <v>104.4392517359189</v>
      </c>
    </row>
    <row r="36" spans="1:247" s="414" customFormat="1" ht="15" customHeight="1" x14ac:dyDescent="0.25">
      <c r="A36" s="99">
        <v>1</v>
      </c>
      <c r="B36" s="412"/>
      <c r="C36" s="86"/>
      <c r="D36" s="86"/>
      <c r="E36" s="86"/>
      <c r="F36" s="86"/>
      <c r="G36" s="204"/>
      <c r="H36" s="204"/>
      <c r="I36" s="204"/>
      <c r="J36" s="204"/>
      <c r="K36" s="413"/>
      <c r="L36" s="413"/>
      <c r="M36" s="413"/>
      <c r="N36" s="413"/>
      <c r="O36" s="413"/>
      <c r="P36" s="413"/>
      <c r="Q36" s="413"/>
      <c r="R36" s="413"/>
      <c r="S36" s="413"/>
      <c r="T36" s="413"/>
      <c r="U36" s="413"/>
      <c r="V36" s="413"/>
      <c r="W36" s="413"/>
      <c r="X36" s="413"/>
      <c r="Y36" s="413"/>
      <c r="Z36" s="413"/>
      <c r="AA36" s="413"/>
      <c r="AB36" s="413"/>
      <c r="AC36" s="413"/>
      <c r="AD36" s="413"/>
      <c r="AE36" s="413"/>
      <c r="AF36" s="413"/>
      <c r="AG36" s="413"/>
      <c r="AH36" s="413"/>
      <c r="AI36" s="413"/>
      <c r="AJ36" s="413"/>
      <c r="AK36" s="413"/>
      <c r="AL36" s="413"/>
      <c r="AM36" s="413"/>
      <c r="AN36" s="413"/>
      <c r="AO36" s="413"/>
      <c r="AP36" s="413"/>
      <c r="AQ36" s="413"/>
      <c r="AR36" s="413"/>
      <c r="AS36" s="413"/>
      <c r="AT36" s="413"/>
      <c r="AU36" s="413"/>
      <c r="AV36" s="413"/>
      <c r="AW36" s="413"/>
      <c r="AX36" s="413"/>
      <c r="AY36" s="413"/>
      <c r="AZ36" s="413"/>
      <c r="BA36" s="413"/>
      <c r="BB36" s="413"/>
      <c r="BC36" s="413"/>
      <c r="BD36" s="413"/>
      <c r="BE36" s="413"/>
      <c r="BF36" s="413"/>
      <c r="BG36" s="413"/>
      <c r="BH36" s="413"/>
      <c r="BI36" s="413"/>
      <c r="BJ36" s="413"/>
      <c r="BK36" s="413"/>
      <c r="BL36" s="413"/>
      <c r="BM36" s="413"/>
      <c r="BN36" s="413"/>
      <c r="BO36" s="413"/>
      <c r="BP36" s="413"/>
      <c r="BQ36" s="413"/>
      <c r="BR36" s="413"/>
      <c r="BS36" s="413"/>
      <c r="BT36" s="413"/>
      <c r="BU36" s="413"/>
      <c r="BV36" s="413"/>
      <c r="BW36" s="413"/>
      <c r="BX36" s="413"/>
      <c r="BY36" s="413"/>
      <c r="BZ36" s="413"/>
      <c r="CA36" s="413"/>
      <c r="CB36" s="413"/>
      <c r="CC36" s="413"/>
      <c r="CD36" s="413"/>
      <c r="CE36" s="413"/>
      <c r="CF36" s="413"/>
      <c r="CG36" s="413"/>
      <c r="CH36" s="413"/>
      <c r="CI36" s="413"/>
      <c r="CJ36" s="413"/>
      <c r="CK36" s="413"/>
      <c r="CL36" s="413"/>
      <c r="CM36" s="413"/>
      <c r="CN36" s="413"/>
      <c r="CO36" s="413"/>
      <c r="CP36" s="413"/>
      <c r="CQ36" s="413"/>
      <c r="CR36" s="413"/>
      <c r="CS36" s="413"/>
      <c r="CT36" s="413"/>
      <c r="CU36" s="413"/>
      <c r="CV36" s="413"/>
      <c r="CW36" s="413"/>
      <c r="CX36" s="413"/>
      <c r="CY36" s="413"/>
      <c r="CZ36" s="413"/>
      <c r="DA36" s="413"/>
      <c r="DB36" s="413"/>
      <c r="DC36" s="413"/>
      <c r="DD36" s="413"/>
      <c r="DE36" s="413"/>
      <c r="DF36" s="413"/>
      <c r="DG36" s="413"/>
      <c r="DH36" s="413"/>
      <c r="DI36" s="413"/>
      <c r="DJ36" s="413"/>
      <c r="DK36" s="413"/>
      <c r="DL36" s="413"/>
      <c r="DM36" s="413"/>
      <c r="DN36" s="413"/>
      <c r="DO36" s="413"/>
      <c r="DP36" s="413"/>
      <c r="DQ36" s="413"/>
      <c r="DR36" s="413"/>
      <c r="DS36" s="413"/>
      <c r="DT36" s="413"/>
      <c r="DU36" s="413"/>
      <c r="DV36" s="413"/>
      <c r="DW36" s="413"/>
      <c r="DX36" s="413"/>
      <c r="DY36" s="413"/>
      <c r="DZ36" s="413"/>
      <c r="EA36" s="413"/>
      <c r="EB36" s="413"/>
      <c r="EC36" s="413"/>
      <c r="ED36" s="413"/>
      <c r="EE36" s="413"/>
      <c r="EF36" s="413"/>
      <c r="EG36" s="413"/>
      <c r="EH36" s="413"/>
      <c r="EI36" s="413"/>
      <c r="EJ36" s="413"/>
      <c r="EK36" s="413"/>
      <c r="EL36" s="413"/>
      <c r="EM36" s="413"/>
      <c r="EN36" s="413"/>
      <c r="EO36" s="413"/>
      <c r="EP36" s="413"/>
      <c r="EQ36" s="413"/>
      <c r="ER36" s="413"/>
      <c r="ES36" s="413"/>
      <c r="ET36" s="413"/>
      <c r="EU36" s="413"/>
      <c r="EV36" s="413"/>
      <c r="EW36" s="413"/>
      <c r="EX36" s="413"/>
      <c r="EY36" s="413"/>
      <c r="EZ36" s="413"/>
      <c r="FA36" s="413"/>
      <c r="FB36" s="413"/>
      <c r="FC36" s="413"/>
      <c r="FD36" s="413"/>
      <c r="FE36" s="413"/>
      <c r="FF36" s="413"/>
      <c r="FG36" s="413"/>
      <c r="FH36" s="413"/>
      <c r="FI36" s="413"/>
      <c r="FJ36" s="413"/>
      <c r="FK36" s="413"/>
      <c r="FL36" s="413"/>
      <c r="FM36" s="413"/>
      <c r="FN36" s="413"/>
      <c r="FO36" s="413"/>
      <c r="FP36" s="413"/>
      <c r="FQ36" s="413"/>
      <c r="FR36" s="413"/>
      <c r="FS36" s="413"/>
      <c r="FT36" s="413"/>
      <c r="FU36" s="413"/>
      <c r="FV36" s="413"/>
      <c r="FW36" s="413"/>
      <c r="FX36" s="413"/>
      <c r="FY36" s="413"/>
      <c r="FZ36" s="413"/>
      <c r="GA36" s="413"/>
      <c r="GB36" s="413"/>
      <c r="GC36" s="413"/>
      <c r="GD36" s="413"/>
      <c r="GE36" s="413"/>
      <c r="GF36" s="413"/>
      <c r="GG36" s="413"/>
      <c r="GH36" s="413"/>
      <c r="GI36" s="413"/>
      <c r="GJ36" s="413"/>
      <c r="GK36" s="413"/>
      <c r="GL36" s="413"/>
      <c r="GM36" s="413"/>
      <c r="GN36" s="413"/>
      <c r="GO36" s="413"/>
      <c r="GP36" s="413"/>
      <c r="GQ36" s="413"/>
      <c r="GR36" s="413"/>
      <c r="GS36" s="413"/>
      <c r="GT36" s="413"/>
      <c r="GU36" s="413"/>
      <c r="GV36" s="413"/>
      <c r="GW36" s="413"/>
      <c r="GX36" s="413"/>
      <c r="GY36" s="413"/>
      <c r="GZ36" s="413"/>
      <c r="HA36" s="413"/>
      <c r="HB36" s="413"/>
      <c r="HC36" s="413"/>
      <c r="HD36" s="413"/>
      <c r="HE36" s="413"/>
      <c r="HF36" s="413"/>
      <c r="HG36" s="413"/>
      <c r="HH36" s="413"/>
      <c r="HI36" s="413"/>
      <c r="HJ36" s="413"/>
      <c r="HK36" s="413"/>
      <c r="HL36" s="413"/>
      <c r="HM36" s="413"/>
      <c r="HN36" s="413"/>
      <c r="HO36" s="413"/>
      <c r="HP36" s="413"/>
      <c r="HQ36" s="413"/>
      <c r="HR36" s="413"/>
      <c r="HS36" s="413"/>
      <c r="HT36" s="413"/>
      <c r="HU36" s="413"/>
      <c r="HV36" s="413"/>
      <c r="HW36" s="413"/>
      <c r="HX36" s="413"/>
      <c r="HY36" s="413"/>
      <c r="HZ36" s="413"/>
      <c r="IA36" s="413"/>
      <c r="IB36" s="413"/>
      <c r="IC36" s="413"/>
      <c r="ID36" s="413"/>
      <c r="IE36" s="413"/>
      <c r="IF36" s="413"/>
      <c r="IG36" s="413"/>
      <c r="IH36" s="413"/>
      <c r="II36" s="413"/>
      <c r="IJ36" s="413"/>
      <c r="IK36" s="413"/>
      <c r="IL36" s="413"/>
      <c r="IM36" s="413"/>
    </row>
    <row r="37" spans="1:247" s="415" customFormat="1" ht="32.25" customHeight="1" x14ac:dyDescent="0.25">
      <c r="A37" s="99">
        <v>1</v>
      </c>
      <c r="B37" s="407" t="s">
        <v>73</v>
      </c>
      <c r="C37" s="85"/>
      <c r="D37" s="85"/>
      <c r="E37" s="85"/>
      <c r="F37" s="85"/>
      <c r="G37" s="197"/>
      <c r="H37" s="197"/>
      <c r="I37" s="197"/>
      <c r="J37" s="197"/>
      <c r="K37" s="410"/>
      <c r="L37" s="410"/>
      <c r="M37" s="410"/>
      <c r="N37" s="410"/>
      <c r="O37" s="410"/>
      <c r="P37" s="410"/>
      <c r="Q37" s="410"/>
      <c r="R37" s="410"/>
      <c r="S37" s="410"/>
      <c r="T37" s="410"/>
      <c r="U37" s="410"/>
      <c r="V37" s="410"/>
      <c r="W37" s="410"/>
      <c r="X37" s="410"/>
      <c r="Y37" s="410"/>
      <c r="Z37" s="410"/>
      <c r="AA37" s="410"/>
      <c r="AB37" s="410"/>
      <c r="AC37" s="410"/>
      <c r="AD37" s="410"/>
      <c r="AE37" s="410"/>
      <c r="AF37" s="410"/>
      <c r="AG37" s="410"/>
      <c r="AH37" s="410"/>
      <c r="AI37" s="410"/>
      <c r="AJ37" s="410"/>
      <c r="AK37" s="410"/>
      <c r="AL37" s="410"/>
      <c r="AM37" s="410"/>
      <c r="AN37" s="410"/>
      <c r="AO37" s="410"/>
      <c r="AP37" s="410"/>
      <c r="AQ37" s="410"/>
      <c r="AR37" s="410"/>
      <c r="AS37" s="410"/>
      <c r="AT37" s="410"/>
      <c r="AU37" s="410"/>
      <c r="AV37" s="410"/>
      <c r="AW37" s="410"/>
      <c r="AX37" s="410"/>
      <c r="AY37" s="410"/>
      <c r="AZ37" s="410"/>
      <c r="BA37" s="410"/>
      <c r="BB37" s="410"/>
      <c r="BC37" s="410"/>
      <c r="BD37" s="410"/>
      <c r="BE37" s="410"/>
      <c r="BF37" s="410"/>
      <c r="BG37" s="410"/>
      <c r="BH37" s="410"/>
      <c r="BI37" s="410"/>
      <c r="BJ37" s="410"/>
      <c r="BK37" s="410"/>
      <c r="BL37" s="410"/>
      <c r="BM37" s="410"/>
      <c r="BN37" s="410"/>
      <c r="BO37" s="410"/>
      <c r="BP37" s="410"/>
      <c r="BQ37" s="410"/>
      <c r="BR37" s="410"/>
      <c r="BS37" s="410"/>
      <c r="BT37" s="410"/>
      <c r="BU37" s="410"/>
      <c r="BV37" s="410"/>
      <c r="BW37" s="410"/>
      <c r="BX37" s="410"/>
      <c r="BY37" s="410"/>
      <c r="BZ37" s="410"/>
      <c r="CA37" s="410"/>
      <c r="CB37" s="410"/>
      <c r="CC37" s="410"/>
      <c r="CD37" s="410"/>
      <c r="CE37" s="410"/>
      <c r="CF37" s="410"/>
      <c r="CG37" s="410"/>
      <c r="CH37" s="410"/>
      <c r="CI37" s="410"/>
      <c r="CJ37" s="410"/>
      <c r="CK37" s="410"/>
      <c r="CL37" s="410"/>
      <c r="CM37" s="410"/>
      <c r="CN37" s="410"/>
      <c r="CO37" s="410"/>
      <c r="CP37" s="410"/>
      <c r="CQ37" s="410"/>
      <c r="CR37" s="410"/>
      <c r="CS37" s="410"/>
      <c r="CT37" s="410"/>
      <c r="CU37" s="410"/>
      <c r="CV37" s="410"/>
      <c r="CW37" s="410"/>
      <c r="CX37" s="410"/>
      <c r="CY37" s="410"/>
      <c r="CZ37" s="410"/>
      <c r="DA37" s="410"/>
      <c r="DB37" s="410"/>
      <c r="DC37" s="410"/>
      <c r="DD37" s="410"/>
      <c r="DE37" s="410"/>
      <c r="DF37" s="410"/>
      <c r="DG37" s="410"/>
      <c r="DH37" s="410"/>
      <c r="DI37" s="410"/>
      <c r="DJ37" s="410"/>
      <c r="DK37" s="410"/>
      <c r="DL37" s="410"/>
      <c r="DM37" s="410"/>
      <c r="DN37" s="410"/>
      <c r="DO37" s="410"/>
      <c r="DP37" s="410"/>
      <c r="DQ37" s="410"/>
      <c r="DR37" s="410"/>
      <c r="DS37" s="410"/>
      <c r="DT37" s="410"/>
      <c r="DU37" s="410"/>
      <c r="DV37" s="410"/>
      <c r="DW37" s="410"/>
      <c r="DX37" s="410"/>
      <c r="DY37" s="410"/>
      <c r="DZ37" s="410"/>
      <c r="EA37" s="410"/>
      <c r="EB37" s="410"/>
      <c r="EC37" s="410"/>
      <c r="ED37" s="410"/>
      <c r="EE37" s="410"/>
      <c r="EF37" s="410"/>
      <c r="EG37" s="410"/>
      <c r="EH37" s="410"/>
      <c r="EI37" s="410"/>
      <c r="EJ37" s="410"/>
      <c r="EK37" s="410"/>
      <c r="EL37" s="410"/>
      <c r="EM37" s="410"/>
      <c r="EN37" s="410"/>
      <c r="EO37" s="410"/>
      <c r="EP37" s="410"/>
      <c r="EQ37" s="410"/>
      <c r="ER37" s="410"/>
      <c r="ES37" s="410"/>
      <c r="ET37" s="410"/>
      <c r="EU37" s="410"/>
      <c r="EV37" s="410"/>
      <c r="EW37" s="410"/>
      <c r="EX37" s="410"/>
      <c r="EY37" s="410"/>
      <c r="EZ37" s="410"/>
      <c r="FA37" s="410"/>
      <c r="FB37" s="410"/>
      <c r="FC37" s="410"/>
      <c r="FD37" s="410"/>
      <c r="FE37" s="410"/>
      <c r="FF37" s="410"/>
      <c r="FG37" s="410"/>
      <c r="FH37" s="410"/>
      <c r="FI37" s="410"/>
      <c r="FJ37" s="410"/>
      <c r="FK37" s="410"/>
      <c r="FL37" s="410"/>
      <c r="FM37" s="410"/>
      <c r="FN37" s="410"/>
      <c r="FO37" s="410"/>
      <c r="FP37" s="410"/>
      <c r="FQ37" s="410"/>
      <c r="FR37" s="410"/>
      <c r="FS37" s="410"/>
      <c r="FT37" s="410"/>
      <c r="FU37" s="410"/>
      <c r="FV37" s="410"/>
      <c r="FW37" s="410"/>
      <c r="FX37" s="410"/>
      <c r="FY37" s="410"/>
      <c r="FZ37" s="410"/>
      <c r="GA37" s="410"/>
      <c r="GB37" s="410"/>
      <c r="GC37" s="410"/>
      <c r="GD37" s="410"/>
      <c r="GE37" s="410"/>
      <c r="GF37" s="410"/>
      <c r="GG37" s="410"/>
      <c r="GH37" s="410"/>
      <c r="GI37" s="410"/>
      <c r="GJ37" s="410"/>
      <c r="GK37" s="410"/>
      <c r="GL37" s="410"/>
      <c r="GM37" s="410"/>
      <c r="GN37" s="410"/>
      <c r="GO37" s="410"/>
      <c r="GP37" s="410"/>
      <c r="GQ37" s="410"/>
      <c r="GR37" s="410"/>
      <c r="GS37" s="410"/>
      <c r="GT37" s="410"/>
      <c r="GU37" s="410"/>
      <c r="GV37" s="410"/>
      <c r="GW37" s="410"/>
      <c r="GX37" s="410"/>
      <c r="GY37" s="410"/>
      <c r="GZ37" s="410"/>
      <c r="HA37" s="410"/>
      <c r="HB37" s="410"/>
      <c r="HC37" s="410"/>
      <c r="HD37" s="410"/>
      <c r="HE37" s="410"/>
      <c r="HF37" s="410"/>
      <c r="HG37" s="410"/>
      <c r="HH37" s="410"/>
      <c r="HI37" s="410"/>
      <c r="HJ37" s="410"/>
      <c r="HK37" s="410"/>
      <c r="HL37" s="410"/>
      <c r="HM37" s="410"/>
      <c r="HN37" s="410"/>
      <c r="HO37" s="410"/>
      <c r="HP37" s="410"/>
      <c r="HQ37" s="410"/>
      <c r="HR37" s="410"/>
      <c r="HS37" s="410"/>
      <c r="HT37" s="410"/>
      <c r="HU37" s="410"/>
      <c r="HV37" s="410"/>
      <c r="HW37" s="410"/>
      <c r="HX37" s="410"/>
      <c r="HY37" s="410"/>
      <c r="HZ37" s="410"/>
      <c r="IA37" s="410"/>
      <c r="IB37" s="410"/>
      <c r="IC37" s="410"/>
      <c r="ID37" s="410"/>
      <c r="IE37" s="410"/>
      <c r="IF37" s="410"/>
      <c r="IG37" s="410"/>
      <c r="IH37" s="410"/>
      <c r="II37" s="410"/>
      <c r="IJ37" s="410"/>
      <c r="IK37" s="410"/>
      <c r="IL37" s="410"/>
      <c r="IM37" s="410"/>
    </row>
    <row r="38" spans="1:247" s="49" customFormat="1" ht="30" x14ac:dyDescent="0.25">
      <c r="A38" s="99">
        <v>1</v>
      </c>
      <c r="B38" s="121" t="s">
        <v>120</v>
      </c>
      <c r="C38" s="54">
        <f>SUM(C39:C40)</f>
        <v>9156</v>
      </c>
      <c r="D38" s="54">
        <f>SUM(D39:D40)</f>
        <v>3815</v>
      </c>
      <c r="E38" s="54">
        <f>SUM(E39:E40)</f>
        <v>3369</v>
      </c>
      <c r="F38" s="58">
        <f t="shared" ref="F38:F44" si="10">E38/D38*100</f>
        <v>88.309305373525561</v>
      </c>
      <c r="G38" s="205">
        <f>SUM(G39:G40)</f>
        <v>12774.456339999999</v>
      </c>
      <c r="H38" s="205">
        <f>SUM(H39:H40)</f>
        <v>5322.69</v>
      </c>
      <c r="I38" s="205">
        <f>SUM(I39:I40)</f>
        <v>4821.483220000001</v>
      </c>
      <c r="J38" s="200">
        <f t="shared" ref="J38:J45" si="11">I38/H38*100</f>
        <v>90.583581234300723</v>
      </c>
    </row>
    <row r="39" spans="1:247" s="49" customFormat="1" ht="30" x14ac:dyDescent="0.25">
      <c r="A39" s="99">
        <v>1</v>
      </c>
      <c r="B39" s="57" t="s">
        <v>79</v>
      </c>
      <c r="C39" s="54">
        <v>7042</v>
      </c>
      <c r="D39" s="50">
        <f>ROUND(C39/12*$B$3,0)</f>
        <v>2934</v>
      </c>
      <c r="E39" s="54">
        <v>3274</v>
      </c>
      <c r="F39" s="58">
        <f t="shared" si="10"/>
        <v>111.58827539195637</v>
      </c>
      <c r="G39" s="205">
        <v>8925.8931999999986</v>
      </c>
      <c r="H39" s="323">
        <f t="shared" ref="H39:H40" si="12">ROUND(G39/12*$B$3,2)</f>
        <v>3719.12</v>
      </c>
      <c r="I39" s="205">
        <v>4656.0433600000006</v>
      </c>
      <c r="J39" s="200">
        <f t="shared" si="11"/>
        <v>125.19207124265957</v>
      </c>
    </row>
    <row r="40" spans="1:247" s="49" customFormat="1" ht="30" x14ac:dyDescent="0.25">
      <c r="A40" s="99">
        <v>1</v>
      </c>
      <c r="B40" s="57" t="s">
        <v>80</v>
      </c>
      <c r="C40" s="54">
        <v>2114</v>
      </c>
      <c r="D40" s="50">
        <f>ROUND(C40/12*$B$3,0)</f>
        <v>881</v>
      </c>
      <c r="E40" s="54">
        <v>95</v>
      </c>
      <c r="F40" s="58">
        <f t="shared" si="10"/>
        <v>10.783200908059024</v>
      </c>
      <c r="G40" s="205">
        <v>3848.5631399999997</v>
      </c>
      <c r="H40" s="323">
        <f t="shared" si="12"/>
        <v>1603.57</v>
      </c>
      <c r="I40" s="205">
        <v>165.43985999999998</v>
      </c>
      <c r="J40" s="200">
        <f t="shared" si="11"/>
        <v>10.316971507324283</v>
      </c>
    </row>
    <row r="41" spans="1:247" s="49" customFormat="1" ht="30" x14ac:dyDescent="0.25">
      <c r="A41" s="99">
        <v>1</v>
      </c>
      <c r="B41" s="121" t="s">
        <v>112</v>
      </c>
      <c r="C41" s="54">
        <f>SUM(C42)</f>
        <v>1000</v>
      </c>
      <c r="D41" s="54">
        <f t="shared" ref="D41:I41" si="13">SUM(D42)</f>
        <v>417</v>
      </c>
      <c r="E41" s="54">
        <f t="shared" si="13"/>
        <v>577</v>
      </c>
      <c r="F41" s="58">
        <f t="shared" si="10"/>
        <v>138.36930455635493</v>
      </c>
      <c r="G41" s="199">
        <f t="shared" si="13"/>
        <v>2120.5100000000002</v>
      </c>
      <c r="H41" s="199">
        <f t="shared" si="13"/>
        <v>883.55</v>
      </c>
      <c r="I41" s="199">
        <f t="shared" si="13"/>
        <v>1221.17967</v>
      </c>
      <c r="J41" s="200">
        <f t="shared" si="11"/>
        <v>138.21285382830627</v>
      </c>
    </row>
    <row r="42" spans="1:247" s="49" customFormat="1" ht="30" x14ac:dyDescent="0.25">
      <c r="A42" s="99">
        <v>1</v>
      </c>
      <c r="B42" s="146" t="s">
        <v>108</v>
      </c>
      <c r="C42" s="98">
        <v>1000</v>
      </c>
      <c r="D42" s="150">
        <f>ROUND(C42/12*$B$3,0)</f>
        <v>417</v>
      </c>
      <c r="E42" s="98">
        <v>577</v>
      </c>
      <c r="F42" s="188">
        <f t="shared" si="10"/>
        <v>138.36930455635493</v>
      </c>
      <c r="G42" s="324">
        <f>2120510/1000</f>
        <v>2120.5100000000002</v>
      </c>
      <c r="H42" s="323">
        <f t="shared" ref="H42:H44" si="14">ROUND(G42/12*$B$3,2)</f>
        <v>883.55</v>
      </c>
      <c r="I42" s="206">
        <v>1221.17967</v>
      </c>
      <c r="J42" s="200">
        <f t="shared" si="11"/>
        <v>138.21285382830627</v>
      </c>
    </row>
    <row r="43" spans="1:247" s="49" customFormat="1" ht="30" x14ac:dyDescent="0.25">
      <c r="A43" s="99">
        <v>1</v>
      </c>
      <c r="B43" s="408" t="s">
        <v>123</v>
      </c>
      <c r="C43" s="54">
        <v>11460</v>
      </c>
      <c r="D43" s="50">
        <f>ROUND(C43/12*$B$3,0)</f>
        <v>4775</v>
      </c>
      <c r="E43" s="54">
        <f>1866+E44</f>
        <v>4230</v>
      </c>
      <c r="F43" s="58">
        <f t="shared" si="10"/>
        <v>88.586387434554965</v>
      </c>
      <c r="G43" s="205">
        <v>11153.101200000001</v>
      </c>
      <c r="H43" s="323">
        <f t="shared" si="14"/>
        <v>4647.13</v>
      </c>
      <c r="I43" s="205">
        <f>1806.67311+I44</f>
        <v>4096.3684800000001</v>
      </c>
      <c r="J43" s="200">
        <f>I43/H43*100</f>
        <v>88.148351348036314</v>
      </c>
    </row>
    <row r="44" spans="1:247" s="49" customFormat="1" ht="30.75" thickBot="1" x14ac:dyDescent="0.3">
      <c r="A44" s="99">
        <v>1</v>
      </c>
      <c r="B44" s="408" t="s">
        <v>125</v>
      </c>
      <c r="C44" s="54">
        <v>2000</v>
      </c>
      <c r="D44" s="50">
        <f>ROUND(C44/12*$B$3,0)</f>
        <v>833</v>
      </c>
      <c r="E44" s="54">
        <v>2364</v>
      </c>
      <c r="F44" s="58">
        <f t="shared" si="10"/>
        <v>283.79351740696279</v>
      </c>
      <c r="G44" s="205">
        <v>1946.4400000000003</v>
      </c>
      <c r="H44" s="323">
        <f t="shared" si="14"/>
        <v>811.02</v>
      </c>
      <c r="I44" s="205">
        <v>2289.6953699999999</v>
      </c>
      <c r="J44" s="200">
        <f>I44/H44*100</f>
        <v>282.32292298586964</v>
      </c>
    </row>
    <row r="45" spans="1:247" s="49" customFormat="1" ht="17.25" customHeight="1" thickBot="1" x14ac:dyDescent="0.3">
      <c r="A45" s="99">
        <v>1</v>
      </c>
      <c r="B45" s="409" t="s">
        <v>3</v>
      </c>
      <c r="C45" s="193"/>
      <c r="D45" s="193"/>
      <c r="E45" s="193"/>
      <c r="F45" s="194"/>
      <c r="G45" s="201">
        <f>G38+G41+G43</f>
        <v>26048.06754</v>
      </c>
      <c r="H45" s="201">
        <f>H38+H41+H43</f>
        <v>10853.369999999999</v>
      </c>
      <c r="I45" s="201">
        <f>I38+I41+I43</f>
        <v>10139.031370000001</v>
      </c>
      <c r="J45" s="207">
        <f t="shared" si="11"/>
        <v>93.41827810164034</v>
      </c>
    </row>
    <row r="46" spans="1:247" ht="15" customHeight="1" x14ac:dyDescent="0.25">
      <c r="A46" s="99">
        <v>1</v>
      </c>
      <c r="B46" s="416"/>
      <c r="C46" s="84"/>
      <c r="D46" s="84"/>
      <c r="E46" s="84"/>
      <c r="F46" s="84"/>
      <c r="G46" s="208"/>
      <c r="H46" s="208"/>
      <c r="I46" s="208"/>
      <c r="J46" s="208"/>
    </row>
    <row r="47" spans="1:247" ht="33" customHeight="1" x14ac:dyDescent="0.25">
      <c r="A47" s="99">
        <v>1</v>
      </c>
      <c r="B47" s="407" t="s">
        <v>74</v>
      </c>
      <c r="C47" s="85"/>
      <c r="D47" s="85"/>
      <c r="E47" s="85"/>
      <c r="F47" s="85"/>
      <c r="G47" s="197"/>
      <c r="H47" s="197"/>
      <c r="I47" s="197"/>
      <c r="J47" s="197"/>
    </row>
    <row r="48" spans="1:247" s="49" customFormat="1" ht="30" x14ac:dyDescent="0.25">
      <c r="A48" s="99">
        <v>1</v>
      </c>
      <c r="B48" s="121" t="s">
        <v>120</v>
      </c>
      <c r="C48" s="54">
        <f>SUM(C49:C50)</f>
        <v>20075</v>
      </c>
      <c r="D48" s="54">
        <f>SUM(D49:D50)</f>
        <v>8364</v>
      </c>
      <c r="E48" s="54">
        <f>SUM(E49:E50)</f>
        <v>11028</v>
      </c>
      <c r="F48" s="58">
        <f t="shared" ref="F48:F55" si="15">E48/D48*100</f>
        <v>131.85078909612628</v>
      </c>
      <c r="G48" s="205">
        <f>SUM(G49:G50)</f>
        <v>29460.027139999998</v>
      </c>
      <c r="H48" s="205">
        <f>SUM(H49:H50)</f>
        <v>12275.009999999998</v>
      </c>
      <c r="I48" s="205">
        <f>SUM(I49:I50)</f>
        <v>18480.576150000001</v>
      </c>
      <c r="J48" s="200">
        <f t="shared" ref="J48:J56" si="16">I48/H48*100</f>
        <v>150.55446920206177</v>
      </c>
    </row>
    <row r="49" spans="1:10" s="49" customFormat="1" ht="30" x14ac:dyDescent="0.25">
      <c r="A49" s="99">
        <v>1</v>
      </c>
      <c r="B49" s="57" t="s">
        <v>79</v>
      </c>
      <c r="C49" s="54">
        <v>15442</v>
      </c>
      <c r="D49" s="50">
        <f>ROUND(C49/12*$B$3,0)</f>
        <v>6434</v>
      </c>
      <c r="E49" s="54">
        <v>8526</v>
      </c>
      <c r="F49" s="58">
        <f t="shared" si="15"/>
        <v>132.51476530929438</v>
      </c>
      <c r="G49" s="205">
        <v>21241.522399999998</v>
      </c>
      <c r="H49" s="323">
        <f t="shared" ref="H49:H50" si="17">ROUND(G49/12*$B$3,2)</f>
        <v>8850.6299999999992</v>
      </c>
      <c r="I49" s="205">
        <v>13895.167160000001</v>
      </c>
      <c r="J49" s="200">
        <f t="shared" si="16"/>
        <v>156.99636251882637</v>
      </c>
    </row>
    <row r="50" spans="1:10" s="49" customFormat="1" ht="30" x14ac:dyDescent="0.25">
      <c r="A50" s="99">
        <v>1</v>
      </c>
      <c r="B50" s="57" t="s">
        <v>80</v>
      </c>
      <c r="C50" s="54">
        <v>4633</v>
      </c>
      <c r="D50" s="50">
        <f>ROUND(C50/12*$B$3,0)</f>
        <v>1930</v>
      </c>
      <c r="E50" s="54">
        <v>2502</v>
      </c>
      <c r="F50" s="58">
        <f t="shared" si="15"/>
        <v>129.63730569948186</v>
      </c>
      <c r="G50" s="205">
        <v>8218.5047400000003</v>
      </c>
      <c r="H50" s="323">
        <f t="shared" si="17"/>
        <v>3424.38</v>
      </c>
      <c r="I50" s="205">
        <v>4585.4089899999999</v>
      </c>
      <c r="J50" s="200">
        <f t="shared" si="16"/>
        <v>133.90479415251809</v>
      </c>
    </row>
    <row r="51" spans="1:10" s="49" customFormat="1" ht="30" x14ac:dyDescent="0.25">
      <c r="A51" s="99">
        <v>1</v>
      </c>
      <c r="B51" s="57" t="s">
        <v>112</v>
      </c>
      <c r="C51" s="54">
        <f>SUM(C52)</f>
        <v>8000</v>
      </c>
      <c r="D51" s="54">
        <f t="shared" ref="D51:I51" si="18">SUM(D52)</f>
        <v>3333</v>
      </c>
      <c r="E51" s="54">
        <f t="shared" si="18"/>
        <v>3480</v>
      </c>
      <c r="F51" s="58">
        <f t="shared" si="15"/>
        <v>104.41044104410442</v>
      </c>
      <c r="G51" s="199">
        <f t="shared" si="18"/>
        <v>16964.080000000002</v>
      </c>
      <c r="H51" s="199">
        <f t="shared" si="18"/>
        <v>7068.37</v>
      </c>
      <c r="I51" s="199">
        <f t="shared" si="18"/>
        <v>7372.9348799999998</v>
      </c>
      <c r="J51" s="200">
        <f t="shared" si="16"/>
        <v>104.30884178389077</v>
      </c>
    </row>
    <row r="52" spans="1:10" s="49" customFormat="1" ht="30" x14ac:dyDescent="0.25">
      <c r="A52" s="99">
        <v>1</v>
      </c>
      <c r="B52" s="146" t="s">
        <v>108</v>
      </c>
      <c r="C52" s="98">
        <v>8000</v>
      </c>
      <c r="D52" s="150">
        <f>ROUND(C52/12*$B$3,0)</f>
        <v>3333</v>
      </c>
      <c r="E52" s="98">
        <v>3480</v>
      </c>
      <c r="F52" s="188">
        <f t="shared" si="15"/>
        <v>104.41044104410442</v>
      </c>
      <c r="G52" s="324">
        <f>16964080/1000</f>
        <v>16964.080000000002</v>
      </c>
      <c r="H52" s="323">
        <f t="shared" ref="H52:H55" si="19">ROUND(G52/12*$B$3,2)</f>
        <v>7068.37</v>
      </c>
      <c r="I52" s="206">
        <v>7372.9348799999998</v>
      </c>
      <c r="J52" s="200">
        <f t="shared" si="16"/>
        <v>104.30884178389077</v>
      </c>
    </row>
    <row r="53" spans="1:10" s="49" customFormat="1" ht="30" x14ac:dyDescent="0.25">
      <c r="A53" s="99">
        <v>1</v>
      </c>
      <c r="B53" s="57" t="s">
        <v>123</v>
      </c>
      <c r="C53" s="54">
        <v>35558</v>
      </c>
      <c r="D53" s="50">
        <f>ROUND(C53/12*$B$3,0)</f>
        <v>14816</v>
      </c>
      <c r="E53" s="54">
        <f>5431+E54+E55</f>
        <v>15175</v>
      </c>
      <c r="F53" s="58">
        <f t="shared" si="15"/>
        <v>102.42305615550755</v>
      </c>
      <c r="G53" s="205">
        <v>34605.756759999997</v>
      </c>
      <c r="H53" s="323">
        <f t="shared" si="19"/>
        <v>14419.07</v>
      </c>
      <c r="I53" s="205">
        <f>5236.25181+I54+I55</f>
        <v>14669.761060000001</v>
      </c>
      <c r="J53" s="200">
        <f>I53/H53*100</f>
        <v>101.73860769106469</v>
      </c>
    </row>
    <row r="54" spans="1:10" s="49" customFormat="1" ht="30" x14ac:dyDescent="0.25">
      <c r="A54" s="99">
        <v>1</v>
      </c>
      <c r="B54" s="57" t="s">
        <v>124</v>
      </c>
      <c r="C54" s="54">
        <v>15000</v>
      </c>
      <c r="D54" s="50">
        <f>ROUND(C54/12*$B$3,0)</f>
        <v>6250</v>
      </c>
      <c r="E54" s="54">
        <v>4840</v>
      </c>
      <c r="F54" s="58">
        <f t="shared" si="15"/>
        <v>77.44</v>
      </c>
      <c r="G54" s="205">
        <v>14598.299999999997</v>
      </c>
      <c r="H54" s="323">
        <f t="shared" si="19"/>
        <v>6082.63</v>
      </c>
      <c r="I54" s="205">
        <v>4666.6661299999996</v>
      </c>
      <c r="J54" s="200">
        <f t="shared" ref="J54:J55" si="20">I54/H54*100</f>
        <v>76.721190175960061</v>
      </c>
    </row>
    <row r="55" spans="1:10" s="49" customFormat="1" ht="15.75" thickBot="1" x14ac:dyDescent="0.3">
      <c r="A55" s="99">
        <v>1</v>
      </c>
      <c r="B55" s="57" t="s">
        <v>125</v>
      </c>
      <c r="C55" s="54">
        <v>7800</v>
      </c>
      <c r="D55" s="50">
        <f>ROUND(C55/12*$B$3,0)</f>
        <v>3250</v>
      </c>
      <c r="E55" s="54">
        <v>4904</v>
      </c>
      <c r="F55" s="58">
        <f t="shared" si="15"/>
        <v>150.8923076923077</v>
      </c>
      <c r="G55" s="205">
        <v>7591.1159999999991</v>
      </c>
      <c r="H55" s="323">
        <f t="shared" si="19"/>
        <v>3162.97</v>
      </c>
      <c r="I55" s="205">
        <v>4766.8431200000005</v>
      </c>
      <c r="J55" s="200">
        <f t="shared" si="20"/>
        <v>150.70781954934762</v>
      </c>
    </row>
    <row r="56" spans="1:10" s="49" customFormat="1" ht="15" customHeight="1" thickBot="1" x14ac:dyDescent="0.3">
      <c r="A56" s="99">
        <v>1</v>
      </c>
      <c r="B56" s="409" t="s">
        <v>3</v>
      </c>
      <c r="C56" s="193"/>
      <c r="D56" s="193"/>
      <c r="E56" s="193"/>
      <c r="F56" s="194"/>
      <c r="G56" s="201">
        <f>G48+G51+G53</f>
        <v>81029.863899999997</v>
      </c>
      <c r="H56" s="201">
        <f>H48+H51+H53</f>
        <v>33762.449999999997</v>
      </c>
      <c r="I56" s="201">
        <f>I48+I51+I53</f>
        <v>40523.272089999999</v>
      </c>
      <c r="J56" s="207">
        <f t="shared" si="16"/>
        <v>120.02467857042365</v>
      </c>
    </row>
    <row r="57" spans="1:10" ht="15" customHeight="1" x14ac:dyDescent="0.25">
      <c r="A57" s="99">
        <v>1</v>
      </c>
      <c r="B57" s="417"/>
      <c r="C57" s="86"/>
      <c r="D57" s="86"/>
      <c r="E57" s="86"/>
      <c r="F57" s="86"/>
      <c r="G57" s="204"/>
      <c r="H57" s="204"/>
      <c r="I57" s="204"/>
      <c r="J57" s="204"/>
    </row>
    <row r="58" spans="1:10" ht="29.25" x14ac:dyDescent="0.25">
      <c r="A58" s="99">
        <v>1</v>
      </c>
      <c r="B58" s="407" t="s">
        <v>75</v>
      </c>
      <c r="C58" s="87"/>
      <c r="D58" s="87"/>
      <c r="E58" s="87"/>
      <c r="F58" s="87"/>
      <c r="G58" s="197"/>
      <c r="H58" s="197"/>
      <c r="I58" s="197"/>
      <c r="J58" s="197"/>
    </row>
    <row r="59" spans="1:10" s="49" customFormat="1" ht="30" x14ac:dyDescent="0.25">
      <c r="A59" s="99">
        <v>1</v>
      </c>
      <c r="B59" s="121" t="s">
        <v>120</v>
      </c>
      <c r="C59" s="54">
        <f>SUM(C60:C61)</f>
        <v>553</v>
      </c>
      <c r="D59" s="54">
        <f>SUM(D60:D61)</f>
        <v>230</v>
      </c>
      <c r="E59" s="54">
        <f>SUM(E60:E61)</f>
        <v>499</v>
      </c>
      <c r="F59" s="58">
        <f t="shared" ref="F59:F67" si="21">E59/D59*100</f>
        <v>216.95652173913044</v>
      </c>
      <c r="G59" s="205">
        <f>SUM(G60:G61)</f>
        <v>3628.8302400000002</v>
      </c>
      <c r="H59" s="205">
        <f>SUM(H60:H61)</f>
        <v>1512.0100000000002</v>
      </c>
      <c r="I59" s="205">
        <f>SUM(I60:I61)</f>
        <v>3274.4779200000003</v>
      </c>
      <c r="J59" s="205">
        <f>I59/H59*100</f>
        <v>216.56456769465811</v>
      </c>
    </row>
    <row r="60" spans="1:10" s="49" customFormat="1" ht="36" customHeight="1" x14ac:dyDescent="0.25">
      <c r="A60" s="99">
        <v>1</v>
      </c>
      <c r="B60" s="57" t="s">
        <v>114</v>
      </c>
      <c r="C60" s="54">
        <v>120</v>
      </c>
      <c r="D60" s="50">
        <f>ROUND(C60/12*$B$3,0)</f>
        <v>50</v>
      </c>
      <c r="E60" s="54">
        <v>101</v>
      </c>
      <c r="F60" s="58">
        <f t="shared" si="21"/>
        <v>202</v>
      </c>
      <c r="G60" s="205">
        <v>787.44960000000003</v>
      </c>
      <c r="H60" s="323">
        <f t="shared" ref="H60:H61" si="22">ROUND(G60/12*$B$3,2)</f>
        <v>328.1</v>
      </c>
      <c r="I60" s="205">
        <v>662.77008000000012</v>
      </c>
      <c r="J60" s="205">
        <f t="shared" ref="J60:J68" si="23">I60/H60*100</f>
        <v>202.00246266382203</v>
      </c>
    </row>
    <row r="61" spans="1:10" s="49" customFormat="1" ht="30" x14ac:dyDescent="0.25">
      <c r="A61" s="99">
        <v>1</v>
      </c>
      <c r="B61" s="57" t="s">
        <v>115</v>
      </c>
      <c r="C61" s="54">
        <v>433</v>
      </c>
      <c r="D61" s="50">
        <f>ROUND(C61/12*$B$3,0)</f>
        <v>180</v>
      </c>
      <c r="E61" s="54">
        <v>398</v>
      </c>
      <c r="F61" s="58">
        <f t="shared" si="21"/>
        <v>221.11111111111111</v>
      </c>
      <c r="G61" s="205">
        <v>2841.3806400000003</v>
      </c>
      <c r="H61" s="323">
        <f t="shared" si="22"/>
        <v>1183.9100000000001</v>
      </c>
      <c r="I61" s="205">
        <v>2611.70784</v>
      </c>
      <c r="J61" s="205">
        <f t="shared" si="23"/>
        <v>220.6002010287944</v>
      </c>
    </row>
    <row r="62" spans="1:10" s="49" customFormat="1" ht="30" x14ac:dyDescent="0.25">
      <c r="A62" s="99">
        <v>1</v>
      </c>
      <c r="B62" s="121" t="s">
        <v>112</v>
      </c>
      <c r="C62" s="54">
        <f>SUM(C63:C64)</f>
        <v>47614</v>
      </c>
      <c r="D62" s="54">
        <f>SUM(D63:D64)</f>
        <v>19839</v>
      </c>
      <c r="E62" s="54">
        <f>SUM(E63:E64)</f>
        <v>20331</v>
      </c>
      <c r="F62" s="58">
        <f t="shared" si="21"/>
        <v>102.47996370784817</v>
      </c>
      <c r="G62" s="205">
        <f>SUM(G63:G64)</f>
        <v>95451.935379999995</v>
      </c>
      <c r="H62" s="205">
        <f>SUM(H63:H64)</f>
        <v>39771.64</v>
      </c>
      <c r="I62" s="205">
        <f>SUM(I63:I64)</f>
        <v>39805.496099999997</v>
      </c>
      <c r="J62" s="205">
        <f t="shared" si="23"/>
        <v>100.0851262356795</v>
      </c>
    </row>
    <row r="63" spans="1:10" s="49" customFormat="1" ht="60" x14ac:dyDescent="0.25">
      <c r="A63" s="99">
        <v>1</v>
      </c>
      <c r="B63" s="57" t="s">
        <v>119</v>
      </c>
      <c r="C63" s="54">
        <v>27514</v>
      </c>
      <c r="D63" s="50">
        <f t="shared" ref="D63:D67" si="24">ROUND(C63/12*$B$3,0)</f>
        <v>11464</v>
      </c>
      <c r="E63" s="54">
        <v>12465</v>
      </c>
      <c r="F63" s="58">
        <f t="shared" si="21"/>
        <v>108.73168178646198</v>
      </c>
      <c r="G63" s="323">
        <f>75750719.38/1000</f>
        <v>75750.719379999995</v>
      </c>
      <c r="H63" s="323">
        <f t="shared" ref="H63:H66" si="25">ROUND(G63/12*$B$3,2)</f>
        <v>31562.799999999999</v>
      </c>
      <c r="I63" s="205">
        <v>31169.37197</v>
      </c>
      <c r="J63" s="205">
        <f t="shared" si="23"/>
        <v>98.753507198347421</v>
      </c>
    </row>
    <row r="64" spans="1:10" s="49" customFormat="1" ht="45" x14ac:dyDescent="0.25">
      <c r="A64" s="99">
        <v>1</v>
      </c>
      <c r="B64" s="57" t="s">
        <v>109</v>
      </c>
      <c r="C64" s="54">
        <v>20100</v>
      </c>
      <c r="D64" s="50">
        <f t="shared" si="24"/>
        <v>8375</v>
      </c>
      <c r="E64" s="54">
        <v>7866</v>
      </c>
      <c r="F64" s="58">
        <f t="shared" si="21"/>
        <v>93.92238805970149</v>
      </c>
      <c r="G64" s="323">
        <f>19701216/1000</f>
        <v>19701.216</v>
      </c>
      <c r="H64" s="323">
        <f t="shared" si="25"/>
        <v>8208.84</v>
      </c>
      <c r="I64" s="205">
        <v>8636.1241299999983</v>
      </c>
      <c r="J64" s="205">
        <f t="shared" si="23"/>
        <v>105.20517064530431</v>
      </c>
    </row>
    <row r="65" spans="1:10" s="49" customFormat="1" ht="38.1" customHeight="1" x14ac:dyDescent="0.25">
      <c r="A65" s="99">
        <v>1</v>
      </c>
      <c r="B65" s="408" t="s">
        <v>123</v>
      </c>
      <c r="C65" s="54">
        <v>26600</v>
      </c>
      <c r="D65" s="50">
        <f t="shared" si="24"/>
        <v>11083</v>
      </c>
      <c r="E65" s="54">
        <f>7059+E66+E67</f>
        <v>11534</v>
      </c>
      <c r="F65" s="58">
        <f t="shared" si="21"/>
        <v>104.06929531715238</v>
      </c>
      <c r="G65" s="205">
        <v>25887.651999999998</v>
      </c>
      <c r="H65" s="323">
        <f t="shared" si="25"/>
        <v>10786.52</v>
      </c>
      <c r="I65" s="205">
        <f>6699.24006+I66+I67</f>
        <v>10918.499920000002</v>
      </c>
      <c r="J65" s="205">
        <f t="shared" si="23"/>
        <v>101.223563484794</v>
      </c>
    </row>
    <row r="66" spans="1:10" s="49" customFormat="1" ht="29.25" customHeight="1" x14ac:dyDescent="0.25">
      <c r="A66" s="99">
        <v>1</v>
      </c>
      <c r="B66" s="408" t="s">
        <v>124</v>
      </c>
      <c r="C66" s="54">
        <v>5100</v>
      </c>
      <c r="D66" s="50">
        <f t="shared" si="24"/>
        <v>2125</v>
      </c>
      <c r="E66" s="54">
        <v>4215</v>
      </c>
      <c r="F66" s="58">
        <f t="shared" si="21"/>
        <v>198.35294117647061</v>
      </c>
      <c r="G66" s="205">
        <v>4963.4219999999996</v>
      </c>
      <c r="H66" s="323">
        <f t="shared" si="25"/>
        <v>2068.09</v>
      </c>
      <c r="I66" s="205">
        <v>3979.3530600000004</v>
      </c>
      <c r="J66" s="205">
        <f t="shared" si="23"/>
        <v>192.41682228529706</v>
      </c>
    </row>
    <row r="67" spans="1:10" s="49" customFormat="1" ht="20.25" customHeight="1" thickBot="1" x14ac:dyDescent="0.3">
      <c r="A67" s="99"/>
      <c r="B67" s="418" t="s">
        <v>125</v>
      </c>
      <c r="C67" s="306">
        <v>500</v>
      </c>
      <c r="D67" s="305">
        <f t="shared" si="24"/>
        <v>208</v>
      </c>
      <c r="E67" s="306">
        <v>260</v>
      </c>
      <c r="F67" s="71">
        <f t="shared" si="21"/>
        <v>125</v>
      </c>
      <c r="G67" s="205">
        <v>486.61</v>
      </c>
      <c r="H67" s="375">
        <f>ROUND(G67/12*$B$3,2)</f>
        <v>202.75</v>
      </c>
      <c r="I67" s="374">
        <v>239.9068</v>
      </c>
      <c r="J67" s="205">
        <f t="shared" si="23"/>
        <v>118.32641183723797</v>
      </c>
    </row>
    <row r="68" spans="1:10" s="49" customFormat="1" ht="15.75" thickBot="1" x14ac:dyDescent="0.3">
      <c r="A68" s="99">
        <v>1</v>
      </c>
      <c r="B68" s="409" t="s">
        <v>3</v>
      </c>
      <c r="C68" s="193"/>
      <c r="D68" s="193"/>
      <c r="E68" s="193"/>
      <c r="F68" s="194"/>
      <c r="G68" s="419">
        <f>G62+G59+G65</f>
        <v>124968.41761999999</v>
      </c>
      <c r="H68" s="419">
        <f>H62+H59+H65</f>
        <v>52070.17</v>
      </c>
      <c r="I68" s="419">
        <f>I62+I59+I65</f>
        <v>53998.473939999996</v>
      </c>
      <c r="J68" s="419">
        <f t="shared" si="23"/>
        <v>103.70327951685196</v>
      </c>
    </row>
    <row r="69" spans="1:10" ht="15" customHeight="1" x14ac:dyDescent="0.25">
      <c r="A69" s="99">
        <v>1</v>
      </c>
      <c r="B69" s="120"/>
      <c r="C69" s="88"/>
      <c r="D69" s="88"/>
      <c r="E69" s="88"/>
      <c r="F69" s="88"/>
      <c r="G69" s="210"/>
      <c r="H69" s="210"/>
      <c r="I69" s="210"/>
      <c r="J69" s="210"/>
    </row>
    <row r="70" spans="1:10" ht="29.25" customHeight="1" x14ac:dyDescent="0.25">
      <c r="A70" s="99">
        <v>1</v>
      </c>
      <c r="B70" s="407" t="s">
        <v>76</v>
      </c>
      <c r="C70" s="87"/>
      <c r="D70" s="87"/>
      <c r="E70" s="87"/>
      <c r="F70" s="87"/>
      <c r="G70" s="197"/>
      <c r="H70" s="197"/>
      <c r="I70" s="197"/>
      <c r="J70" s="197"/>
    </row>
    <row r="71" spans="1:10" s="49" customFormat="1" ht="32.450000000000003" customHeight="1" x14ac:dyDescent="0.25">
      <c r="A71" s="99">
        <v>1</v>
      </c>
      <c r="B71" s="121" t="s">
        <v>120</v>
      </c>
      <c r="C71" s="54">
        <f>SUM(C72:C73)</f>
        <v>5781</v>
      </c>
      <c r="D71" s="54">
        <f>SUM(D72:D73)</f>
        <v>2409</v>
      </c>
      <c r="E71" s="54">
        <f>SUM(E72:E73)</f>
        <v>2466</v>
      </c>
      <c r="F71" s="58">
        <f t="shared" ref="F71:F76" si="26">E71/D71*100</f>
        <v>102.36612702366128</v>
      </c>
      <c r="G71" s="205">
        <f>SUM(G72:G73)</f>
        <v>7962.1802399999997</v>
      </c>
      <c r="H71" s="205">
        <f>SUM(H72:H73)</f>
        <v>3317.57</v>
      </c>
      <c r="I71" s="205">
        <f>SUM(I72:I73)</f>
        <v>3463.6390200000001</v>
      </c>
      <c r="J71" s="205">
        <f t="shared" ref="J71:J77" si="27">I71/H71*100</f>
        <v>104.40289187568008</v>
      </c>
    </row>
    <row r="72" spans="1:10" s="49" customFormat="1" ht="38.1" customHeight="1" x14ac:dyDescent="0.25">
      <c r="A72" s="99">
        <v>1</v>
      </c>
      <c r="B72" s="57" t="s">
        <v>79</v>
      </c>
      <c r="C72" s="54">
        <v>4447</v>
      </c>
      <c r="D72" s="50">
        <f>ROUND(C72/12*$B$3,0)</f>
        <v>1853</v>
      </c>
      <c r="E72" s="54">
        <v>1880</v>
      </c>
      <c r="F72" s="58">
        <f t="shared" si="26"/>
        <v>101.45709660010793</v>
      </c>
      <c r="G72" s="205">
        <v>5648.1165999999994</v>
      </c>
      <c r="H72" s="323">
        <f t="shared" ref="H72:H73" si="28">ROUND(G72/12*$B$3,2)</f>
        <v>2353.38</v>
      </c>
      <c r="I72" s="205">
        <v>2567.8534</v>
      </c>
      <c r="J72" s="205">
        <f t="shared" si="27"/>
        <v>109.11341984719849</v>
      </c>
    </row>
    <row r="73" spans="1:10" s="49" customFormat="1" ht="38.1" customHeight="1" x14ac:dyDescent="0.25">
      <c r="A73" s="99">
        <v>1</v>
      </c>
      <c r="B73" s="57" t="s">
        <v>80</v>
      </c>
      <c r="C73" s="54">
        <v>1334</v>
      </c>
      <c r="D73" s="50">
        <f>ROUND(C73/12*$B$3,0)</f>
        <v>556</v>
      </c>
      <c r="E73" s="54">
        <v>586</v>
      </c>
      <c r="F73" s="58">
        <f t="shared" si="26"/>
        <v>105.39568345323742</v>
      </c>
      <c r="G73" s="205">
        <v>2314.0636399999999</v>
      </c>
      <c r="H73" s="323">
        <f t="shared" si="28"/>
        <v>964.19</v>
      </c>
      <c r="I73" s="205">
        <v>895.78561999999999</v>
      </c>
      <c r="J73" s="205">
        <f t="shared" si="27"/>
        <v>92.905508250448548</v>
      </c>
    </row>
    <row r="74" spans="1:10" s="49" customFormat="1" ht="30" x14ac:dyDescent="0.25">
      <c r="A74" s="99">
        <v>1</v>
      </c>
      <c r="B74" s="57" t="s">
        <v>112</v>
      </c>
      <c r="C74" s="54">
        <f>SUM(C75)</f>
        <v>100</v>
      </c>
      <c r="D74" s="54">
        <f t="shared" ref="D74:I74" si="29">SUM(D75)</f>
        <v>42</v>
      </c>
      <c r="E74" s="54">
        <f t="shared" si="29"/>
        <v>43</v>
      </c>
      <c r="F74" s="58">
        <f t="shared" si="26"/>
        <v>102.38095238095238</v>
      </c>
      <c r="G74" s="199">
        <f t="shared" si="29"/>
        <v>212.05099999999999</v>
      </c>
      <c r="H74" s="199">
        <f t="shared" si="29"/>
        <v>88.35</v>
      </c>
      <c r="I74" s="199">
        <f t="shared" si="29"/>
        <v>89.69547</v>
      </c>
      <c r="J74" s="205">
        <f t="shared" si="27"/>
        <v>101.52288624787778</v>
      </c>
    </row>
    <row r="75" spans="1:10" s="49" customFormat="1" ht="38.1" customHeight="1" x14ac:dyDescent="0.25">
      <c r="A75" s="99">
        <v>1</v>
      </c>
      <c r="B75" s="146" t="s">
        <v>108</v>
      </c>
      <c r="C75" s="98">
        <v>100</v>
      </c>
      <c r="D75" s="150">
        <f>ROUND(C75/12*$B$3,0)</f>
        <v>42</v>
      </c>
      <c r="E75" s="98">
        <v>43</v>
      </c>
      <c r="F75" s="188">
        <f t="shared" si="26"/>
        <v>102.38095238095238</v>
      </c>
      <c r="G75" s="324">
        <f>212051/1000</f>
        <v>212.05099999999999</v>
      </c>
      <c r="H75" s="323">
        <f t="shared" ref="H75:H76" si="30">ROUND(G75/12*$B$3,2)</f>
        <v>88.35</v>
      </c>
      <c r="I75" s="206">
        <v>89.69547</v>
      </c>
      <c r="J75" s="206">
        <f t="shared" si="27"/>
        <v>101.52288624787778</v>
      </c>
    </row>
    <row r="76" spans="1:10" s="49" customFormat="1" ht="38.1" customHeight="1" thickBot="1" x14ac:dyDescent="0.3">
      <c r="A76" s="99">
        <v>1</v>
      </c>
      <c r="B76" s="408" t="s">
        <v>123</v>
      </c>
      <c r="C76" s="54">
        <v>6260</v>
      </c>
      <c r="D76" s="50">
        <f>ROUND(C76/12*$B$3,0)</f>
        <v>2608</v>
      </c>
      <c r="E76" s="54">
        <v>2681</v>
      </c>
      <c r="F76" s="58">
        <f t="shared" si="26"/>
        <v>102.79907975460122</v>
      </c>
      <c r="G76" s="205">
        <v>6092.3572000000004</v>
      </c>
      <c r="H76" s="323">
        <f t="shared" si="30"/>
        <v>2538.48</v>
      </c>
      <c r="I76" s="205">
        <v>2586.3448399999993</v>
      </c>
      <c r="J76" s="205">
        <f>I76/H76*100</f>
        <v>101.88557089281771</v>
      </c>
    </row>
    <row r="77" spans="1:10" s="49" customFormat="1" ht="20.25" customHeight="1" thickBot="1" x14ac:dyDescent="0.3">
      <c r="A77" s="99">
        <v>1</v>
      </c>
      <c r="B77" s="409" t="s">
        <v>3</v>
      </c>
      <c r="C77" s="193"/>
      <c r="D77" s="193"/>
      <c r="E77" s="193"/>
      <c r="F77" s="194"/>
      <c r="G77" s="201">
        <f>G71+G74+G76</f>
        <v>14266.58844</v>
      </c>
      <c r="H77" s="201">
        <f>H71+H74+H76</f>
        <v>5944.4</v>
      </c>
      <c r="I77" s="201">
        <f>I71+I74+I76</f>
        <v>6139.679329999999</v>
      </c>
      <c r="J77" s="419">
        <f t="shared" si="27"/>
        <v>103.28509740259739</v>
      </c>
    </row>
    <row r="78" spans="1:10" ht="15" customHeight="1" x14ac:dyDescent="0.25">
      <c r="A78" s="99">
        <v>1</v>
      </c>
      <c r="B78" s="120"/>
      <c r="C78" s="89"/>
      <c r="D78" s="89"/>
      <c r="E78" s="89"/>
      <c r="F78" s="89"/>
      <c r="G78" s="212"/>
      <c r="H78" s="212"/>
      <c r="I78" s="212"/>
      <c r="J78" s="212"/>
    </row>
    <row r="79" spans="1:10" ht="44.25" customHeight="1" x14ac:dyDescent="0.25">
      <c r="A79" s="99">
        <v>1</v>
      </c>
      <c r="B79" s="407" t="s">
        <v>92</v>
      </c>
      <c r="C79" s="87"/>
      <c r="D79" s="87"/>
      <c r="E79" s="87"/>
      <c r="F79" s="87"/>
      <c r="G79" s="197"/>
      <c r="H79" s="197"/>
      <c r="I79" s="197"/>
      <c r="J79" s="197"/>
    </row>
    <row r="80" spans="1:10" s="49" customFormat="1" ht="30" x14ac:dyDescent="0.25">
      <c r="A80" s="99">
        <v>1</v>
      </c>
      <c r="B80" s="121" t="s">
        <v>120</v>
      </c>
      <c r="C80" s="54">
        <f>SUM(C81:C82,C83)</f>
        <v>6344</v>
      </c>
      <c r="D80" s="54">
        <f>SUM(D81:D82,D83)</f>
        <v>2643</v>
      </c>
      <c r="E80" s="54">
        <f>SUM(E81:E82,E83)</f>
        <v>1928</v>
      </c>
      <c r="F80" s="54">
        <f>SUM(F81:F82,F83)</f>
        <v>165.17453815325814</v>
      </c>
      <c r="G80" s="281">
        <f>SUM(G81:G82,G83)</f>
        <v>8344.6247299999995</v>
      </c>
      <c r="H80" s="205">
        <f>SUM(H81:H82)</f>
        <v>3476.9300000000003</v>
      </c>
      <c r="I80" s="205">
        <f>SUM(I81:I82)</f>
        <v>2173.6640299999999</v>
      </c>
      <c r="J80" s="205">
        <f t="shared" ref="J80:J90" si="31">I80/H80*100</f>
        <v>62.516761338307056</v>
      </c>
    </row>
    <row r="81" spans="1:10" s="49" customFormat="1" ht="30" x14ac:dyDescent="0.25">
      <c r="A81" s="99">
        <v>1</v>
      </c>
      <c r="B81" s="57" t="s">
        <v>79</v>
      </c>
      <c r="C81" s="54">
        <v>4880</v>
      </c>
      <c r="D81" s="50">
        <f>ROUND(C81/12*$B$3,0)</f>
        <v>2033</v>
      </c>
      <c r="E81" s="54">
        <v>1315</v>
      </c>
      <c r="F81" s="58">
        <f t="shared" ref="F81:F89" si="32">E81/D81*100</f>
        <v>64.682734874569604</v>
      </c>
      <c r="G81" s="205">
        <v>5819.5129999999999</v>
      </c>
      <c r="H81" s="323">
        <f t="shared" ref="H81:H83" si="33">ROUND(G81/12*$B$3,2)</f>
        <v>2424.8000000000002</v>
      </c>
      <c r="I81" s="205">
        <v>1142.0489499999999</v>
      </c>
      <c r="J81" s="205">
        <f t="shared" si="31"/>
        <v>47.098686489607381</v>
      </c>
    </row>
    <row r="82" spans="1:10" s="49" customFormat="1" ht="30" x14ac:dyDescent="0.25">
      <c r="A82" s="99">
        <v>1</v>
      </c>
      <c r="B82" s="57" t="s">
        <v>80</v>
      </c>
      <c r="C82" s="54">
        <v>1464</v>
      </c>
      <c r="D82" s="50">
        <f>ROUND(C82/12*$B$3,0)</f>
        <v>610</v>
      </c>
      <c r="E82" s="54">
        <v>613</v>
      </c>
      <c r="F82" s="58">
        <f t="shared" si="32"/>
        <v>100.49180327868852</v>
      </c>
      <c r="G82" s="205">
        <v>2525.1117300000001</v>
      </c>
      <c r="H82" s="323">
        <f t="shared" si="33"/>
        <v>1052.1300000000001</v>
      </c>
      <c r="I82" s="205">
        <v>1031.61508</v>
      </c>
      <c r="J82" s="205">
        <f t="shared" si="31"/>
        <v>98.050153498141853</v>
      </c>
    </row>
    <row r="83" spans="1:10" s="49" customFormat="1" ht="34.5" customHeight="1" x14ac:dyDescent="0.25">
      <c r="A83" s="99">
        <v>1</v>
      </c>
      <c r="B83" s="57" t="s">
        <v>122</v>
      </c>
      <c r="C83" s="54"/>
      <c r="D83" s="50"/>
      <c r="E83" s="54"/>
      <c r="F83" s="58"/>
      <c r="G83" s="205"/>
      <c r="H83" s="323">
        <f t="shared" si="33"/>
        <v>0</v>
      </c>
      <c r="I83" s="205"/>
      <c r="J83" s="205"/>
    </row>
    <row r="84" spans="1:10" s="49" customFormat="1" ht="30" x14ac:dyDescent="0.25">
      <c r="A84" s="99">
        <v>1</v>
      </c>
      <c r="B84" s="57" t="s">
        <v>112</v>
      </c>
      <c r="C84" s="54">
        <f>SUM(C85:C87)</f>
        <v>2229</v>
      </c>
      <c r="D84" s="54">
        <f>SUM(D85:D87)</f>
        <v>929</v>
      </c>
      <c r="E84" s="54">
        <f>SUM(E85:E87)</f>
        <v>736</v>
      </c>
      <c r="F84" s="58">
        <f t="shared" si="32"/>
        <v>79.224973089343379</v>
      </c>
      <c r="G84" s="199">
        <f>SUM(G85:G87)</f>
        <v>5716.3079300000009</v>
      </c>
      <c r="H84" s="199">
        <f>SUM(H85:H87)</f>
        <v>2381.79</v>
      </c>
      <c r="I84" s="199">
        <f>SUM(I85:I87)</f>
        <v>1548.3779599999998</v>
      </c>
      <c r="J84" s="205">
        <f t="shared" si="31"/>
        <v>65.009004152339202</v>
      </c>
    </row>
    <row r="85" spans="1:10" s="49" customFormat="1" ht="30" x14ac:dyDescent="0.25">
      <c r="A85" s="99">
        <v>1</v>
      </c>
      <c r="B85" s="57" t="s">
        <v>108</v>
      </c>
      <c r="C85" s="54">
        <v>362</v>
      </c>
      <c r="D85" s="50">
        <f t="shared" ref="D85:D89" si="34">ROUND(C85/12*$B$3,0)</f>
        <v>151</v>
      </c>
      <c r="E85" s="54">
        <v>213</v>
      </c>
      <c r="F85" s="58">
        <f t="shared" si="32"/>
        <v>141.05960264900662</v>
      </c>
      <c r="G85" s="323">
        <f>767624.62/1000</f>
        <v>767.62462000000005</v>
      </c>
      <c r="H85" s="323">
        <f t="shared" ref="H85:H89" si="35">ROUND(G85/12*$B$3,2)</f>
        <v>319.83999999999997</v>
      </c>
      <c r="I85" s="205">
        <v>418.42095</v>
      </c>
      <c r="J85" s="205">
        <f t="shared" si="31"/>
        <v>130.82195785392699</v>
      </c>
    </row>
    <row r="86" spans="1:10" s="49" customFormat="1" ht="56.25" customHeight="1" x14ac:dyDescent="0.25">
      <c r="A86" s="99">
        <v>1</v>
      </c>
      <c r="B86" s="57" t="s">
        <v>119</v>
      </c>
      <c r="C86" s="54">
        <v>1759</v>
      </c>
      <c r="D86" s="50">
        <f t="shared" si="34"/>
        <v>733</v>
      </c>
      <c r="E86" s="54">
        <v>267</v>
      </c>
      <c r="F86" s="58">
        <f t="shared" si="32"/>
        <v>36.425648021828103</v>
      </c>
      <c r="G86" s="323">
        <f>4842826.03/1000</f>
        <v>4842.8260300000002</v>
      </c>
      <c r="H86" s="323">
        <f t="shared" si="35"/>
        <v>2017.84</v>
      </c>
      <c r="I86" s="205">
        <v>852.73120999999992</v>
      </c>
      <c r="J86" s="205">
        <f t="shared" si="31"/>
        <v>42.259604824961343</v>
      </c>
    </row>
    <row r="87" spans="1:10" s="49" customFormat="1" ht="48" customHeight="1" x14ac:dyDescent="0.25">
      <c r="A87" s="99">
        <v>1</v>
      </c>
      <c r="B87" s="57" t="s">
        <v>121</v>
      </c>
      <c r="C87" s="54">
        <v>108</v>
      </c>
      <c r="D87" s="50">
        <f t="shared" si="34"/>
        <v>45</v>
      </c>
      <c r="E87" s="54">
        <v>256</v>
      </c>
      <c r="F87" s="58">
        <f t="shared" si="32"/>
        <v>568.88888888888891</v>
      </c>
      <c r="G87" s="323">
        <f>105857.28/1000</f>
        <v>105.85728</v>
      </c>
      <c r="H87" s="323">
        <f t="shared" si="35"/>
        <v>44.11</v>
      </c>
      <c r="I87" s="205">
        <v>277.22579999999999</v>
      </c>
      <c r="J87" s="205">
        <f t="shared" si="31"/>
        <v>628.48741781908859</v>
      </c>
    </row>
    <row r="88" spans="1:10" s="49" customFormat="1" ht="30" x14ac:dyDescent="0.25">
      <c r="A88" s="99">
        <v>1</v>
      </c>
      <c r="B88" s="408" t="s">
        <v>123</v>
      </c>
      <c r="C88" s="54">
        <v>4300</v>
      </c>
      <c r="D88" s="50">
        <f t="shared" si="34"/>
        <v>1792</v>
      </c>
      <c r="E88" s="54">
        <f>829+E89</f>
        <v>1293</v>
      </c>
      <c r="F88" s="58">
        <f t="shared" si="32"/>
        <v>72.154017857142861</v>
      </c>
      <c r="G88" s="205">
        <v>4184.8459999999995</v>
      </c>
      <c r="H88" s="323">
        <f t="shared" si="35"/>
        <v>1743.69</v>
      </c>
      <c r="I88" s="205">
        <f>801.94484+I89</f>
        <v>1252.5457000000001</v>
      </c>
      <c r="J88" s="200">
        <f t="shared" si="31"/>
        <v>71.833049452597649</v>
      </c>
    </row>
    <row r="89" spans="1:10" s="49" customFormat="1" ht="30" x14ac:dyDescent="0.25">
      <c r="A89" s="99">
        <v>1</v>
      </c>
      <c r="B89" s="408" t="s">
        <v>125</v>
      </c>
      <c r="C89" s="54">
        <v>400</v>
      </c>
      <c r="D89" s="50">
        <f t="shared" si="34"/>
        <v>167</v>
      </c>
      <c r="E89" s="54">
        <v>464</v>
      </c>
      <c r="F89" s="58">
        <f t="shared" si="32"/>
        <v>277.8443113772455</v>
      </c>
      <c r="G89" s="205">
        <v>389.28799999999995</v>
      </c>
      <c r="H89" s="323">
        <f t="shared" si="35"/>
        <v>162.19999999999999</v>
      </c>
      <c r="I89" s="205">
        <v>450.60086000000007</v>
      </c>
      <c r="J89" s="200">
        <f t="shared" si="31"/>
        <v>277.80570900123308</v>
      </c>
    </row>
    <row r="90" spans="1:10" s="49" customFormat="1" ht="15" customHeight="1" x14ac:dyDescent="0.25">
      <c r="A90" s="99">
        <v>1</v>
      </c>
      <c r="B90" s="420" t="s">
        <v>3</v>
      </c>
      <c r="C90" s="56"/>
      <c r="D90" s="56"/>
      <c r="E90" s="56"/>
      <c r="F90" s="61"/>
      <c r="G90" s="209">
        <f>G80+G84+G88</f>
        <v>18245.77866</v>
      </c>
      <c r="H90" s="209">
        <f>H80+H84+H88</f>
        <v>7602.41</v>
      </c>
      <c r="I90" s="209">
        <f>I80+I84+I88</f>
        <v>4974.5876900000003</v>
      </c>
      <c r="J90" s="209">
        <f t="shared" si="31"/>
        <v>65.43435160692465</v>
      </c>
    </row>
    <row r="91" spans="1:10" s="49" customFormat="1" ht="15.75" customHeight="1" x14ac:dyDescent="0.25">
      <c r="A91" s="99">
        <v>1</v>
      </c>
      <c r="C91" s="77"/>
      <c r="D91" s="77"/>
      <c r="E91" s="77"/>
      <c r="F91" s="77"/>
      <c r="G91" s="213"/>
      <c r="H91" s="213"/>
      <c r="I91" s="213"/>
      <c r="J91" s="213"/>
    </row>
    <row r="92" spans="1:10" ht="29.25" customHeight="1" x14ac:dyDescent="0.25">
      <c r="A92" s="99">
        <v>1</v>
      </c>
      <c r="B92" s="407" t="s">
        <v>93</v>
      </c>
      <c r="C92" s="87"/>
      <c r="D92" s="87"/>
      <c r="E92" s="87"/>
      <c r="F92" s="87"/>
      <c r="G92" s="197"/>
      <c r="H92" s="197"/>
      <c r="I92" s="197"/>
      <c r="J92" s="197"/>
    </row>
    <row r="93" spans="1:10" s="49" customFormat="1" ht="30" x14ac:dyDescent="0.25">
      <c r="A93" s="99">
        <v>1</v>
      </c>
      <c r="B93" s="121" t="s">
        <v>120</v>
      </c>
      <c r="C93" s="54">
        <f>SUM(C94:C95)</f>
        <v>1898</v>
      </c>
      <c r="D93" s="54">
        <f>SUM(D94:D95)</f>
        <v>791</v>
      </c>
      <c r="E93" s="54">
        <f>SUM(E94:E95)</f>
        <v>949</v>
      </c>
      <c r="F93" s="58">
        <f t="shared" ref="F93:F98" si="36">E93/D93*100</f>
        <v>119.97471554993679</v>
      </c>
      <c r="G93" s="205">
        <f>SUM(G94:G95)</f>
        <v>2766.6201500000002</v>
      </c>
      <c r="H93" s="205">
        <f>SUM(H94:H95)</f>
        <v>1152.75</v>
      </c>
      <c r="I93" s="205">
        <f>SUM(I94:I95)</f>
        <v>1250.73101</v>
      </c>
      <c r="J93" s="205">
        <f t="shared" ref="J93:J113" si="37">I93/H93*100</f>
        <v>108.49976230752547</v>
      </c>
    </row>
    <row r="94" spans="1:10" s="49" customFormat="1" ht="38.1" customHeight="1" x14ac:dyDescent="0.25">
      <c r="A94" s="99">
        <v>1</v>
      </c>
      <c r="B94" s="57" t="s">
        <v>79</v>
      </c>
      <c r="C94" s="54">
        <v>1460</v>
      </c>
      <c r="D94" s="50">
        <f>ROUND(C94/12*$B$3,0)</f>
        <v>608</v>
      </c>
      <c r="E94" s="54">
        <v>783</v>
      </c>
      <c r="F94" s="58">
        <f t="shared" si="36"/>
        <v>128.78289473684211</v>
      </c>
      <c r="G94" s="205">
        <v>1935.2242000000001</v>
      </c>
      <c r="H94" s="323">
        <f t="shared" ref="H94:H95" si="38">ROUND(G94/12*$B$3,2)</f>
        <v>806.34</v>
      </c>
      <c r="I94" s="205">
        <v>942.19241</v>
      </c>
      <c r="J94" s="205">
        <f t="shared" si="37"/>
        <v>116.84803060743607</v>
      </c>
    </row>
    <row r="95" spans="1:10" s="49" customFormat="1" ht="38.1" customHeight="1" x14ac:dyDescent="0.25">
      <c r="A95" s="99">
        <v>1</v>
      </c>
      <c r="B95" s="57" t="s">
        <v>80</v>
      </c>
      <c r="C95" s="54">
        <v>438</v>
      </c>
      <c r="D95" s="50">
        <f>ROUND(C95/12*$B$3,0)</f>
        <v>183</v>
      </c>
      <c r="E95" s="54">
        <v>166</v>
      </c>
      <c r="F95" s="58">
        <f t="shared" si="36"/>
        <v>90.710382513661202</v>
      </c>
      <c r="G95" s="205">
        <v>831.39594999999997</v>
      </c>
      <c r="H95" s="323">
        <f t="shared" si="38"/>
        <v>346.41</v>
      </c>
      <c r="I95" s="205">
        <v>308.53859999999997</v>
      </c>
      <c r="J95" s="205">
        <f t="shared" si="37"/>
        <v>89.067463410409616</v>
      </c>
    </row>
    <row r="96" spans="1:10" s="49" customFormat="1" ht="30" x14ac:dyDescent="0.25">
      <c r="A96" s="99">
        <v>1</v>
      </c>
      <c r="B96" s="57" t="s">
        <v>112</v>
      </c>
      <c r="C96" s="54">
        <f>SUM(C97)</f>
        <v>400</v>
      </c>
      <c r="D96" s="54">
        <f t="shared" ref="D96:I96" si="39">SUM(D97)</f>
        <v>167</v>
      </c>
      <c r="E96" s="54">
        <f t="shared" si="39"/>
        <v>253</v>
      </c>
      <c r="F96" s="58">
        <f t="shared" si="36"/>
        <v>151.49700598802397</v>
      </c>
      <c r="G96" s="199">
        <f t="shared" si="39"/>
        <v>848.20399999999995</v>
      </c>
      <c r="H96" s="199">
        <f t="shared" si="39"/>
        <v>353.42</v>
      </c>
      <c r="I96" s="199">
        <f t="shared" si="39"/>
        <v>507.94591000000003</v>
      </c>
      <c r="J96" s="205">
        <f t="shared" si="37"/>
        <v>143.72302359798542</v>
      </c>
    </row>
    <row r="97" spans="1:10" s="49" customFormat="1" ht="30" x14ac:dyDescent="0.25">
      <c r="A97" s="99">
        <v>1</v>
      </c>
      <c r="B97" s="351" t="s">
        <v>108</v>
      </c>
      <c r="C97" s="54">
        <v>400</v>
      </c>
      <c r="D97" s="50">
        <f>ROUND(C97/12*$B$3,0)</f>
        <v>167</v>
      </c>
      <c r="E97" s="54">
        <v>253</v>
      </c>
      <c r="F97" s="58">
        <f t="shared" si="36"/>
        <v>151.49700598802397</v>
      </c>
      <c r="G97" s="323">
        <f>848204/1000</f>
        <v>848.20399999999995</v>
      </c>
      <c r="H97" s="323">
        <f t="shared" ref="H97:H98" si="40">ROUND(G97/12*$B$3,2)</f>
        <v>353.42</v>
      </c>
      <c r="I97" s="205">
        <v>507.94591000000003</v>
      </c>
      <c r="J97" s="205">
        <f t="shared" si="37"/>
        <v>143.72302359798542</v>
      </c>
    </row>
    <row r="98" spans="1:10" s="49" customFormat="1" ht="30" x14ac:dyDescent="0.25">
      <c r="A98" s="99">
        <v>1</v>
      </c>
      <c r="B98" s="408" t="s">
        <v>123</v>
      </c>
      <c r="C98" s="54">
        <v>800</v>
      </c>
      <c r="D98" s="50">
        <f>ROUND(C98/12*$B$3,0)</f>
        <v>333</v>
      </c>
      <c r="E98" s="54">
        <v>41</v>
      </c>
      <c r="F98" s="58">
        <f t="shared" si="36"/>
        <v>12.312312312312311</v>
      </c>
      <c r="G98" s="205">
        <v>778.57600000000002</v>
      </c>
      <c r="H98" s="323">
        <f t="shared" si="40"/>
        <v>324.41000000000003</v>
      </c>
      <c r="I98" s="205">
        <v>39.09293000000001</v>
      </c>
      <c r="J98" s="200">
        <f t="shared" si="37"/>
        <v>12.050470084152771</v>
      </c>
    </row>
    <row r="99" spans="1:10" s="49" customFormat="1" ht="23.25" customHeight="1" thickBot="1" x14ac:dyDescent="0.3">
      <c r="A99" s="99">
        <v>1</v>
      </c>
      <c r="B99" s="420" t="s">
        <v>3</v>
      </c>
      <c r="C99" s="56"/>
      <c r="D99" s="56"/>
      <c r="E99" s="56"/>
      <c r="F99" s="61"/>
      <c r="G99" s="211">
        <f>G93+G96+G98</f>
        <v>4393.4001500000004</v>
      </c>
      <c r="H99" s="211">
        <f>H93+H96+H98</f>
        <v>1830.5800000000002</v>
      </c>
      <c r="I99" s="211">
        <f>I93+I96+I98</f>
        <v>1797.7698499999999</v>
      </c>
      <c r="J99" s="209">
        <f t="shared" si="37"/>
        <v>98.207663691289085</v>
      </c>
    </row>
    <row r="100" spans="1:10" ht="15" customHeight="1" x14ac:dyDescent="0.25">
      <c r="A100" s="99">
        <v>1</v>
      </c>
      <c r="B100" s="421" t="s">
        <v>91</v>
      </c>
      <c r="C100" s="422"/>
      <c r="D100" s="422"/>
      <c r="E100" s="422"/>
      <c r="F100" s="422"/>
      <c r="G100" s="423"/>
      <c r="H100" s="423"/>
      <c r="I100" s="423"/>
      <c r="J100" s="423"/>
    </row>
    <row r="101" spans="1:10" ht="30" x14ac:dyDescent="0.25">
      <c r="A101" s="99">
        <v>1</v>
      </c>
      <c r="B101" s="121" t="s">
        <v>120</v>
      </c>
      <c r="C101" s="424">
        <f>SUM(C10,C24,C38,C48,C59,C71,C80,C93)</f>
        <v>62921</v>
      </c>
      <c r="D101" s="424">
        <f>SUM(D10,D24,D38,D48,D59,D71,D80,D93)</f>
        <v>26217</v>
      </c>
      <c r="E101" s="424">
        <f>SUM(E10,E24,E38,E48,E59,E71,E80,E93)</f>
        <v>28501</v>
      </c>
      <c r="F101" s="424">
        <f t="shared" ref="F101:F112" si="41">E101/D101*100</f>
        <v>108.7119044894534</v>
      </c>
      <c r="G101" s="425">
        <f>SUM(G10,G24,G38,G48,G59,G71,G80,G93)</f>
        <v>97857.466299999985</v>
      </c>
      <c r="H101" s="425">
        <f>SUM(H10,H24,H38,H48,H59,H71,H80,H93)</f>
        <v>40773.93</v>
      </c>
      <c r="I101" s="425">
        <f>SUM(I10,I24,I38,I48,I59,I71,I80,I93)</f>
        <v>48148.338400000001</v>
      </c>
      <c r="J101" s="425">
        <f t="shared" si="37"/>
        <v>118.08608686972289</v>
      </c>
    </row>
    <row r="102" spans="1:10" ht="30" x14ac:dyDescent="0.25">
      <c r="A102" s="99">
        <v>1</v>
      </c>
      <c r="B102" s="57" t="s">
        <v>79</v>
      </c>
      <c r="C102" s="424">
        <f t="shared" ref="C102:E103" si="42">SUM(C94,C81,C72,C49,C39,C25,C11)</f>
        <v>47780</v>
      </c>
      <c r="D102" s="424">
        <f t="shared" si="42"/>
        <v>19908</v>
      </c>
      <c r="E102" s="424">
        <f t="shared" si="42"/>
        <v>22799</v>
      </c>
      <c r="F102" s="424">
        <f t="shared" si="41"/>
        <v>114.52180028129395</v>
      </c>
      <c r="G102" s="425">
        <f t="shared" ref="G102:I103" si="43">SUM(G94,G81,G72,G49,G39,G25,G11)</f>
        <v>66832.42839999999</v>
      </c>
      <c r="H102" s="425">
        <f t="shared" si="43"/>
        <v>27846.84</v>
      </c>
      <c r="I102" s="425">
        <f t="shared" si="43"/>
        <v>33887.64329</v>
      </c>
      <c r="J102" s="425">
        <f t="shared" si="37"/>
        <v>121.6929579442407</v>
      </c>
    </row>
    <row r="103" spans="1:10" ht="30" x14ac:dyDescent="0.25">
      <c r="A103" s="99">
        <v>1</v>
      </c>
      <c r="B103" s="57" t="s">
        <v>80</v>
      </c>
      <c r="C103" s="424">
        <f t="shared" si="42"/>
        <v>14336</v>
      </c>
      <c r="D103" s="424">
        <f t="shared" si="42"/>
        <v>5974</v>
      </c>
      <c r="E103" s="424">
        <f t="shared" si="42"/>
        <v>4832</v>
      </c>
      <c r="F103" s="424">
        <f t="shared" si="41"/>
        <v>80.883829929695352</v>
      </c>
      <c r="G103" s="425">
        <f t="shared" si="43"/>
        <v>25742.563499999997</v>
      </c>
      <c r="H103" s="425">
        <f t="shared" si="43"/>
        <v>10726.06</v>
      </c>
      <c r="I103" s="425">
        <f t="shared" si="43"/>
        <v>8577.934510000001</v>
      </c>
      <c r="J103" s="425">
        <f t="shared" si="37"/>
        <v>79.97283727668875</v>
      </c>
    </row>
    <row r="104" spans="1:10" ht="45" x14ac:dyDescent="0.25">
      <c r="A104" s="99">
        <v>1</v>
      </c>
      <c r="B104" s="57" t="s">
        <v>114</v>
      </c>
      <c r="C104" s="424">
        <f t="shared" ref="C104:E105" si="44">SUM(C60,C27,C13)</f>
        <v>185</v>
      </c>
      <c r="D104" s="424">
        <f t="shared" si="44"/>
        <v>77</v>
      </c>
      <c r="E104" s="424">
        <f t="shared" si="44"/>
        <v>164</v>
      </c>
      <c r="F104" s="424">
        <f t="shared" si="41"/>
        <v>212.98701298701297</v>
      </c>
      <c r="G104" s="425">
        <f t="shared" ref="G104:I105" si="45">SUM(G60,G27,G13)</f>
        <v>1213.9848000000002</v>
      </c>
      <c r="H104" s="425">
        <f t="shared" si="45"/>
        <v>505.82000000000005</v>
      </c>
      <c r="I104" s="425">
        <f t="shared" si="45"/>
        <v>1076.1811200000002</v>
      </c>
      <c r="J104" s="425">
        <f t="shared" si="37"/>
        <v>212.75970107943542</v>
      </c>
    </row>
    <row r="105" spans="1:10" ht="30" x14ac:dyDescent="0.25">
      <c r="A105" s="99">
        <v>1</v>
      </c>
      <c r="B105" s="57" t="s">
        <v>115</v>
      </c>
      <c r="C105" s="424">
        <f t="shared" si="44"/>
        <v>620</v>
      </c>
      <c r="D105" s="424">
        <f t="shared" si="44"/>
        <v>258</v>
      </c>
      <c r="E105" s="424">
        <f t="shared" si="44"/>
        <v>706</v>
      </c>
      <c r="F105" s="424">
        <f t="shared" si="41"/>
        <v>273.6434108527132</v>
      </c>
      <c r="G105" s="425">
        <f t="shared" si="45"/>
        <v>4068.4896000000003</v>
      </c>
      <c r="H105" s="425">
        <f t="shared" si="45"/>
        <v>1695.21</v>
      </c>
      <c r="I105" s="425">
        <f t="shared" si="45"/>
        <v>4606.5794800000003</v>
      </c>
      <c r="J105" s="425">
        <f t="shared" si="37"/>
        <v>271.74093357165191</v>
      </c>
    </row>
    <row r="106" spans="1:10" ht="30" x14ac:dyDescent="0.25">
      <c r="A106" s="99">
        <v>1</v>
      </c>
      <c r="B106" s="121" t="s">
        <v>112</v>
      </c>
      <c r="C106" s="424">
        <f>SUM(C96,C84,C74,C62,C51,C41,C29,C15)</f>
        <v>82327</v>
      </c>
      <c r="D106" s="424">
        <f>SUM(D96,D84,D74,D62,D51,D41,D29,D15)</f>
        <v>34304</v>
      </c>
      <c r="E106" s="424">
        <f>SUM(E96,E84,E74,E62,E51,E41,E29,E15)</f>
        <v>35134</v>
      </c>
      <c r="F106" s="424">
        <f t="shared" si="41"/>
        <v>102.41954291044777</v>
      </c>
      <c r="G106" s="425">
        <f>SUM(G96,G84,G74,G62,G51,G41,G29,G15)</f>
        <v>173135.19366999998</v>
      </c>
      <c r="H106" s="425">
        <f>SUM(H96,H84,H74,H62,H51,H41,H29,H15)</f>
        <v>72139.66</v>
      </c>
      <c r="I106" s="425">
        <f>SUM(I96,I84,I74,I62,I51,I41,I29,I15)</f>
        <v>72219.369779999994</v>
      </c>
      <c r="J106" s="425">
        <f t="shared" si="37"/>
        <v>100.11049370069112</v>
      </c>
    </row>
    <row r="107" spans="1:10" ht="30" x14ac:dyDescent="0.25">
      <c r="A107" s="99">
        <v>1</v>
      </c>
      <c r="B107" s="57" t="s">
        <v>108</v>
      </c>
      <c r="C107" s="424">
        <f>SUM(C97,C85,C75,C52,C42,C30,C16)</f>
        <v>11370</v>
      </c>
      <c r="D107" s="424">
        <f>SUM(D97,D85,D75,D52,D42,D30,D16)</f>
        <v>4738</v>
      </c>
      <c r="E107" s="424">
        <f>SUM(E97,E85,E75,E52,E42,E30,E16)</f>
        <v>5265</v>
      </c>
      <c r="F107" s="424">
        <f t="shared" si="41"/>
        <v>111.12283663993246</v>
      </c>
      <c r="G107" s="425">
        <f>SUM(G97,G85,G75,G52,G42,G30,G16)</f>
        <v>24110.198700000004</v>
      </c>
      <c r="H107" s="425">
        <f>SUM(H97,H85,H75,H52,H42,H30,H16)</f>
        <v>10045.91</v>
      </c>
      <c r="I107" s="425">
        <f>SUM(I97,I85,I75,I52,I42,I30,I16)</f>
        <v>11061.477779999999</v>
      </c>
      <c r="J107" s="425">
        <f t="shared" si="37"/>
        <v>110.10926615906374</v>
      </c>
    </row>
    <row r="108" spans="1:10" ht="60" x14ac:dyDescent="0.25">
      <c r="A108" s="99">
        <v>1</v>
      </c>
      <c r="B108" s="57" t="s">
        <v>81</v>
      </c>
      <c r="C108" s="424">
        <f t="shared" ref="C108:E109" si="46">SUM(C86,C63,C31,C17)</f>
        <v>46885</v>
      </c>
      <c r="D108" s="424">
        <f t="shared" si="46"/>
        <v>19536</v>
      </c>
      <c r="E108" s="424">
        <f t="shared" si="46"/>
        <v>20988</v>
      </c>
      <c r="F108" s="424">
        <f t="shared" si="41"/>
        <v>107.43243243243244</v>
      </c>
      <c r="G108" s="425">
        <f t="shared" ref="G108:I109" si="47">SUM(G86,G63,G31,G17)</f>
        <v>125430.58345000001</v>
      </c>
      <c r="H108" s="425">
        <f t="shared" si="47"/>
        <v>52262.74</v>
      </c>
      <c r="I108" s="425">
        <f t="shared" si="47"/>
        <v>51480.298699999999</v>
      </c>
      <c r="J108" s="425">
        <f t="shared" si="37"/>
        <v>98.502869730901978</v>
      </c>
    </row>
    <row r="109" spans="1:10" ht="45" x14ac:dyDescent="0.25">
      <c r="A109" s="99">
        <v>1</v>
      </c>
      <c r="B109" s="57" t="s">
        <v>109</v>
      </c>
      <c r="C109" s="424">
        <f t="shared" si="46"/>
        <v>24072</v>
      </c>
      <c r="D109" s="424">
        <f t="shared" si="46"/>
        <v>10030</v>
      </c>
      <c r="E109" s="424">
        <f t="shared" si="46"/>
        <v>8881</v>
      </c>
      <c r="F109" s="424">
        <f t="shared" si="41"/>
        <v>88.544366899302091</v>
      </c>
      <c r="G109" s="424">
        <f t="shared" si="47"/>
        <v>23594.411520000001</v>
      </c>
      <c r="H109" s="424">
        <f t="shared" si="47"/>
        <v>9831.010000000002</v>
      </c>
      <c r="I109" s="426">
        <f t="shared" si="47"/>
        <v>9677.5932999999986</v>
      </c>
      <c r="J109" s="425">
        <f t="shared" si="37"/>
        <v>98.439461459198981</v>
      </c>
    </row>
    <row r="110" spans="1:10" ht="30" x14ac:dyDescent="0.25">
      <c r="A110" s="99">
        <v>1</v>
      </c>
      <c r="B110" s="351" t="s">
        <v>123</v>
      </c>
      <c r="C110" s="427">
        <f>SUM(C98,C88,C76,C65,C53,C43,C33,C19)</f>
        <v>125063</v>
      </c>
      <c r="D110" s="427">
        <f>SUM(D98,D88,D76,D65,D53,D43,D33,D19)</f>
        <v>52109</v>
      </c>
      <c r="E110" s="427">
        <f>SUM(E98,E88,E76,E65,E53,E43,E33,E19)</f>
        <v>51570</v>
      </c>
      <c r="F110" s="424">
        <f t="shared" si="41"/>
        <v>98.965629737665282</v>
      </c>
      <c r="G110" s="427">
        <f>SUM(G98,G88,G76,G65,G53,G43,G33,G19)</f>
        <v>121713.81286000001</v>
      </c>
      <c r="H110" s="427">
        <f>SUM(H98,H88,H76,H65,H53,H43,H33,H19)</f>
        <v>50714.1</v>
      </c>
      <c r="I110" s="427">
        <f>SUM(I98,I88,I76,I65,I53,I43,I33,I19)</f>
        <v>49667.345330000004</v>
      </c>
      <c r="J110" s="425">
        <f t="shared" si="37"/>
        <v>97.935969148619435</v>
      </c>
    </row>
    <row r="111" spans="1:10" ht="30" x14ac:dyDescent="0.25">
      <c r="A111" s="99">
        <v>1</v>
      </c>
      <c r="B111" s="351" t="s">
        <v>124</v>
      </c>
      <c r="C111" s="427">
        <f>SUM(C66,C54)</f>
        <v>20100</v>
      </c>
      <c r="D111" s="427">
        <f>SUM(D66,D54)</f>
        <v>8375</v>
      </c>
      <c r="E111" s="427">
        <f>SUM(E66,E54)</f>
        <v>9055</v>
      </c>
      <c r="F111" s="424">
        <f t="shared" si="41"/>
        <v>108.11940298507463</v>
      </c>
      <c r="G111" s="427">
        <f>SUM(G66,G54)</f>
        <v>19561.721999999998</v>
      </c>
      <c r="H111" s="427">
        <f>SUM(H66,H54)</f>
        <v>8150.72</v>
      </c>
      <c r="I111" s="427">
        <f>SUM(I66,I54)</f>
        <v>8646.0191899999991</v>
      </c>
      <c r="J111" s="425"/>
    </row>
    <row r="112" spans="1:10" x14ac:dyDescent="0.25">
      <c r="A112" s="99">
        <v>1</v>
      </c>
      <c r="B112" s="351" t="s">
        <v>125</v>
      </c>
      <c r="C112" s="427">
        <f t="shared" ref="C112:D112" si="48">SUM(C89,C55,C44,C34,C20,C67)</f>
        <v>13611</v>
      </c>
      <c r="D112" s="427">
        <f t="shared" si="48"/>
        <v>5671</v>
      </c>
      <c r="E112" s="427">
        <f>SUM(E89,E55,E44,E34,E20,E67)</f>
        <v>10183</v>
      </c>
      <c r="F112" s="424">
        <f t="shared" si="41"/>
        <v>179.5626873567272</v>
      </c>
      <c r="G112" s="427">
        <f t="shared" ref="G112:I112" si="49">SUM(G89,G55,G44,G34,G20,G67)</f>
        <v>13246.49742</v>
      </c>
      <c r="H112" s="427">
        <f t="shared" si="49"/>
        <v>5519.3799999999992</v>
      </c>
      <c r="I112" s="427">
        <f t="shared" si="49"/>
        <v>9870.0504500000025</v>
      </c>
      <c r="J112" s="425">
        <f t="shared" si="37"/>
        <v>178.82534723102964</v>
      </c>
    </row>
    <row r="113" spans="1:10" ht="15.75" thickBot="1" x14ac:dyDescent="0.3">
      <c r="A113" s="99">
        <v>1</v>
      </c>
      <c r="B113" s="428" t="s">
        <v>117</v>
      </c>
      <c r="C113" s="429">
        <f>SUM(C99,C90,C77,C68,C56,C45,C35,C21)</f>
        <v>0</v>
      </c>
      <c r="D113" s="429">
        <f>SUM(D99,D90,D77,D68,D56,D45,D35,D21)</f>
        <v>0</v>
      </c>
      <c r="E113" s="429">
        <f>SUM(E99,E90,E77,E68,E56,E45,E35,E21)</f>
        <v>0</v>
      </c>
      <c r="F113" s="429"/>
      <c r="G113" s="430">
        <f>SUM(G99,G90,G77,G68,G56,G45,G35,G21)</f>
        <v>392706.47283000004</v>
      </c>
      <c r="H113" s="430">
        <f>SUM(H99,H90,H77,H68,H56,H45,H35,H21)</f>
        <v>163627.69</v>
      </c>
      <c r="I113" s="430">
        <f>SUM(I99,I90,I77,I68,I56,I45,I35,I21)</f>
        <v>170035.05351</v>
      </c>
      <c r="J113" s="430">
        <f t="shared" si="37"/>
        <v>103.91581859402892</v>
      </c>
    </row>
    <row r="114" spans="1:10" ht="15" customHeight="1" x14ac:dyDescent="0.25">
      <c r="A114" s="99">
        <v>1</v>
      </c>
      <c r="B114" s="431"/>
      <c r="C114" s="68"/>
      <c r="D114" s="68"/>
      <c r="E114" s="68"/>
      <c r="F114" s="68"/>
      <c r="G114" s="214"/>
      <c r="H114" s="214"/>
      <c r="I114" s="214"/>
      <c r="J114" s="214"/>
    </row>
    <row r="115" spans="1:10" ht="14.25" customHeight="1" thickBot="1" x14ac:dyDescent="0.3">
      <c r="A115" s="99">
        <v>1</v>
      </c>
      <c r="B115" s="432" t="s">
        <v>13</v>
      </c>
      <c r="C115" s="63"/>
      <c r="D115" s="63"/>
      <c r="E115" s="63"/>
      <c r="F115" s="63"/>
      <c r="G115" s="198"/>
      <c r="H115" s="198"/>
      <c r="I115" s="198"/>
      <c r="J115" s="198"/>
    </row>
    <row r="116" spans="1:10" ht="29.25" x14ac:dyDescent="0.25">
      <c r="A116" s="99">
        <v>1</v>
      </c>
      <c r="B116" s="433" t="s">
        <v>54</v>
      </c>
      <c r="C116" s="90"/>
      <c r="D116" s="90"/>
      <c r="E116" s="90"/>
      <c r="F116" s="90"/>
      <c r="G116" s="209"/>
      <c r="H116" s="209"/>
      <c r="I116" s="209"/>
      <c r="J116" s="205"/>
    </row>
    <row r="117" spans="1:10" s="49" customFormat="1" ht="30" x14ac:dyDescent="0.25">
      <c r="A117" s="99">
        <v>1</v>
      </c>
      <c r="B117" s="121" t="s">
        <v>120</v>
      </c>
      <c r="C117" s="54">
        <f>SUM(C118:C121)</f>
        <v>9871</v>
      </c>
      <c r="D117" s="54">
        <f>SUM(D118:D121)</f>
        <v>4113</v>
      </c>
      <c r="E117" s="54">
        <f>SUM(E118:E121)</f>
        <v>3530</v>
      </c>
      <c r="F117" s="54">
        <f t="shared" ref="F117:F125" si="50">E117/D117*100</f>
        <v>85.825431558473127</v>
      </c>
      <c r="G117" s="205">
        <f>SUM(G118:G121)</f>
        <v>16458.894070000002</v>
      </c>
      <c r="H117" s="205">
        <f>SUM(H118:H121)</f>
        <v>6857.88</v>
      </c>
      <c r="I117" s="205">
        <f>SUM(I118:I121)</f>
        <v>6113.2181499999988</v>
      </c>
      <c r="J117" s="224">
        <f t="shared" ref="J117:J129" si="51">I117/H117*100</f>
        <v>89.141515307937709</v>
      </c>
    </row>
    <row r="118" spans="1:10" s="49" customFormat="1" ht="30" x14ac:dyDescent="0.25">
      <c r="A118" s="99">
        <v>1</v>
      </c>
      <c r="B118" s="57" t="s">
        <v>79</v>
      </c>
      <c r="C118" s="54">
        <v>7286</v>
      </c>
      <c r="D118" s="50">
        <f t="shared" ref="D118:D128" si="52">ROUND(C118/12*$B$3,0)</f>
        <v>3036</v>
      </c>
      <c r="E118" s="54">
        <v>3021</v>
      </c>
      <c r="F118" s="54">
        <f t="shared" si="50"/>
        <v>99.505928853754938</v>
      </c>
      <c r="G118" s="205">
        <v>9954.481600000001</v>
      </c>
      <c r="H118" s="323">
        <f t="shared" ref="H118:H121" si="53">ROUND(G118/12*$B$3,2)</f>
        <v>4147.7</v>
      </c>
      <c r="I118" s="205">
        <v>4235.4859599999991</v>
      </c>
      <c r="J118" s="224">
        <f t="shared" si="51"/>
        <v>102.11649733587286</v>
      </c>
    </row>
    <row r="119" spans="1:10" s="49" customFormat="1" ht="30" x14ac:dyDescent="0.25">
      <c r="A119" s="99">
        <v>1</v>
      </c>
      <c r="B119" s="57" t="s">
        <v>80</v>
      </c>
      <c r="C119" s="54">
        <v>2186</v>
      </c>
      <c r="D119" s="50">
        <f t="shared" si="52"/>
        <v>911</v>
      </c>
      <c r="E119" s="54">
        <v>301</v>
      </c>
      <c r="F119" s="54">
        <f t="shared" si="50"/>
        <v>33.040614709110869</v>
      </c>
      <c r="G119" s="205">
        <v>3886.14255</v>
      </c>
      <c r="H119" s="323">
        <f t="shared" si="53"/>
        <v>1619.23</v>
      </c>
      <c r="I119" s="205">
        <v>512.81954999999994</v>
      </c>
      <c r="J119" s="224">
        <f t="shared" si="51"/>
        <v>31.670581078660842</v>
      </c>
    </row>
    <row r="120" spans="1:10" s="49" customFormat="1" ht="45" x14ac:dyDescent="0.25">
      <c r="A120" s="99">
        <v>1</v>
      </c>
      <c r="B120" s="57" t="s">
        <v>114</v>
      </c>
      <c r="C120" s="54">
        <v>49</v>
      </c>
      <c r="D120" s="50">
        <f t="shared" si="52"/>
        <v>20</v>
      </c>
      <c r="E120" s="54">
        <v>43</v>
      </c>
      <c r="F120" s="54">
        <f t="shared" si="50"/>
        <v>215</v>
      </c>
      <c r="G120" s="205">
        <v>321.54192</v>
      </c>
      <c r="H120" s="323">
        <f t="shared" si="53"/>
        <v>133.97999999999999</v>
      </c>
      <c r="I120" s="205">
        <v>282.16944000000001</v>
      </c>
      <c r="J120" s="224">
        <f t="shared" si="51"/>
        <v>210.60564263322888</v>
      </c>
    </row>
    <row r="121" spans="1:10" s="49" customFormat="1" ht="30" x14ac:dyDescent="0.25">
      <c r="A121" s="99">
        <v>1</v>
      </c>
      <c r="B121" s="57" t="s">
        <v>115</v>
      </c>
      <c r="C121" s="54">
        <v>350</v>
      </c>
      <c r="D121" s="50">
        <f t="shared" si="52"/>
        <v>146</v>
      </c>
      <c r="E121" s="54">
        <v>165</v>
      </c>
      <c r="F121" s="54">
        <f t="shared" si="50"/>
        <v>113.013698630137</v>
      </c>
      <c r="G121" s="205">
        <v>2296.7280000000001</v>
      </c>
      <c r="H121" s="323">
        <f t="shared" si="53"/>
        <v>956.97</v>
      </c>
      <c r="I121" s="205">
        <v>1082.7431999999999</v>
      </c>
      <c r="J121" s="224">
        <f t="shared" si="51"/>
        <v>113.14285714285712</v>
      </c>
    </row>
    <row r="122" spans="1:10" s="49" customFormat="1" ht="30" x14ac:dyDescent="0.25">
      <c r="A122" s="99">
        <v>1</v>
      </c>
      <c r="B122" s="121" t="s">
        <v>112</v>
      </c>
      <c r="C122" s="54">
        <f>SUM(C123:C125)</f>
        <v>16426</v>
      </c>
      <c r="D122" s="54">
        <f>SUM(D123:D125)</f>
        <v>6844</v>
      </c>
      <c r="E122" s="54">
        <f>SUM(E123:E125)</f>
        <v>8342</v>
      </c>
      <c r="F122" s="54">
        <f t="shared" si="50"/>
        <v>121.88778492109877</v>
      </c>
      <c r="G122" s="199">
        <f>SUM(G123:G125)</f>
        <v>36959.141160000006</v>
      </c>
      <c r="H122" s="199">
        <f>SUM(H123:H125)</f>
        <v>15399.65</v>
      </c>
      <c r="I122" s="199">
        <f>SUM(I123:I125)</f>
        <v>17731.129269999998</v>
      </c>
      <c r="J122" s="224">
        <f t="shared" si="51"/>
        <v>115.13981986603589</v>
      </c>
    </row>
    <row r="123" spans="1:10" s="49" customFormat="1" ht="30" x14ac:dyDescent="0.25">
      <c r="A123" s="99">
        <v>1</v>
      </c>
      <c r="B123" s="57" t="s">
        <v>108</v>
      </c>
      <c r="C123" s="54">
        <v>1500</v>
      </c>
      <c r="D123" s="50">
        <f t="shared" si="52"/>
        <v>625</v>
      </c>
      <c r="E123" s="54">
        <v>299</v>
      </c>
      <c r="F123" s="54">
        <f t="shared" si="50"/>
        <v>47.839999999999996</v>
      </c>
      <c r="G123" s="205">
        <f>3180765/1000</f>
        <v>3180.7649999999999</v>
      </c>
      <c r="H123" s="323">
        <f t="shared" ref="H123:H128" si="54">ROUND(G123/12*$B$3,2)</f>
        <v>1325.32</v>
      </c>
      <c r="I123" s="205">
        <v>633.11829</v>
      </c>
      <c r="J123" s="224">
        <f t="shared" si="51"/>
        <v>47.770975311622855</v>
      </c>
    </row>
    <row r="124" spans="1:10" s="49" customFormat="1" ht="60" x14ac:dyDescent="0.25">
      <c r="A124" s="99">
        <v>1</v>
      </c>
      <c r="B124" s="57" t="s">
        <v>119</v>
      </c>
      <c r="C124" s="54">
        <v>10800</v>
      </c>
      <c r="D124" s="50">
        <f t="shared" si="52"/>
        <v>4500</v>
      </c>
      <c r="E124" s="54">
        <v>5997</v>
      </c>
      <c r="F124" s="54">
        <f t="shared" si="50"/>
        <v>133.26666666666668</v>
      </c>
      <c r="G124" s="205">
        <f>29734236/1000</f>
        <v>29734.236000000001</v>
      </c>
      <c r="H124" s="323">
        <f t="shared" si="54"/>
        <v>12389.27</v>
      </c>
      <c r="I124" s="205">
        <v>14890.697259999999</v>
      </c>
      <c r="J124" s="224">
        <f t="shared" si="51"/>
        <v>120.19027158178002</v>
      </c>
    </row>
    <row r="125" spans="1:10" s="49" customFormat="1" ht="45" x14ac:dyDescent="0.25">
      <c r="A125" s="99">
        <v>1</v>
      </c>
      <c r="B125" s="57" t="s">
        <v>109</v>
      </c>
      <c r="C125" s="54">
        <v>4126</v>
      </c>
      <c r="D125" s="50">
        <f t="shared" si="52"/>
        <v>1719</v>
      </c>
      <c r="E125" s="54">
        <v>2046</v>
      </c>
      <c r="F125" s="54">
        <f t="shared" si="50"/>
        <v>119.02268760907504</v>
      </c>
      <c r="G125" s="205">
        <f>4044140.16/1000</f>
        <v>4044.1401599999999</v>
      </c>
      <c r="H125" s="323">
        <f t="shared" si="54"/>
        <v>1685.06</v>
      </c>
      <c r="I125" s="205">
        <v>2207.3137199999996</v>
      </c>
      <c r="J125" s="224">
        <f t="shared" si="51"/>
        <v>130.9931824386075</v>
      </c>
    </row>
    <row r="126" spans="1:10" s="49" customFormat="1" ht="30" x14ac:dyDescent="0.25">
      <c r="A126" s="99">
        <v>1</v>
      </c>
      <c r="B126" s="57" t="s">
        <v>123</v>
      </c>
      <c r="C126" s="54">
        <v>38095</v>
      </c>
      <c r="D126" s="50">
        <f t="shared" si="52"/>
        <v>15873</v>
      </c>
      <c r="E126" s="54">
        <f>15477+E127+E128</f>
        <v>17292</v>
      </c>
      <c r="F126" s="58">
        <f>E126/D126*100</f>
        <v>108.93970893970895</v>
      </c>
      <c r="G126" s="205">
        <v>37074.815900000001</v>
      </c>
      <c r="H126" s="323">
        <f t="shared" si="54"/>
        <v>15447.84</v>
      </c>
      <c r="I126" s="205">
        <f>15037.19279+I127+I128</f>
        <v>16802.285609999999</v>
      </c>
      <c r="J126" s="200">
        <f>I126/H126*100</f>
        <v>108.76786405089642</v>
      </c>
    </row>
    <row r="127" spans="1:10" s="49" customFormat="1" ht="30" x14ac:dyDescent="0.25">
      <c r="A127" s="99">
        <v>1</v>
      </c>
      <c r="B127" s="57" t="s">
        <v>124</v>
      </c>
      <c r="C127" s="54">
        <v>2640</v>
      </c>
      <c r="D127" s="50">
        <f t="shared" si="52"/>
        <v>1100</v>
      </c>
      <c r="E127" s="54">
        <v>1058</v>
      </c>
      <c r="F127" s="58">
        <f>E127/D127*100</f>
        <v>96.181818181818173</v>
      </c>
      <c r="G127" s="205">
        <v>2569.3008000000004</v>
      </c>
      <c r="H127" s="323">
        <f t="shared" si="54"/>
        <v>1070.54</v>
      </c>
      <c r="I127" s="205">
        <v>1028.8576700000001</v>
      </c>
      <c r="J127" s="200">
        <f t="shared" ref="J127:J128" si="55">I127/H127*100</f>
        <v>96.106420124423195</v>
      </c>
    </row>
    <row r="128" spans="1:10" s="49" customFormat="1" ht="15.75" thickBot="1" x14ac:dyDescent="0.3">
      <c r="A128" s="99">
        <v>1</v>
      </c>
      <c r="B128" s="57" t="s">
        <v>125</v>
      </c>
      <c r="C128" s="54">
        <v>3143</v>
      </c>
      <c r="D128" s="50">
        <f t="shared" si="52"/>
        <v>1310</v>
      </c>
      <c r="E128" s="54">
        <v>757</v>
      </c>
      <c r="F128" s="58">
        <f>E128/D128*100</f>
        <v>57.786259541984734</v>
      </c>
      <c r="G128" s="205">
        <v>3058.8304600000001</v>
      </c>
      <c r="H128" s="323">
        <f t="shared" si="54"/>
        <v>1274.51</v>
      </c>
      <c r="I128" s="205">
        <v>736.23515000000009</v>
      </c>
      <c r="J128" s="200">
        <f t="shared" si="55"/>
        <v>57.766133651364058</v>
      </c>
    </row>
    <row r="129" spans="1:247" s="410" customFormat="1" ht="15.75" thickBot="1" x14ac:dyDescent="0.3">
      <c r="A129" s="99">
        <v>1</v>
      </c>
      <c r="B129" s="434" t="s">
        <v>3</v>
      </c>
      <c r="C129" s="193"/>
      <c r="D129" s="193"/>
      <c r="E129" s="193"/>
      <c r="F129" s="295"/>
      <c r="G129" s="201">
        <f>G122+G117+G126</f>
        <v>90492.85113000001</v>
      </c>
      <c r="H129" s="201">
        <f>H122+H117+H126</f>
        <v>37705.369999999995</v>
      </c>
      <c r="I129" s="201">
        <f>I122+I117+I126</f>
        <v>40646.633029999997</v>
      </c>
      <c r="J129" s="419">
        <f t="shared" si="51"/>
        <v>107.80064757354191</v>
      </c>
    </row>
    <row r="130" spans="1:247" ht="15" customHeight="1" x14ac:dyDescent="0.25">
      <c r="A130" s="99">
        <v>1</v>
      </c>
      <c r="B130" s="435" t="s">
        <v>94</v>
      </c>
      <c r="C130" s="436"/>
      <c r="D130" s="436"/>
      <c r="E130" s="436"/>
      <c r="F130" s="436"/>
      <c r="G130" s="437"/>
      <c r="H130" s="437"/>
      <c r="I130" s="437"/>
      <c r="J130" s="437"/>
    </row>
    <row r="131" spans="1:247" s="415" customFormat="1" ht="43.5" customHeight="1" x14ac:dyDescent="0.25">
      <c r="A131" s="99">
        <v>1</v>
      </c>
      <c r="B131" s="121" t="s">
        <v>120</v>
      </c>
      <c r="C131" s="54">
        <f t="shared" ref="C131:E139" si="56">C117</f>
        <v>9871</v>
      </c>
      <c r="D131" s="54">
        <f t="shared" si="56"/>
        <v>4113</v>
      </c>
      <c r="E131" s="54">
        <f t="shared" si="56"/>
        <v>3530</v>
      </c>
      <c r="F131" s="438">
        <f>E131/D131*100</f>
        <v>85.825431558473127</v>
      </c>
      <c r="G131" s="439">
        <f t="shared" ref="G131:J139" si="57">G117</f>
        <v>16458.894070000002</v>
      </c>
      <c r="H131" s="439">
        <f t="shared" si="57"/>
        <v>6857.88</v>
      </c>
      <c r="I131" s="439">
        <f t="shared" si="57"/>
        <v>6113.2181499999988</v>
      </c>
      <c r="J131" s="439">
        <f t="shared" si="57"/>
        <v>89.141515307937709</v>
      </c>
      <c r="K131" s="410"/>
      <c r="L131" s="410"/>
      <c r="M131" s="410"/>
      <c r="N131" s="410"/>
      <c r="O131" s="410"/>
      <c r="P131" s="410"/>
      <c r="Q131" s="410"/>
      <c r="R131" s="410"/>
      <c r="S131" s="410"/>
      <c r="T131" s="410"/>
      <c r="U131" s="410"/>
      <c r="V131" s="410"/>
      <c r="W131" s="410"/>
      <c r="X131" s="410"/>
      <c r="Y131" s="410"/>
      <c r="Z131" s="410"/>
      <c r="AA131" s="410"/>
      <c r="AB131" s="410"/>
      <c r="AC131" s="410"/>
      <c r="AD131" s="410"/>
      <c r="AE131" s="410"/>
      <c r="AF131" s="410"/>
      <c r="AG131" s="410"/>
      <c r="AH131" s="410"/>
      <c r="AI131" s="410"/>
      <c r="AJ131" s="410"/>
      <c r="AK131" s="410"/>
      <c r="AL131" s="410"/>
      <c r="AM131" s="410"/>
      <c r="AN131" s="410"/>
      <c r="AO131" s="410"/>
      <c r="AP131" s="410"/>
      <c r="AQ131" s="410"/>
      <c r="AR131" s="410"/>
      <c r="AS131" s="410"/>
      <c r="AT131" s="410"/>
      <c r="AU131" s="410"/>
      <c r="AV131" s="410"/>
      <c r="AW131" s="410"/>
      <c r="AX131" s="410"/>
      <c r="AY131" s="410"/>
      <c r="AZ131" s="410"/>
      <c r="BA131" s="410"/>
      <c r="BB131" s="410"/>
      <c r="BC131" s="410"/>
      <c r="BD131" s="410"/>
      <c r="BE131" s="410"/>
      <c r="BF131" s="410"/>
      <c r="BG131" s="410"/>
      <c r="BH131" s="410"/>
      <c r="BI131" s="410"/>
      <c r="BJ131" s="410"/>
      <c r="BK131" s="410"/>
      <c r="BL131" s="410"/>
      <c r="BM131" s="410"/>
      <c r="BN131" s="410"/>
      <c r="BO131" s="410"/>
      <c r="BP131" s="410"/>
      <c r="BQ131" s="410"/>
      <c r="BR131" s="410"/>
      <c r="BS131" s="410"/>
      <c r="BT131" s="410"/>
      <c r="BU131" s="410"/>
      <c r="BV131" s="410"/>
      <c r="BW131" s="410"/>
      <c r="BX131" s="410"/>
      <c r="BY131" s="410"/>
      <c r="BZ131" s="410"/>
      <c r="CA131" s="410"/>
      <c r="CB131" s="410"/>
      <c r="CC131" s="410"/>
      <c r="CD131" s="410"/>
      <c r="CE131" s="410"/>
      <c r="CF131" s="410"/>
      <c r="CG131" s="410"/>
      <c r="CH131" s="410"/>
      <c r="CI131" s="410"/>
      <c r="CJ131" s="410"/>
      <c r="CK131" s="410"/>
      <c r="CL131" s="410"/>
      <c r="CM131" s="410"/>
      <c r="CN131" s="410"/>
      <c r="CO131" s="410"/>
      <c r="CP131" s="410"/>
      <c r="CQ131" s="410"/>
      <c r="CR131" s="410"/>
      <c r="CS131" s="410"/>
      <c r="CT131" s="410"/>
      <c r="CU131" s="410"/>
      <c r="CV131" s="410"/>
      <c r="CW131" s="410"/>
      <c r="CX131" s="410"/>
      <c r="CY131" s="410"/>
      <c r="CZ131" s="410"/>
      <c r="DA131" s="410"/>
      <c r="DB131" s="410"/>
      <c r="DC131" s="410"/>
      <c r="DD131" s="410"/>
      <c r="DE131" s="410"/>
      <c r="DF131" s="410"/>
      <c r="DG131" s="410"/>
      <c r="DH131" s="410"/>
      <c r="DI131" s="410"/>
      <c r="DJ131" s="410"/>
      <c r="DK131" s="410"/>
      <c r="DL131" s="410"/>
      <c r="DM131" s="410"/>
      <c r="DN131" s="410"/>
      <c r="DO131" s="410"/>
      <c r="DP131" s="410"/>
      <c r="DQ131" s="410"/>
      <c r="DR131" s="410"/>
      <c r="DS131" s="410"/>
      <c r="DT131" s="410"/>
      <c r="DU131" s="410"/>
      <c r="DV131" s="410"/>
      <c r="DW131" s="410"/>
      <c r="DX131" s="410"/>
      <c r="DY131" s="410"/>
      <c r="DZ131" s="410"/>
      <c r="EA131" s="410"/>
      <c r="EB131" s="410"/>
      <c r="EC131" s="410"/>
      <c r="ED131" s="410"/>
      <c r="EE131" s="410"/>
      <c r="EF131" s="410"/>
      <c r="EG131" s="410"/>
      <c r="EH131" s="410"/>
      <c r="EI131" s="410"/>
      <c r="EJ131" s="410"/>
      <c r="EK131" s="410"/>
      <c r="EL131" s="410"/>
      <c r="EM131" s="410"/>
      <c r="EN131" s="410"/>
      <c r="EO131" s="410"/>
      <c r="EP131" s="410"/>
      <c r="EQ131" s="410"/>
      <c r="ER131" s="410"/>
      <c r="ES131" s="410"/>
      <c r="ET131" s="410"/>
      <c r="EU131" s="410"/>
      <c r="EV131" s="410"/>
      <c r="EW131" s="410"/>
      <c r="EX131" s="410"/>
      <c r="EY131" s="410"/>
      <c r="EZ131" s="410"/>
      <c r="FA131" s="410"/>
      <c r="FB131" s="410"/>
      <c r="FC131" s="410"/>
      <c r="FD131" s="410"/>
      <c r="FE131" s="410"/>
      <c r="FF131" s="410"/>
      <c r="FG131" s="410"/>
      <c r="FH131" s="410"/>
      <c r="FI131" s="410"/>
      <c r="FJ131" s="410"/>
      <c r="FK131" s="410"/>
      <c r="FL131" s="410"/>
      <c r="FM131" s="410"/>
      <c r="FN131" s="410"/>
      <c r="FO131" s="410"/>
      <c r="FP131" s="410"/>
      <c r="FQ131" s="410"/>
      <c r="FR131" s="410"/>
      <c r="FS131" s="410"/>
      <c r="FT131" s="410"/>
      <c r="FU131" s="410"/>
      <c r="FV131" s="410"/>
      <c r="FW131" s="410"/>
      <c r="FX131" s="410"/>
      <c r="FY131" s="410"/>
      <c r="FZ131" s="410"/>
      <c r="GA131" s="410"/>
      <c r="GB131" s="410"/>
      <c r="GC131" s="410"/>
      <c r="GD131" s="410"/>
      <c r="GE131" s="410"/>
      <c r="GF131" s="410"/>
      <c r="GG131" s="410"/>
      <c r="GH131" s="410"/>
      <c r="GI131" s="410"/>
      <c r="GJ131" s="410"/>
      <c r="GK131" s="410"/>
      <c r="GL131" s="410"/>
      <c r="GM131" s="410"/>
      <c r="GN131" s="410"/>
      <c r="GO131" s="410"/>
      <c r="GP131" s="410"/>
      <c r="GQ131" s="410"/>
      <c r="GR131" s="410"/>
      <c r="GS131" s="410"/>
      <c r="GT131" s="410"/>
      <c r="GU131" s="410"/>
      <c r="GV131" s="410"/>
      <c r="GW131" s="410"/>
      <c r="GX131" s="410"/>
      <c r="GY131" s="410"/>
      <c r="GZ131" s="410"/>
      <c r="HA131" s="410"/>
      <c r="HB131" s="410"/>
      <c r="HC131" s="410"/>
      <c r="HD131" s="410"/>
      <c r="HE131" s="410"/>
      <c r="HF131" s="410"/>
      <c r="HG131" s="410"/>
      <c r="HH131" s="410"/>
      <c r="HI131" s="410"/>
      <c r="HJ131" s="410"/>
      <c r="HK131" s="410"/>
      <c r="HL131" s="410"/>
      <c r="HM131" s="410"/>
      <c r="HN131" s="410"/>
      <c r="HO131" s="410"/>
      <c r="HP131" s="410"/>
      <c r="HQ131" s="410"/>
      <c r="HR131" s="410"/>
      <c r="HS131" s="410"/>
      <c r="HT131" s="410"/>
      <c r="HU131" s="410"/>
      <c r="HV131" s="410"/>
      <c r="HW131" s="410"/>
      <c r="HX131" s="410"/>
      <c r="HY131" s="410"/>
      <c r="HZ131" s="410"/>
      <c r="IA131" s="410"/>
      <c r="IB131" s="410"/>
      <c r="IC131" s="410"/>
      <c r="ID131" s="410"/>
      <c r="IE131" s="410"/>
      <c r="IF131" s="410"/>
      <c r="IG131" s="410"/>
      <c r="IH131" s="410"/>
      <c r="II131" s="410"/>
      <c r="IJ131" s="410"/>
      <c r="IK131" s="410"/>
      <c r="IL131" s="410"/>
      <c r="IM131" s="410"/>
    </row>
    <row r="132" spans="1:247" s="415" customFormat="1" ht="30" x14ac:dyDescent="0.25">
      <c r="A132" s="99">
        <v>1</v>
      </c>
      <c r="B132" s="57" t="s">
        <v>79</v>
      </c>
      <c r="C132" s="54">
        <f t="shared" si="56"/>
        <v>7286</v>
      </c>
      <c r="D132" s="54">
        <f t="shared" si="56"/>
        <v>3036</v>
      </c>
      <c r="E132" s="54">
        <f t="shared" si="56"/>
        <v>3021</v>
      </c>
      <c r="F132" s="438">
        <f>E132/D132*100</f>
        <v>99.505928853754938</v>
      </c>
      <c r="G132" s="439">
        <f t="shared" si="57"/>
        <v>9954.481600000001</v>
      </c>
      <c r="H132" s="439">
        <f t="shared" si="57"/>
        <v>4147.7</v>
      </c>
      <c r="I132" s="439">
        <f t="shared" si="57"/>
        <v>4235.4859599999991</v>
      </c>
      <c r="J132" s="439">
        <f t="shared" si="57"/>
        <v>102.11649733587286</v>
      </c>
      <c r="K132" s="410"/>
      <c r="L132" s="410"/>
      <c r="M132" s="410"/>
      <c r="N132" s="410"/>
      <c r="O132" s="410"/>
      <c r="P132" s="410"/>
      <c r="Q132" s="410"/>
      <c r="R132" s="410"/>
      <c r="S132" s="410"/>
      <c r="T132" s="410"/>
      <c r="U132" s="410"/>
      <c r="V132" s="410"/>
      <c r="W132" s="410"/>
      <c r="X132" s="410"/>
      <c r="Y132" s="410"/>
      <c r="Z132" s="410"/>
      <c r="AA132" s="410"/>
      <c r="AB132" s="410"/>
      <c r="AC132" s="410"/>
      <c r="AD132" s="410"/>
      <c r="AE132" s="410"/>
      <c r="AF132" s="410"/>
      <c r="AG132" s="410"/>
      <c r="AH132" s="410"/>
      <c r="AI132" s="410"/>
      <c r="AJ132" s="410"/>
      <c r="AK132" s="410"/>
      <c r="AL132" s="410"/>
      <c r="AM132" s="410"/>
      <c r="AN132" s="410"/>
      <c r="AO132" s="410"/>
      <c r="AP132" s="410"/>
      <c r="AQ132" s="410"/>
      <c r="AR132" s="410"/>
      <c r="AS132" s="410"/>
      <c r="AT132" s="410"/>
      <c r="AU132" s="410"/>
      <c r="AV132" s="410"/>
      <c r="AW132" s="410"/>
      <c r="AX132" s="410"/>
      <c r="AY132" s="410"/>
      <c r="AZ132" s="410"/>
      <c r="BA132" s="410"/>
      <c r="BB132" s="410"/>
      <c r="BC132" s="410"/>
      <c r="BD132" s="410"/>
      <c r="BE132" s="410"/>
      <c r="BF132" s="410"/>
      <c r="BG132" s="410"/>
      <c r="BH132" s="410"/>
      <c r="BI132" s="410"/>
      <c r="BJ132" s="410"/>
      <c r="BK132" s="410"/>
      <c r="BL132" s="410"/>
      <c r="BM132" s="410"/>
      <c r="BN132" s="410"/>
      <c r="BO132" s="410"/>
      <c r="BP132" s="410"/>
      <c r="BQ132" s="410"/>
      <c r="BR132" s="410"/>
      <c r="BS132" s="410"/>
      <c r="BT132" s="410"/>
      <c r="BU132" s="410"/>
      <c r="BV132" s="410"/>
      <c r="BW132" s="410"/>
      <c r="BX132" s="410"/>
      <c r="BY132" s="410"/>
      <c r="BZ132" s="410"/>
      <c r="CA132" s="410"/>
      <c r="CB132" s="410"/>
      <c r="CC132" s="410"/>
      <c r="CD132" s="410"/>
      <c r="CE132" s="410"/>
      <c r="CF132" s="410"/>
      <c r="CG132" s="410"/>
      <c r="CH132" s="410"/>
      <c r="CI132" s="410"/>
      <c r="CJ132" s="410"/>
      <c r="CK132" s="410"/>
      <c r="CL132" s="410"/>
      <c r="CM132" s="410"/>
      <c r="CN132" s="410"/>
      <c r="CO132" s="410"/>
      <c r="CP132" s="410"/>
      <c r="CQ132" s="410"/>
      <c r="CR132" s="410"/>
      <c r="CS132" s="410"/>
      <c r="CT132" s="410"/>
      <c r="CU132" s="410"/>
      <c r="CV132" s="410"/>
      <c r="CW132" s="410"/>
      <c r="CX132" s="410"/>
      <c r="CY132" s="410"/>
      <c r="CZ132" s="410"/>
      <c r="DA132" s="410"/>
      <c r="DB132" s="410"/>
      <c r="DC132" s="410"/>
      <c r="DD132" s="410"/>
      <c r="DE132" s="410"/>
      <c r="DF132" s="410"/>
      <c r="DG132" s="410"/>
      <c r="DH132" s="410"/>
      <c r="DI132" s="410"/>
      <c r="DJ132" s="410"/>
      <c r="DK132" s="410"/>
      <c r="DL132" s="410"/>
      <c r="DM132" s="410"/>
      <c r="DN132" s="410"/>
      <c r="DO132" s="410"/>
      <c r="DP132" s="410"/>
      <c r="DQ132" s="410"/>
      <c r="DR132" s="410"/>
      <c r="DS132" s="410"/>
      <c r="DT132" s="410"/>
      <c r="DU132" s="410"/>
      <c r="DV132" s="410"/>
      <c r="DW132" s="410"/>
      <c r="DX132" s="410"/>
      <c r="DY132" s="410"/>
      <c r="DZ132" s="410"/>
      <c r="EA132" s="410"/>
      <c r="EB132" s="410"/>
      <c r="EC132" s="410"/>
      <c r="ED132" s="410"/>
      <c r="EE132" s="410"/>
      <c r="EF132" s="410"/>
      <c r="EG132" s="410"/>
      <c r="EH132" s="410"/>
      <c r="EI132" s="410"/>
      <c r="EJ132" s="410"/>
      <c r="EK132" s="410"/>
      <c r="EL132" s="410"/>
      <c r="EM132" s="410"/>
      <c r="EN132" s="410"/>
      <c r="EO132" s="410"/>
      <c r="EP132" s="410"/>
      <c r="EQ132" s="410"/>
      <c r="ER132" s="410"/>
      <c r="ES132" s="410"/>
      <c r="ET132" s="410"/>
      <c r="EU132" s="410"/>
      <c r="EV132" s="410"/>
      <c r="EW132" s="410"/>
      <c r="EX132" s="410"/>
      <c r="EY132" s="410"/>
      <c r="EZ132" s="410"/>
      <c r="FA132" s="410"/>
      <c r="FB132" s="410"/>
      <c r="FC132" s="410"/>
      <c r="FD132" s="410"/>
      <c r="FE132" s="410"/>
      <c r="FF132" s="410"/>
      <c r="FG132" s="410"/>
      <c r="FH132" s="410"/>
      <c r="FI132" s="410"/>
      <c r="FJ132" s="410"/>
      <c r="FK132" s="410"/>
      <c r="FL132" s="410"/>
      <c r="FM132" s="410"/>
      <c r="FN132" s="410"/>
      <c r="FO132" s="410"/>
      <c r="FP132" s="410"/>
      <c r="FQ132" s="410"/>
      <c r="FR132" s="410"/>
      <c r="FS132" s="410"/>
      <c r="FT132" s="410"/>
      <c r="FU132" s="410"/>
      <c r="FV132" s="410"/>
      <c r="FW132" s="410"/>
      <c r="FX132" s="410"/>
      <c r="FY132" s="410"/>
      <c r="FZ132" s="410"/>
      <c r="GA132" s="410"/>
      <c r="GB132" s="410"/>
      <c r="GC132" s="410"/>
      <c r="GD132" s="410"/>
      <c r="GE132" s="410"/>
      <c r="GF132" s="410"/>
      <c r="GG132" s="410"/>
      <c r="GH132" s="410"/>
      <c r="GI132" s="410"/>
      <c r="GJ132" s="410"/>
      <c r="GK132" s="410"/>
      <c r="GL132" s="410"/>
      <c r="GM132" s="410"/>
      <c r="GN132" s="410"/>
      <c r="GO132" s="410"/>
      <c r="GP132" s="410"/>
      <c r="GQ132" s="410"/>
      <c r="GR132" s="410"/>
      <c r="GS132" s="410"/>
      <c r="GT132" s="410"/>
      <c r="GU132" s="410"/>
      <c r="GV132" s="410"/>
      <c r="GW132" s="410"/>
      <c r="GX132" s="410"/>
      <c r="GY132" s="410"/>
      <c r="GZ132" s="410"/>
      <c r="HA132" s="410"/>
      <c r="HB132" s="410"/>
      <c r="HC132" s="410"/>
      <c r="HD132" s="410"/>
      <c r="HE132" s="410"/>
      <c r="HF132" s="410"/>
      <c r="HG132" s="410"/>
      <c r="HH132" s="410"/>
      <c r="HI132" s="410"/>
      <c r="HJ132" s="410"/>
      <c r="HK132" s="410"/>
      <c r="HL132" s="410"/>
      <c r="HM132" s="410"/>
      <c r="HN132" s="410"/>
      <c r="HO132" s="410"/>
      <c r="HP132" s="410"/>
      <c r="HQ132" s="410"/>
      <c r="HR132" s="410"/>
      <c r="HS132" s="410"/>
      <c r="HT132" s="410"/>
      <c r="HU132" s="410"/>
      <c r="HV132" s="410"/>
      <c r="HW132" s="410"/>
      <c r="HX132" s="410"/>
      <c r="HY132" s="410"/>
      <c r="HZ132" s="410"/>
      <c r="IA132" s="410"/>
      <c r="IB132" s="410"/>
      <c r="IC132" s="410"/>
      <c r="ID132" s="410"/>
      <c r="IE132" s="410"/>
      <c r="IF132" s="410"/>
      <c r="IG132" s="410"/>
      <c r="IH132" s="410"/>
      <c r="II132" s="410"/>
      <c r="IJ132" s="410"/>
      <c r="IK132" s="410"/>
      <c r="IL132" s="410"/>
      <c r="IM132" s="410"/>
    </row>
    <row r="133" spans="1:247" s="415" customFormat="1" ht="30" x14ac:dyDescent="0.25">
      <c r="A133" s="99">
        <v>1</v>
      </c>
      <c r="B133" s="57" t="s">
        <v>80</v>
      </c>
      <c r="C133" s="54">
        <f t="shared" si="56"/>
        <v>2186</v>
      </c>
      <c r="D133" s="54">
        <f t="shared" si="56"/>
        <v>911</v>
      </c>
      <c r="E133" s="54">
        <f t="shared" si="56"/>
        <v>301</v>
      </c>
      <c r="F133" s="438">
        <f>E133/D133*100</f>
        <v>33.040614709110869</v>
      </c>
      <c r="G133" s="439">
        <f t="shared" si="57"/>
        <v>3886.14255</v>
      </c>
      <c r="H133" s="439">
        <f t="shared" si="57"/>
        <v>1619.23</v>
      </c>
      <c r="I133" s="439">
        <f t="shared" si="57"/>
        <v>512.81954999999994</v>
      </c>
      <c r="J133" s="439">
        <f t="shared" si="57"/>
        <v>31.670581078660842</v>
      </c>
      <c r="K133" s="410"/>
      <c r="L133" s="410"/>
      <c r="M133" s="410"/>
      <c r="N133" s="410"/>
      <c r="O133" s="410"/>
      <c r="P133" s="410"/>
      <c r="Q133" s="410"/>
      <c r="R133" s="410"/>
      <c r="S133" s="410"/>
      <c r="T133" s="410"/>
      <c r="U133" s="410"/>
      <c r="V133" s="410"/>
      <c r="W133" s="410"/>
      <c r="X133" s="410"/>
      <c r="Y133" s="410"/>
      <c r="Z133" s="410"/>
      <c r="AA133" s="410"/>
      <c r="AB133" s="410"/>
      <c r="AC133" s="410"/>
      <c r="AD133" s="410"/>
      <c r="AE133" s="410"/>
      <c r="AF133" s="410"/>
      <c r="AG133" s="410"/>
      <c r="AH133" s="410"/>
      <c r="AI133" s="410"/>
      <c r="AJ133" s="410"/>
      <c r="AK133" s="410"/>
      <c r="AL133" s="410"/>
      <c r="AM133" s="410"/>
      <c r="AN133" s="410"/>
      <c r="AO133" s="410"/>
      <c r="AP133" s="410"/>
      <c r="AQ133" s="410"/>
      <c r="AR133" s="410"/>
      <c r="AS133" s="410"/>
      <c r="AT133" s="410"/>
      <c r="AU133" s="410"/>
      <c r="AV133" s="410"/>
      <c r="AW133" s="410"/>
      <c r="AX133" s="410"/>
      <c r="AY133" s="410"/>
      <c r="AZ133" s="410"/>
      <c r="BA133" s="410"/>
      <c r="BB133" s="410"/>
      <c r="BC133" s="410"/>
      <c r="BD133" s="410"/>
      <c r="BE133" s="410"/>
      <c r="BF133" s="410"/>
      <c r="BG133" s="410"/>
      <c r="BH133" s="410"/>
      <c r="BI133" s="410"/>
      <c r="BJ133" s="410"/>
      <c r="BK133" s="410"/>
      <c r="BL133" s="410"/>
      <c r="BM133" s="410"/>
      <c r="BN133" s="410"/>
      <c r="BO133" s="410"/>
      <c r="BP133" s="410"/>
      <c r="BQ133" s="410"/>
      <c r="BR133" s="410"/>
      <c r="BS133" s="410"/>
      <c r="BT133" s="410"/>
      <c r="BU133" s="410"/>
      <c r="BV133" s="410"/>
      <c r="BW133" s="410"/>
      <c r="BX133" s="410"/>
      <c r="BY133" s="410"/>
      <c r="BZ133" s="410"/>
      <c r="CA133" s="410"/>
      <c r="CB133" s="410"/>
      <c r="CC133" s="410"/>
      <c r="CD133" s="410"/>
      <c r="CE133" s="410"/>
      <c r="CF133" s="410"/>
      <c r="CG133" s="410"/>
      <c r="CH133" s="410"/>
      <c r="CI133" s="410"/>
      <c r="CJ133" s="410"/>
      <c r="CK133" s="410"/>
      <c r="CL133" s="410"/>
      <c r="CM133" s="410"/>
      <c r="CN133" s="410"/>
      <c r="CO133" s="410"/>
      <c r="CP133" s="410"/>
      <c r="CQ133" s="410"/>
      <c r="CR133" s="410"/>
      <c r="CS133" s="410"/>
      <c r="CT133" s="410"/>
      <c r="CU133" s="410"/>
      <c r="CV133" s="410"/>
      <c r="CW133" s="410"/>
      <c r="CX133" s="410"/>
      <c r="CY133" s="410"/>
      <c r="CZ133" s="410"/>
      <c r="DA133" s="410"/>
      <c r="DB133" s="410"/>
      <c r="DC133" s="410"/>
      <c r="DD133" s="410"/>
      <c r="DE133" s="410"/>
      <c r="DF133" s="410"/>
      <c r="DG133" s="410"/>
      <c r="DH133" s="410"/>
      <c r="DI133" s="410"/>
      <c r="DJ133" s="410"/>
      <c r="DK133" s="410"/>
      <c r="DL133" s="410"/>
      <c r="DM133" s="410"/>
      <c r="DN133" s="410"/>
      <c r="DO133" s="410"/>
      <c r="DP133" s="410"/>
      <c r="DQ133" s="410"/>
      <c r="DR133" s="410"/>
      <c r="DS133" s="410"/>
      <c r="DT133" s="410"/>
      <c r="DU133" s="410"/>
      <c r="DV133" s="410"/>
      <c r="DW133" s="410"/>
      <c r="DX133" s="410"/>
      <c r="DY133" s="410"/>
      <c r="DZ133" s="410"/>
      <c r="EA133" s="410"/>
      <c r="EB133" s="410"/>
      <c r="EC133" s="410"/>
      <c r="ED133" s="410"/>
      <c r="EE133" s="410"/>
      <c r="EF133" s="410"/>
      <c r="EG133" s="410"/>
      <c r="EH133" s="410"/>
      <c r="EI133" s="410"/>
      <c r="EJ133" s="410"/>
      <c r="EK133" s="410"/>
      <c r="EL133" s="410"/>
      <c r="EM133" s="410"/>
      <c r="EN133" s="410"/>
      <c r="EO133" s="410"/>
      <c r="EP133" s="410"/>
      <c r="EQ133" s="410"/>
      <c r="ER133" s="410"/>
      <c r="ES133" s="410"/>
      <c r="ET133" s="410"/>
      <c r="EU133" s="410"/>
      <c r="EV133" s="410"/>
      <c r="EW133" s="410"/>
      <c r="EX133" s="410"/>
      <c r="EY133" s="410"/>
      <c r="EZ133" s="410"/>
      <c r="FA133" s="410"/>
      <c r="FB133" s="410"/>
      <c r="FC133" s="410"/>
      <c r="FD133" s="410"/>
      <c r="FE133" s="410"/>
      <c r="FF133" s="410"/>
      <c r="FG133" s="410"/>
      <c r="FH133" s="410"/>
      <c r="FI133" s="410"/>
      <c r="FJ133" s="410"/>
      <c r="FK133" s="410"/>
      <c r="FL133" s="410"/>
      <c r="FM133" s="410"/>
      <c r="FN133" s="410"/>
      <c r="FO133" s="410"/>
      <c r="FP133" s="410"/>
      <c r="FQ133" s="410"/>
      <c r="FR133" s="410"/>
      <c r="FS133" s="410"/>
      <c r="FT133" s="410"/>
      <c r="FU133" s="410"/>
      <c r="FV133" s="410"/>
      <c r="FW133" s="410"/>
      <c r="FX133" s="410"/>
      <c r="FY133" s="410"/>
      <c r="FZ133" s="410"/>
      <c r="GA133" s="410"/>
      <c r="GB133" s="410"/>
      <c r="GC133" s="410"/>
      <c r="GD133" s="410"/>
      <c r="GE133" s="410"/>
      <c r="GF133" s="410"/>
      <c r="GG133" s="410"/>
      <c r="GH133" s="410"/>
      <c r="GI133" s="410"/>
      <c r="GJ133" s="410"/>
      <c r="GK133" s="410"/>
      <c r="GL133" s="410"/>
      <c r="GM133" s="410"/>
      <c r="GN133" s="410"/>
      <c r="GO133" s="410"/>
      <c r="GP133" s="410"/>
      <c r="GQ133" s="410"/>
      <c r="GR133" s="410"/>
      <c r="GS133" s="410"/>
      <c r="GT133" s="410"/>
      <c r="GU133" s="410"/>
      <c r="GV133" s="410"/>
      <c r="GW133" s="410"/>
      <c r="GX133" s="410"/>
      <c r="GY133" s="410"/>
      <c r="GZ133" s="410"/>
      <c r="HA133" s="410"/>
      <c r="HB133" s="410"/>
      <c r="HC133" s="410"/>
      <c r="HD133" s="410"/>
      <c r="HE133" s="410"/>
      <c r="HF133" s="410"/>
      <c r="HG133" s="410"/>
      <c r="HH133" s="410"/>
      <c r="HI133" s="410"/>
      <c r="HJ133" s="410"/>
      <c r="HK133" s="410"/>
      <c r="HL133" s="410"/>
      <c r="HM133" s="410"/>
      <c r="HN133" s="410"/>
      <c r="HO133" s="410"/>
      <c r="HP133" s="410"/>
      <c r="HQ133" s="410"/>
      <c r="HR133" s="410"/>
      <c r="HS133" s="410"/>
      <c r="HT133" s="410"/>
      <c r="HU133" s="410"/>
      <c r="HV133" s="410"/>
      <c r="HW133" s="410"/>
      <c r="HX133" s="410"/>
      <c r="HY133" s="410"/>
      <c r="HZ133" s="410"/>
      <c r="IA133" s="410"/>
      <c r="IB133" s="410"/>
      <c r="IC133" s="410"/>
      <c r="ID133" s="410"/>
      <c r="IE133" s="410"/>
      <c r="IF133" s="410"/>
      <c r="IG133" s="410"/>
      <c r="IH133" s="410"/>
      <c r="II133" s="410"/>
      <c r="IJ133" s="410"/>
      <c r="IK133" s="410"/>
      <c r="IL133" s="410"/>
      <c r="IM133" s="410"/>
    </row>
    <row r="134" spans="1:247" s="415" customFormat="1" ht="43.5" customHeight="1" x14ac:dyDescent="0.25">
      <c r="A134" s="99">
        <v>1</v>
      </c>
      <c r="B134" s="57" t="s">
        <v>114</v>
      </c>
      <c r="C134" s="54">
        <f t="shared" si="56"/>
        <v>49</v>
      </c>
      <c r="D134" s="54">
        <f t="shared" si="56"/>
        <v>20</v>
      </c>
      <c r="E134" s="54">
        <f t="shared" si="56"/>
        <v>43</v>
      </c>
      <c r="F134" s="438">
        <f>E134/D134*100</f>
        <v>215</v>
      </c>
      <c r="G134" s="439">
        <f t="shared" si="57"/>
        <v>321.54192</v>
      </c>
      <c r="H134" s="439">
        <f t="shared" si="57"/>
        <v>133.97999999999999</v>
      </c>
      <c r="I134" s="439">
        <f t="shared" si="57"/>
        <v>282.16944000000001</v>
      </c>
      <c r="J134" s="439">
        <f t="shared" si="57"/>
        <v>210.60564263322888</v>
      </c>
      <c r="K134" s="410"/>
      <c r="L134" s="410"/>
      <c r="M134" s="410"/>
      <c r="N134" s="410"/>
      <c r="O134" s="410"/>
      <c r="P134" s="410"/>
      <c r="Q134" s="410"/>
      <c r="R134" s="410"/>
      <c r="S134" s="410"/>
      <c r="T134" s="410"/>
      <c r="U134" s="410"/>
      <c r="V134" s="410"/>
      <c r="W134" s="410"/>
      <c r="X134" s="410"/>
      <c r="Y134" s="410"/>
      <c r="Z134" s="410"/>
      <c r="AA134" s="410"/>
      <c r="AB134" s="410"/>
      <c r="AC134" s="410"/>
      <c r="AD134" s="410"/>
      <c r="AE134" s="410"/>
      <c r="AF134" s="410"/>
      <c r="AG134" s="410"/>
      <c r="AH134" s="410"/>
      <c r="AI134" s="410"/>
      <c r="AJ134" s="410"/>
      <c r="AK134" s="410"/>
      <c r="AL134" s="410"/>
      <c r="AM134" s="410"/>
      <c r="AN134" s="410"/>
      <c r="AO134" s="410"/>
      <c r="AP134" s="410"/>
      <c r="AQ134" s="410"/>
      <c r="AR134" s="410"/>
      <c r="AS134" s="410"/>
      <c r="AT134" s="410"/>
      <c r="AU134" s="410"/>
      <c r="AV134" s="410"/>
      <c r="AW134" s="410"/>
      <c r="AX134" s="410"/>
      <c r="AY134" s="410"/>
      <c r="AZ134" s="410"/>
      <c r="BA134" s="410"/>
      <c r="BB134" s="410"/>
      <c r="BC134" s="410"/>
      <c r="BD134" s="410"/>
      <c r="BE134" s="410"/>
      <c r="BF134" s="410"/>
      <c r="BG134" s="410"/>
      <c r="BH134" s="410"/>
      <c r="BI134" s="410"/>
      <c r="BJ134" s="410"/>
      <c r="BK134" s="410"/>
      <c r="BL134" s="410"/>
      <c r="BM134" s="410"/>
      <c r="BN134" s="410"/>
      <c r="BO134" s="410"/>
      <c r="BP134" s="410"/>
      <c r="BQ134" s="410"/>
      <c r="BR134" s="410"/>
      <c r="BS134" s="410"/>
      <c r="BT134" s="410"/>
      <c r="BU134" s="410"/>
      <c r="BV134" s="410"/>
      <c r="BW134" s="410"/>
      <c r="BX134" s="410"/>
      <c r="BY134" s="410"/>
      <c r="BZ134" s="410"/>
      <c r="CA134" s="410"/>
      <c r="CB134" s="410"/>
      <c r="CC134" s="410"/>
      <c r="CD134" s="410"/>
      <c r="CE134" s="410"/>
      <c r="CF134" s="410"/>
      <c r="CG134" s="410"/>
      <c r="CH134" s="410"/>
      <c r="CI134" s="410"/>
      <c r="CJ134" s="410"/>
      <c r="CK134" s="410"/>
      <c r="CL134" s="410"/>
      <c r="CM134" s="410"/>
      <c r="CN134" s="410"/>
      <c r="CO134" s="410"/>
      <c r="CP134" s="410"/>
      <c r="CQ134" s="410"/>
      <c r="CR134" s="410"/>
      <c r="CS134" s="410"/>
      <c r="CT134" s="410"/>
      <c r="CU134" s="410"/>
      <c r="CV134" s="410"/>
      <c r="CW134" s="410"/>
      <c r="CX134" s="410"/>
      <c r="CY134" s="410"/>
      <c r="CZ134" s="410"/>
      <c r="DA134" s="410"/>
      <c r="DB134" s="410"/>
      <c r="DC134" s="410"/>
      <c r="DD134" s="410"/>
      <c r="DE134" s="410"/>
      <c r="DF134" s="410"/>
      <c r="DG134" s="410"/>
      <c r="DH134" s="410"/>
      <c r="DI134" s="410"/>
      <c r="DJ134" s="410"/>
      <c r="DK134" s="410"/>
      <c r="DL134" s="410"/>
      <c r="DM134" s="410"/>
      <c r="DN134" s="410"/>
      <c r="DO134" s="410"/>
      <c r="DP134" s="410"/>
      <c r="DQ134" s="410"/>
      <c r="DR134" s="410"/>
      <c r="DS134" s="410"/>
      <c r="DT134" s="410"/>
      <c r="DU134" s="410"/>
      <c r="DV134" s="410"/>
      <c r="DW134" s="410"/>
      <c r="DX134" s="410"/>
      <c r="DY134" s="410"/>
      <c r="DZ134" s="410"/>
      <c r="EA134" s="410"/>
      <c r="EB134" s="410"/>
      <c r="EC134" s="410"/>
      <c r="ED134" s="410"/>
      <c r="EE134" s="410"/>
      <c r="EF134" s="410"/>
      <c r="EG134" s="410"/>
      <c r="EH134" s="410"/>
      <c r="EI134" s="410"/>
      <c r="EJ134" s="410"/>
      <c r="EK134" s="410"/>
      <c r="EL134" s="410"/>
      <c r="EM134" s="410"/>
      <c r="EN134" s="410"/>
      <c r="EO134" s="410"/>
      <c r="EP134" s="410"/>
      <c r="EQ134" s="410"/>
      <c r="ER134" s="410"/>
      <c r="ES134" s="410"/>
      <c r="ET134" s="410"/>
      <c r="EU134" s="410"/>
      <c r="EV134" s="410"/>
      <c r="EW134" s="410"/>
      <c r="EX134" s="410"/>
      <c r="EY134" s="410"/>
      <c r="EZ134" s="410"/>
      <c r="FA134" s="410"/>
      <c r="FB134" s="410"/>
      <c r="FC134" s="410"/>
      <c r="FD134" s="410"/>
      <c r="FE134" s="410"/>
      <c r="FF134" s="410"/>
      <c r="FG134" s="410"/>
      <c r="FH134" s="410"/>
      <c r="FI134" s="410"/>
      <c r="FJ134" s="410"/>
      <c r="FK134" s="410"/>
      <c r="FL134" s="410"/>
      <c r="FM134" s="410"/>
      <c r="FN134" s="410"/>
      <c r="FO134" s="410"/>
      <c r="FP134" s="410"/>
      <c r="FQ134" s="410"/>
      <c r="FR134" s="410"/>
      <c r="FS134" s="410"/>
      <c r="FT134" s="410"/>
      <c r="FU134" s="410"/>
      <c r="FV134" s="410"/>
      <c r="FW134" s="410"/>
      <c r="FX134" s="410"/>
      <c r="FY134" s="410"/>
      <c r="FZ134" s="410"/>
      <c r="GA134" s="410"/>
      <c r="GB134" s="410"/>
      <c r="GC134" s="410"/>
      <c r="GD134" s="410"/>
      <c r="GE134" s="410"/>
      <c r="GF134" s="410"/>
      <c r="GG134" s="410"/>
      <c r="GH134" s="410"/>
      <c r="GI134" s="410"/>
      <c r="GJ134" s="410"/>
      <c r="GK134" s="410"/>
      <c r="GL134" s="410"/>
      <c r="GM134" s="410"/>
      <c r="GN134" s="410"/>
      <c r="GO134" s="410"/>
      <c r="GP134" s="410"/>
      <c r="GQ134" s="410"/>
      <c r="GR134" s="410"/>
      <c r="GS134" s="410"/>
      <c r="GT134" s="410"/>
      <c r="GU134" s="410"/>
      <c r="GV134" s="410"/>
      <c r="GW134" s="410"/>
      <c r="GX134" s="410"/>
      <c r="GY134" s="410"/>
      <c r="GZ134" s="410"/>
      <c r="HA134" s="410"/>
      <c r="HB134" s="410"/>
      <c r="HC134" s="410"/>
      <c r="HD134" s="410"/>
      <c r="HE134" s="410"/>
      <c r="HF134" s="410"/>
      <c r="HG134" s="410"/>
      <c r="HH134" s="410"/>
      <c r="HI134" s="410"/>
      <c r="HJ134" s="410"/>
      <c r="HK134" s="410"/>
      <c r="HL134" s="410"/>
      <c r="HM134" s="410"/>
      <c r="HN134" s="410"/>
      <c r="HO134" s="410"/>
      <c r="HP134" s="410"/>
      <c r="HQ134" s="410"/>
      <c r="HR134" s="410"/>
      <c r="HS134" s="410"/>
      <c r="HT134" s="410"/>
      <c r="HU134" s="410"/>
      <c r="HV134" s="410"/>
      <c r="HW134" s="410"/>
      <c r="HX134" s="410"/>
      <c r="HY134" s="410"/>
      <c r="HZ134" s="410"/>
      <c r="IA134" s="410"/>
      <c r="IB134" s="410"/>
      <c r="IC134" s="410"/>
      <c r="ID134" s="410"/>
      <c r="IE134" s="410"/>
      <c r="IF134" s="410"/>
      <c r="IG134" s="410"/>
      <c r="IH134" s="410"/>
      <c r="II134" s="410"/>
      <c r="IJ134" s="410"/>
      <c r="IK134" s="410"/>
      <c r="IL134" s="410"/>
      <c r="IM134" s="410"/>
    </row>
    <row r="135" spans="1:247" s="415" customFormat="1" ht="30" x14ac:dyDescent="0.25">
      <c r="A135" s="99">
        <v>1</v>
      </c>
      <c r="B135" s="57" t="s">
        <v>115</v>
      </c>
      <c r="C135" s="54">
        <f t="shared" si="56"/>
        <v>350</v>
      </c>
      <c r="D135" s="54">
        <f t="shared" si="56"/>
        <v>146</v>
      </c>
      <c r="E135" s="54">
        <f t="shared" si="56"/>
        <v>165</v>
      </c>
      <c r="F135" s="438"/>
      <c r="G135" s="439">
        <f t="shared" si="57"/>
        <v>2296.7280000000001</v>
      </c>
      <c r="H135" s="439">
        <f t="shared" si="57"/>
        <v>956.97</v>
      </c>
      <c r="I135" s="439">
        <f t="shared" si="57"/>
        <v>1082.7431999999999</v>
      </c>
      <c r="J135" s="439">
        <f t="shared" si="57"/>
        <v>113.14285714285712</v>
      </c>
      <c r="K135" s="410"/>
      <c r="L135" s="410"/>
      <c r="M135" s="410"/>
      <c r="N135" s="410"/>
      <c r="O135" s="410"/>
      <c r="P135" s="410"/>
      <c r="Q135" s="410"/>
      <c r="R135" s="410"/>
      <c r="S135" s="410"/>
      <c r="T135" s="410"/>
      <c r="U135" s="410"/>
      <c r="V135" s="410"/>
      <c r="W135" s="410"/>
      <c r="X135" s="410"/>
      <c r="Y135" s="410"/>
      <c r="Z135" s="410"/>
      <c r="AA135" s="410"/>
      <c r="AB135" s="410"/>
      <c r="AC135" s="410"/>
      <c r="AD135" s="410"/>
      <c r="AE135" s="410"/>
      <c r="AF135" s="410"/>
      <c r="AG135" s="410"/>
      <c r="AH135" s="410"/>
      <c r="AI135" s="410"/>
      <c r="AJ135" s="410"/>
      <c r="AK135" s="410"/>
      <c r="AL135" s="410"/>
      <c r="AM135" s="410"/>
      <c r="AN135" s="410"/>
      <c r="AO135" s="410"/>
      <c r="AP135" s="410"/>
      <c r="AQ135" s="410"/>
      <c r="AR135" s="410"/>
      <c r="AS135" s="410"/>
      <c r="AT135" s="410"/>
      <c r="AU135" s="410"/>
      <c r="AV135" s="410"/>
      <c r="AW135" s="410"/>
      <c r="AX135" s="410"/>
      <c r="AY135" s="410"/>
      <c r="AZ135" s="410"/>
      <c r="BA135" s="410"/>
      <c r="BB135" s="410"/>
      <c r="BC135" s="410"/>
      <c r="BD135" s="410"/>
      <c r="BE135" s="410"/>
      <c r="BF135" s="410"/>
      <c r="BG135" s="410"/>
      <c r="BH135" s="410"/>
      <c r="BI135" s="410"/>
      <c r="BJ135" s="410"/>
      <c r="BK135" s="410"/>
      <c r="BL135" s="410"/>
      <c r="BM135" s="410"/>
      <c r="BN135" s="410"/>
      <c r="BO135" s="410"/>
      <c r="BP135" s="410"/>
      <c r="BQ135" s="410"/>
      <c r="BR135" s="410"/>
      <c r="BS135" s="410"/>
      <c r="BT135" s="410"/>
      <c r="BU135" s="410"/>
      <c r="BV135" s="410"/>
      <c r="BW135" s="410"/>
      <c r="BX135" s="410"/>
      <c r="BY135" s="410"/>
      <c r="BZ135" s="410"/>
      <c r="CA135" s="410"/>
      <c r="CB135" s="410"/>
      <c r="CC135" s="410"/>
      <c r="CD135" s="410"/>
      <c r="CE135" s="410"/>
      <c r="CF135" s="410"/>
      <c r="CG135" s="410"/>
      <c r="CH135" s="410"/>
      <c r="CI135" s="410"/>
      <c r="CJ135" s="410"/>
      <c r="CK135" s="410"/>
      <c r="CL135" s="410"/>
      <c r="CM135" s="410"/>
      <c r="CN135" s="410"/>
      <c r="CO135" s="410"/>
      <c r="CP135" s="410"/>
      <c r="CQ135" s="410"/>
      <c r="CR135" s="410"/>
      <c r="CS135" s="410"/>
      <c r="CT135" s="410"/>
      <c r="CU135" s="410"/>
      <c r="CV135" s="410"/>
      <c r="CW135" s="410"/>
      <c r="CX135" s="410"/>
      <c r="CY135" s="410"/>
      <c r="CZ135" s="410"/>
      <c r="DA135" s="410"/>
      <c r="DB135" s="410"/>
      <c r="DC135" s="410"/>
      <c r="DD135" s="410"/>
      <c r="DE135" s="410"/>
      <c r="DF135" s="410"/>
      <c r="DG135" s="410"/>
      <c r="DH135" s="410"/>
      <c r="DI135" s="410"/>
      <c r="DJ135" s="410"/>
      <c r="DK135" s="410"/>
      <c r="DL135" s="410"/>
      <c r="DM135" s="410"/>
      <c r="DN135" s="410"/>
      <c r="DO135" s="410"/>
      <c r="DP135" s="410"/>
      <c r="DQ135" s="410"/>
      <c r="DR135" s="410"/>
      <c r="DS135" s="410"/>
      <c r="DT135" s="410"/>
      <c r="DU135" s="410"/>
      <c r="DV135" s="410"/>
      <c r="DW135" s="410"/>
      <c r="DX135" s="410"/>
      <c r="DY135" s="410"/>
      <c r="DZ135" s="410"/>
      <c r="EA135" s="410"/>
      <c r="EB135" s="410"/>
      <c r="EC135" s="410"/>
      <c r="ED135" s="410"/>
      <c r="EE135" s="410"/>
      <c r="EF135" s="410"/>
      <c r="EG135" s="410"/>
      <c r="EH135" s="410"/>
      <c r="EI135" s="410"/>
      <c r="EJ135" s="410"/>
      <c r="EK135" s="410"/>
      <c r="EL135" s="410"/>
      <c r="EM135" s="410"/>
      <c r="EN135" s="410"/>
      <c r="EO135" s="410"/>
      <c r="EP135" s="410"/>
      <c r="EQ135" s="410"/>
      <c r="ER135" s="410"/>
      <c r="ES135" s="410"/>
      <c r="ET135" s="410"/>
      <c r="EU135" s="410"/>
      <c r="EV135" s="410"/>
      <c r="EW135" s="410"/>
      <c r="EX135" s="410"/>
      <c r="EY135" s="410"/>
      <c r="EZ135" s="410"/>
      <c r="FA135" s="410"/>
      <c r="FB135" s="410"/>
      <c r="FC135" s="410"/>
      <c r="FD135" s="410"/>
      <c r="FE135" s="410"/>
      <c r="FF135" s="410"/>
      <c r="FG135" s="410"/>
      <c r="FH135" s="410"/>
      <c r="FI135" s="410"/>
      <c r="FJ135" s="410"/>
      <c r="FK135" s="410"/>
      <c r="FL135" s="410"/>
      <c r="FM135" s="410"/>
      <c r="FN135" s="410"/>
      <c r="FO135" s="410"/>
      <c r="FP135" s="410"/>
      <c r="FQ135" s="410"/>
      <c r="FR135" s="410"/>
      <c r="FS135" s="410"/>
      <c r="FT135" s="410"/>
      <c r="FU135" s="410"/>
      <c r="FV135" s="410"/>
      <c r="FW135" s="410"/>
      <c r="FX135" s="410"/>
      <c r="FY135" s="410"/>
      <c r="FZ135" s="410"/>
      <c r="GA135" s="410"/>
      <c r="GB135" s="410"/>
      <c r="GC135" s="410"/>
      <c r="GD135" s="410"/>
      <c r="GE135" s="410"/>
      <c r="GF135" s="410"/>
      <c r="GG135" s="410"/>
      <c r="GH135" s="410"/>
      <c r="GI135" s="410"/>
      <c r="GJ135" s="410"/>
      <c r="GK135" s="410"/>
      <c r="GL135" s="410"/>
      <c r="GM135" s="410"/>
      <c r="GN135" s="410"/>
      <c r="GO135" s="410"/>
      <c r="GP135" s="410"/>
      <c r="GQ135" s="410"/>
      <c r="GR135" s="410"/>
      <c r="GS135" s="410"/>
      <c r="GT135" s="410"/>
      <c r="GU135" s="410"/>
      <c r="GV135" s="410"/>
      <c r="GW135" s="410"/>
      <c r="GX135" s="410"/>
      <c r="GY135" s="410"/>
      <c r="GZ135" s="410"/>
      <c r="HA135" s="410"/>
      <c r="HB135" s="410"/>
      <c r="HC135" s="410"/>
      <c r="HD135" s="410"/>
      <c r="HE135" s="410"/>
      <c r="HF135" s="410"/>
      <c r="HG135" s="410"/>
      <c r="HH135" s="410"/>
      <c r="HI135" s="410"/>
      <c r="HJ135" s="410"/>
      <c r="HK135" s="410"/>
      <c r="HL135" s="410"/>
      <c r="HM135" s="410"/>
      <c r="HN135" s="410"/>
      <c r="HO135" s="410"/>
      <c r="HP135" s="410"/>
      <c r="HQ135" s="410"/>
      <c r="HR135" s="410"/>
      <c r="HS135" s="410"/>
      <c r="HT135" s="410"/>
      <c r="HU135" s="410"/>
      <c r="HV135" s="410"/>
      <c r="HW135" s="410"/>
      <c r="HX135" s="410"/>
      <c r="HY135" s="410"/>
      <c r="HZ135" s="410"/>
      <c r="IA135" s="410"/>
      <c r="IB135" s="410"/>
      <c r="IC135" s="410"/>
      <c r="ID135" s="410"/>
      <c r="IE135" s="410"/>
      <c r="IF135" s="410"/>
      <c r="IG135" s="410"/>
      <c r="IH135" s="410"/>
      <c r="II135" s="410"/>
      <c r="IJ135" s="410"/>
      <c r="IK135" s="410"/>
      <c r="IL135" s="410"/>
      <c r="IM135" s="410"/>
    </row>
    <row r="136" spans="1:247" s="415" customFormat="1" ht="45" customHeight="1" x14ac:dyDescent="0.25">
      <c r="A136" s="99">
        <v>1</v>
      </c>
      <c r="B136" s="121" t="s">
        <v>112</v>
      </c>
      <c r="C136" s="85">
        <f t="shared" si="56"/>
        <v>16426</v>
      </c>
      <c r="D136" s="85">
        <f t="shared" si="56"/>
        <v>6844</v>
      </c>
      <c r="E136" s="85">
        <f t="shared" si="56"/>
        <v>8342</v>
      </c>
      <c r="F136" s="85">
        <f t="shared" ref="F136:F143" si="58">F122</f>
        <v>121.88778492109877</v>
      </c>
      <c r="G136" s="439">
        <f t="shared" si="57"/>
        <v>36959.141160000006</v>
      </c>
      <c r="H136" s="439">
        <f t="shared" si="57"/>
        <v>15399.65</v>
      </c>
      <c r="I136" s="439">
        <f t="shared" si="57"/>
        <v>17731.129269999998</v>
      </c>
      <c r="J136" s="439">
        <f t="shared" si="57"/>
        <v>115.13981986603589</v>
      </c>
      <c r="K136" s="410"/>
      <c r="L136" s="410"/>
      <c r="M136" s="410"/>
      <c r="N136" s="410"/>
      <c r="O136" s="410"/>
      <c r="P136" s="410"/>
      <c r="Q136" s="410"/>
      <c r="R136" s="410"/>
      <c r="S136" s="410"/>
      <c r="T136" s="410"/>
      <c r="U136" s="410"/>
      <c r="V136" s="410"/>
      <c r="W136" s="410"/>
      <c r="X136" s="410"/>
      <c r="Y136" s="410"/>
      <c r="Z136" s="410"/>
      <c r="AA136" s="410"/>
      <c r="AB136" s="410"/>
      <c r="AC136" s="410"/>
      <c r="AD136" s="410"/>
      <c r="AE136" s="410"/>
      <c r="AF136" s="410"/>
      <c r="AG136" s="410"/>
      <c r="AH136" s="410"/>
      <c r="AI136" s="410"/>
      <c r="AJ136" s="410"/>
      <c r="AK136" s="410"/>
      <c r="AL136" s="410"/>
      <c r="AM136" s="410"/>
      <c r="AN136" s="410"/>
      <c r="AO136" s="410"/>
      <c r="AP136" s="410"/>
      <c r="AQ136" s="410"/>
      <c r="AR136" s="410"/>
      <c r="AS136" s="410"/>
      <c r="AT136" s="410"/>
      <c r="AU136" s="410"/>
      <c r="AV136" s="410"/>
      <c r="AW136" s="410"/>
      <c r="AX136" s="410"/>
      <c r="AY136" s="410"/>
      <c r="AZ136" s="410"/>
      <c r="BA136" s="410"/>
      <c r="BB136" s="410"/>
      <c r="BC136" s="410"/>
      <c r="BD136" s="410"/>
      <c r="BE136" s="410"/>
      <c r="BF136" s="410"/>
      <c r="BG136" s="410"/>
      <c r="BH136" s="410"/>
      <c r="BI136" s="410"/>
      <c r="BJ136" s="410"/>
      <c r="BK136" s="410"/>
      <c r="BL136" s="410"/>
      <c r="BM136" s="410"/>
      <c r="BN136" s="410"/>
      <c r="BO136" s="410"/>
      <c r="BP136" s="410"/>
      <c r="BQ136" s="410"/>
      <c r="BR136" s="410"/>
      <c r="BS136" s="410"/>
      <c r="BT136" s="410"/>
      <c r="BU136" s="410"/>
      <c r="BV136" s="410"/>
      <c r="BW136" s="410"/>
      <c r="BX136" s="410"/>
      <c r="BY136" s="410"/>
      <c r="BZ136" s="410"/>
      <c r="CA136" s="410"/>
      <c r="CB136" s="410"/>
      <c r="CC136" s="410"/>
      <c r="CD136" s="410"/>
      <c r="CE136" s="410"/>
      <c r="CF136" s="410"/>
      <c r="CG136" s="410"/>
      <c r="CH136" s="410"/>
      <c r="CI136" s="410"/>
      <c r="CJ136" s="410"/>
      <c r="CK136" s="410"/>
      <c r="CL136" s="410"/>
      <c r="CM136" s="410"/>
      <c r="CN136" s="410"/>
      <c r="CO136" s="410"/>
      <c r="CP136" s="410"/>
      <c r="CQ136" s="410"/>
      <c r="CR136" s="410"/>
      <c r="CS136" s="410"/>
      <c r="CT136" s="410"/>
      <c r="CU136" s="410"/>
      <c r="CV136" s="410"/>
      <c r="CW136" s="410"/>
      <c r="CX136" s="410"/>
      <c r="CY136" s="410"/>
      <c r="CZ136" s="410"/>
      <c r="DA136" s="410"/>
      <c r="DB136" s="410"/>
      <c r="DC136" s="410"/>
      <c r="DD136" s="410"/>
      <c r="DE136" s="410"/>
      <c r="DF136" s="410"/>
      <c r="DG136" s="410"/>
      <c r="DH136" s="410"/>
      <c r="DI136" s="410"/>
      <c r="DJ136" s="410"/>
      <c r="DK136" s="410"/>
      <c r="DL136" s="410"/>
      <c r="DM136" s="410"/>
      <c r="DN136" s="410"/>
      <c r="DO136" s="410"/>
      <c r="DP136" s="410"/>
      <c r="DQ136" s="410"/>
      <c r="DR136" s="410"/>
      <c r="DS136" s="410"/>
      <c r="DT136" s="410"/>
      <c r="DU136" s="410"/>
      <c r="DV136" s="410"/>
      <c r="DW136" s="410"/>
      <c r="DX136" s="410"/>
      <c r="DY136" s="410"/>
      <c r="DZ136" s="410"/>
      <c r="EA136" s="410"/>
      <c r="EB136" s="410"/>
      <c r="EC136" s="410"/>
      <c r="ED136" s="410"/>
      <c r="EE136" s="410"/>
      <c r="EF136" s="410"/>
      <c r="EG136" s="410"/>
      <c r="EH136" s="410"/>
      <c r="EI136" s="410"/>
      <c r="EJ136" s="410"/>
      <c r="EK136" s="410"/>
      <c r="EL136" s="410"/>
      <c r="EM136" s="410"/>
      <c r="EN136" s="410"/>
      <c r="EO136" s="410"/>
      <c r="EP136" s="410"/>
      <c r="EQ136" s="410"/>
      <c r="ER136" s="410"/>
      <c r="ES136" s="410"/>
      <c r="ET136" s="410"/>
      <c r="EU136" s="410"/>
      <c r="EV136" s="410"/>
      <c r="EW136" s="410"/>
      <c r="EX136" s="410"/>
      <c r="EY136" s="410"/>
      <c r="EZ136" s="410"/>
      <c r="FA136" s="410"/>
      <c r="FB136" s="410"/>
      <c r="FC136" s="410"/>
      <c r="FD136" s="410"/>
      <c r="FE136" s="410"/>
      <c r="FF136" s="410"/>
      <c r="FG136" s="410"/>
      <c r="FH136" s="410"/>
      <c r="FI136" s="410"/>
      <c r="FJ136" s="410"/>
      <c r="FK136" s="410"/>
      <c r="FL136" s="410"/>
      <c r="FM136" s="410"/>
      <c r="FN136" s="410"/>
      <c r="FO136" s="410"/>
      <c r="FP136" s="410"/>
      <c r="FQ136" s="410"/>
      <c r="FR136" s="410"/>
      <c r="FS136" s="410"/>
      <c r="FT136" s="410"/>
      <c r="FU136" s="410"/>
      <c r="FV136" s="410"/>
      <c r="FW136" s="410"/>
      <c r="FX136" s="410"/>
      <c r="FY136" s="410"/>
      <c r="FZ136" s="410"/>
      <c r="GA136" s="410"/>
      <c r="GB136" s="410"/>
      <c r="GC136" s="410"/>
      <c r="GD136" s="410"/>
      <c r="GE136" s="410"/>
      <c r="GF136" s="410"/>
      <c r="GG136" s="410"/>
      <c r="GH136" s="410"/>
      <c r="GI136" s="410"/>
      <c r="GJ136" s="410"/>
      <c r="GK136" s="410"/>
      <c r="GL136" s="410"/>
      <c r="GM136" s="410"/>
      <c r="GN136" s="410"/>
      <c r="GO136" s="410"/>
      <c r="GP136" s="410"/>
      <c r="GQ136" s="410"/>
      <c r="GR136" s="410"/>
      <c r="GS136" s="410"/>
      <c r="GT136" s="410"/>
      <c r="GU136" s="410"/>
      <c r="GV136" s="410"/>
      <c r="GW136" s="410"/>
      <c r="GX136" s="410"/>
      <c r="GY136" s="410"/>
      <c r="GZ136" s="410"/>
      <c r="HA136" s="410"/>
      <c r="HB136" s="410"/>
      <c r="HC136" s="410"/>
      <c r="HD136" s="410"/>
      <c r="HE136" s="410"/>
      <c r="HF136" s="410"/>
      <c r="HG136" s="410"/>
      <c r="HH136" s="410"/>
      <c r="HI136" s="410"/>
      <c r="HJ136" s="410"/>
      <c r="HK136" s="410"/>
      <c r="HL136" s="410"/>
      <c r="HM136" s="410"/>
      <c r="HN136" s="410"/>
      <c r="HO136" s="410"/>
      <c r="HP136" s="410"/>
      <c r="HQ136" s="410"/>
      <c r="HR136" s="410"/>
      <c r="HS136" s="410"/>
      <c r="HT136" s="410"/>
      <c r="HU136" s="410"/>
      <c r="HV136" s="410"/>
      <c r="HW136" s="410"/>
      <c r="HX136" s="410"/>
      <c r="HY136" s="410"/>
      <c r="HZ136" s="410"/>
      <c r="IA136" s="410"/>
      <c r="IB136" s="410"/>
      <c r="IC136" s="410"/>
      <c r="ID136" s="410"/>
      <c r="IE136" s="410"/>
      <c r="IF136" s="410"/>
      <c r="IG136" s="410"/>
      <c r="IH136" s="410"/>
      <c r="II136" s="410"/>
      <c r="IJ136" s="410"/>
      <c r="IK136" s="410"/>
      <c r="IL136" s="410"/>
      <c r="IM136" s="410"/>
    </row>
    <row r="137" spans="1:247" s="415" customFormat="1" ht="30" x14ac:dyDescent="0.25">
      <c r="A137" s="99">
        <v>1</v>
      </c>
      <c r="B137" s="57" t="s">
        <v>108</v>
      </c>
      <c r="C137" s="85">
        <f t="shared" si="56"/>
        <v>1500</v>
      </c>
      <c r="D137" s="85">
        <f t="shared" si="56"/>
        <v>625</v>
      </c>
      <c r="E137" s="85">
        <f t="shared" si="56"/>
        <v>299</v>
      </c>
      <c r="F137" s="85">
        <f t="shared" si="58"/>
        <v>47.839999999999996</v>
      </c>
      <c r="G137" s="439">
        <f t="shared" si="57"/>
        <v>3180.7649999999999</v>
      </c>
      <c r="H137" s="439">
        <f t="shared" si="57"/>
        <v>1325.32</v>
      </c>
      <c r="I137" s="439">
        <f t="shared" si="57"/>
        <v>633.11829</v>
      </c>
      <c r="J137" s="439">
        <f t="shared" si="57"/>
        <v>47.770975311622855</v>
      </c>
      <c r="K137" s="410"/>
      <c r="L137" s="410"/>
      <c r="M137" s="410"/>
      <c r="N137" s="410"/>
      <c r="O137" s="410"/>
      <c r="P137" s="410"/>
      <c r="Q137" s="410"/>
      <c r="R137" s="410"/>
      <c r="S137" s="410"/>
      <c r="T137" s="410"/>
      <c r="U137" s="410"/>
      <c r="V137" s="410"/>
      <c r="W137" s="410"/>
      <c r="X137" s="410"/>
      <c r="Y137" s="410"/>
      <c r="Z137" s="410"/>
      <c r="AA137" s="410"/>
      <c r="AB137" s="410"/>
      <c r="AC137" s="410"/>
      <c r="AD137" s="410"/>
      <c r="AE137" s="410"/>
      <c r="AF137" s="410"/>
      <c r="AG137" s="410"/>
      <c r="AH137" s="410"/>
      <c r="AI137" s="410"/>
      <c r="AJ137" s="410"/>
      <c r="AK137" s="410"/>
      <c r="AL137" s="410"/>
      <c r="AM137" s="410"/>
      <c r="AN137" s="410"/>
      <c r="AO137" s="410"/>
      <c r="AP137" s="410"/>
      <c r="AQ137" s="410"/>
      <c r="AR137" s="410"/>
      <c r="AS137" s="410"/>
      <c r="AT137" s="410"/>
      <c r="AU137" s="410"/>
      <c r="AV137" s="410"/>
      <c r="AW137" s="410"/>
      <c r="AX137" s="410"/>
      <c r="AY137" s="410"/>
      <c r="AZ137" s="410"/>
      <c r="BA137" s="410"/>
      <c r="BB137" s="410"/>
      <c r="BC137" s="410"/>
      <c r="BD137" s="410"/>
      <c r="BE137" s="410"/>
      <c r="BF137" s="410"/>
      <c r="BG137" s="410"/>
      <c r="BH137" s="410"/>
      <c r="BI137" s="410"/>
      <c r="BJ137" s="410"/>
      <c r="BK137" s="410"/>
      <c r="BL137" s="410"/>
      <c r="BM137" s="410"/>
      <c r="BN137" s="410"/>
      <c r="BO137" s="410"/>
      <c r="BP137" s="410"/>
      <c r="BQ137" s="410"/>
      <c r="BR137" s="410"/>
      <c r="BS137" s="410"/>
      <c r="BT137" s="410"/>
      <c r="BU137" s="410"/>
      <c r="BV137" s="410"/>
      <c r="BW137" s="410"/>
      <c r="BX137" s="410"/>
      <c r="BY137" s="410"/>
      <c r="BZ137" s="410"/>
      <c r="CA137" s="410"/>
      <c r="CB137" s="410"/>
      <c r="CC137" s="410"/>
      <c r="CD137" s="410"/>
      <c r="CE137" s="410"/>
      <c r="CF137" s="410"/>
      <c r="CG137" s="410"/>
      <c r="CH137" s="410"/>
      <c r="CI137" s="410"/>
      <c r="CJ137" s="410"/>
      <c r="CK137" s="410"/>
      <c r="CL137" s="410"/>
      <c r="CM137" s="410"/>
      <c r="CN137" s="410"/>
      <c r="CO137" s="410"/>
      <c r="CP137" s="410"/>
      <c r="CQ137" s="410"/>
      <c r="CR137" s="410"/>
      <c r="CS137" s="410"/>
      <c r="CT137" s="410"/>
      <c r="CU137" s="410"/>
      <c r="CV137" s="410"/>
      <c r="CW137" s="410"/>
      <c r="CX137" s="410"/>
      <c r="CY137" s="410"/>
      <c r="CZ137" s="410"/>
      <c r="DA137" s="410"/>
      <c r="DB137" s="410"/>
      <c r="DC137" s="410"/>
      <c r="DD137" s="410"/>
      <c r="DE137" s="410"/>
      <c r="DF137" s="410"/>
      <c r="DG137" s="410"/>
      <c r="DH137" s="410"/>
      <c r="DI137" s="410"/>
      <c r="DJ137" s="410"/>
      <c r="DK137" s="410"/>
      <c r="DL137" s="410"/>
      <c r="DM137" s="410"/>
      <c r="DN137" s="410"/>
      <c r="DO137" s="410"/>
      <c r="DP137" s="410"/>
      <c r="DQ137" s="410"/>
      <c r="DR137" s="410"/>
      <c r="DS137" s="410"/>
      <c r="DT137" s="410"/>
      <c r="DU137" s="410"/>
      <c r="DV137" s="410"/>
      <c r="DW137" s="410"/>
      <c r="DX137" s="410"/>
      <c r="DY137" s="410"/>
      <c r="DZ137" s="410"/>
      <c r="EA137" s="410"/>
      <c r="EB137" s="410"/>
      <c r="EC137" s="410"/>
      <c r="ED137" s="410"/>
      <c r="EE137" s="410"/>
      <c r="EF137" s="410"/>
      <c r="EG137" s="410"/>
      <c r="EH137" s="410"/>
      <c r="EI137" s="410"/>
      <c r="EJ137" s="410"/>
      <c r="EK137" s="410"/>
      <c r="EL137" s="410"/>
      <c r="EM137" s="410"/>
      <c r="EN137" s="410"/>
      <c r="EO137" s="410"/>
      <c r="EP137" s="410"/>
      <c r="EQ137" s="410"/>
      <c r="ER137" s="410"/>
      <c r="ES137" s="410"/>
      <c r="ET137" s="410"/>
      <c r="EU137" s="410"/>
      <c r="EV137" s="410"/>
      <c r="EW137" s="410"/>
      <c r="EX137" s="410"/>
      <c r="EY137" s="410"/>
      <c r="EZ137" s="410"/>
      <c r="FA137" s="410"/>
      <c r="FB137" s="410"/>
      <c r="FC137" s="410"/>
      <c r="FD137" s="410"/>
      <c r="FE137" s="410"/>
      <c r="FF137" s="410"/>
      <c r="FG137" s="410"/>
      <c r="FH137" s="410"/>
      <c r="FI137" s="410"/>
      <c r="FJ137" s="410"/>
      <c r="FK137" s="410"/>
      <c r="FL137" s="410"/>
      <c r="FM137" s="410"/>
      <c r="FN137" s="410"/>
      <c r="FO137" s="410"/>
      <c r="FP137" s="410"/>
      <c r="FQ137" s="410"/>
      <c r="FR137" s="410"/>
      <c r="FS137" s="410"/>
      <c r="FT137" s="410"/>
      <c r="FU137" s="410"/>
      <c r="FV137" s="410"/>
      <c r="FW137" s="410"/>
      <c r="FX137" s="410"/>
      <c r="FY137" s="410"/>
      <c r="FZ137" s="410"/>
      <c r="GA137" s="410"/>
      <c r="GB137" s="410"/>
      <c r="GC137" s="410"/>
      <c r="GD137" s="410"/>
      <c r="GE137" s="410"/>
      <c r="GF137" s="410"/>
      <c r="GG137" s="410"/>
      <c r="GH137" s="410"/>
      <c r="GI137" s="410"/>
      <c r="GJ137" s="410"/>
      <c r="GK137" s="410"/>
      <c r="GL137" s="410"/>
      <c r="GM137" s="410"/>
      <c r="GN137" s="410"/>
      <c r="GO137" s="410"/>
      <c r="GP137" s="410"/>
      <c r="GQ137" s="410"/>
      <c r="GR137" s="410"/>
      <c r="GS137" s="410"/>
      <c r="GT137" s="410"/>
      <c r="GU137" s="410"/>
      <c r="GV137" s="410"/>
      <c r="GW137" s="410"/>
      <c r="GX137" s="410"/>
      <c r="GY137" s="410"/>
      <c r="GZ137" s="410"/>
      <c r="HA137" s="410"/>
      <c r="HB137" s="410"/>
      <c r="HC137" s="410"/>
      <c r="HD137" s="410"/>
      <c r="HE137" s="410"/>
      <c r="HF137" s="410"/>
      <c r="HG137" s="410"/>
      <c r="HH137" s="410"/>
      <c r="HI137" s="410"/>
      <c r="HJ137" s="410"/>
      <c r="HK137" s="410"/>
      <c r="HL137" s="410"/>
      <c r="HM137" s="410"/>
      <c r="HN137" s="410"/>
      <c r="HO137" s="410"/>
      <c r="HP137" s="410"/>
      <c r="HQ137" s="410"/>
      <c r="HR137" s="410"/>
      <c r="HS137" s="410"/>
      <c r="HT137" s="410"/>
      <c r="HU137" s="410"/>
      <c r="HV137" s="410"/>
      <c r="HW137" s="410"/>
      <c r="HX137" s="410"/>
      <c r="HY137" s="410"/>
      <c r="HZ137" s="410"/>
      <c r="IA137" s="410"/>
      <c r="IB137" s="410"/>
      <c r="IC137" s="410"/>
      <c r="ID137" s="410"/>
      <c r="IE137" s="410"/>
      <c r="IF137" s="410"/>
      <c r="IG137" s="410"/>
      <c r="IH137" s="410"/>
      <c r="II137" s="410"/>
      <c r="IJ137" s="410"/>
      <c r="IK137" s="410"/>
      <c r="IL137" s="410"/>
      <c r="IM137" s="410"/>
    </row>
    <row r="138" spans="1:247" s="415" customFormat="1" ht="45" customHeight="1" x14ac:dyDescent="0.25">
      <c r="A138" s="99">
        <v>1</v>
      </c>
      <c r="B138" s="57" t="s">
        <v>81</v>
      </c>
      <c r="C138" s="85">
        <f t="shared" si="56"/>
        <v>10800</v>
      </c>
      <c r="D138" s="85">
        <f t="shared" si="56"/>
        <v>4500</v>
      </c>
      <c r="E138" s="85">
        <f t="shared" si="56"/>
        <v>5997</v>
      </c>
      <c r="F138" s="85">
        <f t="shared" si="58"/>
        <v>133.26666666666668</v>
      </c>
      <c r="G138" s="439">
        <f t="shared" si="57"/>
        <v>29734.236000000001</v>
      </c>
      <c r="H138" s="439">
        <f t="shared" si="57"/>
        <v>12389.27</v>
      </c>
      <c r="I138" s="439">
        <f t="shared" si="57"/>
        <v>14890.697259999999</v>
      </c>
      <c r="J138" s="439">
        <f t="shared" si="57"/>
        <v>120.19027158178002</v>
      </c>
      <c r="K138" s="410"/>
      <c r="L138" s="410"/>
      <c r="M138" s="410"/>
      <c r="N138" s="410"/>
      <c r="O138" s="410"/>
      <c r="P138" s="410"/>
      <c r="Q138" s="410"/>
      <c r="R138" s="410"/>
      <c r="S138" s="410"/>
      <c r="T138" s="410"/>
      <c r="U138" s="410"/>
      <c r="V138" s="410"/>
      <c r="W138" s="410"/>
      <c r="X138" s="410"/>
      <c r="Y138" s="410"/>
      <c r="Z138" s="410"/>
      <c r="AA138" s="410"/>
      <c r="AB138" s="410"/>
      <c r="AC138" s="410"/>
      <c r="AD138" s="410"/>
      <c r="AE138" s="410"/>
      <c r="AF138" s="410"/>
      <c r="AG138" s="410"/>
      <c r="AH138" s="410"/>
      <c r="AI138" s="410"/>
      <c r="AJ138" s="410"/>
      <c r="AK138" s="410"/>
      <c r="AL138" s="410"/>
      <c r="AM138" s="410"/>
      <c r="AN138" s="410"/>
      <c r="AO138" s="410"/>
      <c r="AP138" s="410"/>
      <c r="AQ138" s="410"/>
      <c r="AR138" s="410"/>
      <c r="AS138" s="410"/>
      <c r="AT138" s="410"/>
      <c r="AU138" s="410"/>
      <c r="AV138" s="410"/>
      <c r="AW138" s="410"/>
      <c r="AX138" s="410"/>
      <c r="AY138" s="410"/>
      <c r="AZ138" s="410"/>
      <c r="BA138" s="410"/>
      <c r="BB138" s="410"/>
      <c r="BC138" s="410"/>
      <c r="BD138" s="410"/>
      <c r="BE138" s="410"/>
      <c r="BF138" s="410"/>
      <c r="BG138" s="410"/>
      <c r="BH138" s="410"/>
      <c r="BI138" s="410"/>
      <c r="BJ138" s="410"/>
      <c r="BK138" s="410"/>
      <c r="BL138" s="410"/>
      <c r="BM138" s="410"/>
      <c r="BN138" s="410"/>
      <c r="BO138" s="410"/>
      <c r="BP138" s="410"/>
      <c r="BQ138" s="410"/>
      <c r="BR138" s="410"/>
      <c r="BS138" s="410"/>
      <c r="BT138" s="410"/>
      <c r="BU138" s="410"/>
      <c r="BV138" s="410"/>
      <c r="BW138" s="410"/>
      <c r="BX138" s="410"/>
      <c r="BY138" s="410"/>
      <c r="BZ138" s="410"/>
      <c r="CA138" s="410"/>
      <c r="CB138" s="410"/>
      <c r="CC138" s="410"/>
      <c r="CD138" s="410"/>
      <c r="CE138" s="410"/>
      <c r="CF138" s="410"/>
      <c r="CG138" s="410"/>
      <c r="CH138" s="410"/>
      <c r="CI138" s="410"/>
      <c r="CJ138" s="410"/>
      <c r="CK138" s="410"/>
      <c r="CL138" s="410"/>
      <c r="CM138" s="410"/>
      <c r="CN138" s="410"/>
      <c r="CO138" s="410"/>
      <c r="CP138" s="410"/>
      <c r="CQ138" s="410"/>
      <c r="CR138" s="410"/>
      <c r="CS138" s="410"/>
      <c r="CT138" s="410"/>
      <c r="CU138" s="410"/>
      <c r="CV138" s="410"/>
      <c r="CW138" s="410"/>
      <c r="CX138" s="410"/>
      <c r="CY138" s="410"/>
      <c r="CZ138" s="410"/>
      <c r="DA138" s="410"/>
      <c r="DB138" s="410"/>
      <c r="DC138" s="410"/>
      <c r="DD138" s="410"/>
      <c r="DE138" s="410"/>
      <c r="DF138" s="410"/>
      <c r="DG138" s="410"/>
      <c r="DH138" s="410"/>
      <c r="DI138" s="410"/>
      <c r="DJ138" s="410"/>
      <c r="DK138" s="410"/>
      <c r="DL138" s="410"/>
      <c r="DM138" s="410"/>
      <c r="DN138" s="410"/>
      <c r="DO138" s="410"/>
      <c r="DP138" s="410"/>
      <c r="DQ138" s="410"/>
      <c r="DR138" s="410"/>
      <c r="DS138" s="410"/>
      <c r="DT138" s="410"/>
      <c r="DU138" s="410"/>
      <c r="DV138" s="410"/>
      <c r="DW138" s="410"/>
      <c r="DX138" s="410"/>
      <c r="DY138" s="410"/>
      <c r="DZ138" s="410"/>
      <c r="EA138" s="410"/>
      <c r="EB138" s="410"/>
      <c r="EC138" s="410"/>
      <c r="ED138" s="410"/>
      <c r="EE138" s="410"/>
      <c r="EF138" s="410"/>
      <c r="EG138" s="410"/>
      <c r="EH138" s="410"/>
      <c r="EI138" s="410"/>
      <c r="EJ138" s="410"/>
      <c r="EK138" s="410"/>
      <c r="EL138" s="410"/>
      <c r="EM138" s="410"/>
      <c r="EN138" s="410"/>
      <c r="EO138" s="410"/>
      <c r="EP138" s="410"/>
      <c r="EQ138" s="410"/>
      <c r="ER138" s="410"/>
      <c r="ES138" s="410"/>
      <c r="ET138" s="410"/>
      <c r="EU138" s="410"/>
      <c r="EV138" s="410"/>
      <c r="EW138" s="410"/>
      <c r="EX138" s="410"/>
      <c r="EY138" s="410"/>
      <c r="EZ138" s="410"/>
      <c r="FA138" s="410"/>
      <c r="FB138" s="410"/>
      <c r="FC138" s="410"/>
      <c r="FD138" s="410"/>
      <c r="FE138" s="410"/>
      <c r="FF138" s="410"/>
      <c r="FG138" s="410"/>
      <c r="FH138" s="410"/>
      <c r="FI138" s="410"/>
      <c r="FJ138" s="410"/>
      <c r="FK138" s="410"/>
      <c r="FL138" s="410"/>
      <c r="FM138" s="410"/>
      <c r="FN138" s="410"/>
      <c r="FO138" s="410"/>
      <c r="FP138" s="410"/>
      <c r="FQ138" s="410"/>
      <c r="FR138" s="410"/>
      <c r="FS138" s="410"/>
      <c r="FT138" s="410"/>
      <c r="FU138" s="410"/>
      <c r="FV138" s="410"/>
      <c r="FW138" s="410"/>
      <c r="FX138" s="410"/>
      <c r="FY138" s="410"/>
      <c r="FZ138" s="410"/>
      <c r="GA138" s="410"/>
      <c r="GB138" s="410"/>
      <c r="GC138" s="410"/>
      <c r="GD138" s="410"/>
      <c r="GE138" s="410"/>
      <c r="GF138" s="410"/>
      <c r="GG138" s="410"/>
      <c r="GH138" s="410"/>
      <c r="GI138" s="410"/>
      <c r="GJ138" s="410"/>
      <c r="GK138" s="410"/>
      <c r="GL138" s="410"/>
      <c r="GM138" s="410"/>
      <c r="GN138" s="410"/>
      <c r="GO138" s="410"/>
      <c r="GP138" s="410"/>
      <c r="GQ138" s="410"/>
      <c r="GR138" s="410"/>
      <c r="GS138" s="410"/>
      <c r="GT138" s="410"/>
      <c r="GU138" s="410"/>
      <c r="GV138" s="410"/>
      <c r="GW138" s="410"/>
      <c r="GX138" s="410"/>
      <c r="GY138" s="410"/>
      <c r="GZ138" s="410"/>
      <c r="HA138" s="410"/>
      <c r="HB138" s="410"/>
      <c r="HC138" s="410"/>
      <c r="HD138" s="410"/>
      <c r="HE138" s="410"/>
      <c r="HF138" s="410"/>
      <c r="HG138" s="410"/>
      <c r="HH138" s="410"/>
      <c r="HI138" s="410"/>
      <c r="HJ138" s="410"/>
      <c r="HK138" s="410"/>
      <c r="HL138" s="410"/>
      <c r="HM138" s="410"/>
      <c r="HN138" s="410"/>
      <c r="HO138" s="410"/>
      <c r="HP138" s="410"/>
      <c r="HQ138" s="410"/>
      <c r="HR138" s="410"/>
      <c r="HS138" s="410"/>
      <c r="HT138" s="410"/>
      <c r="HU138" s="410"/>
      <c r="HV138" s="410"/>
      <c r="HW138" s="410"/>
      <c r="HX138" s="410"/>
      <c r="HY138" s="410"/>
      <c r="HZ138" s="410"/>
      <c r="IA138" s="410"/>
      <c r="IB138" s="410"/>
      <c r="IC138" s="410"/>
      <c r="ID138" s="410"/>
      <c r="IE138" s="410"/>
      <c r="IF138" s="410"/>
      <c r="IG138" s="410"/>
      <c r="IH138" s="410"/>
      <c r="II138" s="410"/>
      <c r="IJ138" s="410"/>
      <c r="IK138" s="410"/>
      <c r="IL138" s="410"/>
      <c r="IM138" s="410"/>
    </row>
    <row r="139" spans="1:247" s="415" customFormat="1" ht="45" customHeight="1" x14ac:dyDescent="0.25">
      <c r="A139" s="99">
        <v>1</v>
      </c>
      <c r="B139" s="57" t="s">
        <v>109</v>
      </c>
      <c r="C139" s="85">
        <f t="shared" si="56"/>
        <v>4126</v>
      </c>
      <c r="D139" s="85">
        <f t="shared" si="56"/>
        <v>1719</v>
      </c>
      <c r="E139" s="85">
        <f t="shared" si="56"/>
        <v>2046</v>
      </c>
      <c r="F139" s="85">
        <f t="shared" si="58"/>
        <v>119.02268760907504</v>
      </c>
      <c r="G139" s="439">
        <f t="shared" si="57"/>
        <v>4044.1401599999999</v>
      </c>
      <c r="H139" s="439">
        <f t="shared" si="57"/>
        <v>1685.06</v>
      </c>
      <c r="I139" s="439">
        <f t="shared" si="57"/>
        <v>2207.3137199999996</v>
      </c>
      <c r="J139" s="439">
        <f t="shared" si="57"/>
        <v>130.9931824386075</v>
      </c>
      <c r="K139" s="410"/>
      <c r="L139" s="410"/>
      <c r="M139" s="410"/>
      <c r="N139" s="410"/>
      <c r="O139" s="410"/>
      <c r="P139" s="410"/>
      <c r="Q139" s="410"/>
      <c r="R139" s="410"/>
      <c r="S139" s="410"/>
      <c r="T139" s="410"/>
      <c r="U139" s="410"/>
      <c r="V139" s="410"/>
      <c r="W139" s="410"/>
      <c r="X139" s="410"/>
      <c r="Y139" s="410"/>
      <c r="Z139" s="410"/>
      <c r="AA139" s="410"/>
      <c r="AB139" s="410"/>
      <c r="AC139" s="410"/>
      <c r="AD139" s="410"/>
      <c r="AE139" s="410"/>
      <c r="AF139" s="410"/>
      <c r="AG139" s="410"/>
      <c r="AH139" s="410"/>
      <c r="AI139" s="410"/>
      <c r="AJ139" s="410"/>
      <c r="AK139" s="410"/>
      <c r="AL139" s="410"/>
      <c r="AM139" s="410"/>
      <c r="AN139" s="410"/>
      <c r="AO139" s="410"/>
      <c r="AP139" s="410"/>
      <c r="AQ139" s="410"/>
      <c r="AR139" s="410"/>
      <c r="AS139" s="410"/>
      <c r="AT139" s="410"/>
      <c r="AU139" s="410"/>
      <c r="AV139" s="410"/>
      <c r="AW139" s="410"/>
      <c r="AX139" s="410"/>
      <c r="AY139" s="410"/>
      <c r="AZ139" s="410"/>
      <c r="BA139" s="410"/>
      <c r="BB139" s="410"/>
      <c r="BC139" s="410"/>
      <c r="BD139" s="410"/>
      <c r="BE139" s="410"/>
      <c r="BF139" s="410"/>
      <c r="BG139" s="410"/>
      <c r="BH139" s="410"/>
      <c r="BI139" s="410"/>
      <c r="BJ139" s="410"/>
      <c r="BK139" s="410"/>
      <c r="BL139" s="410"/>
      <c r="BM139" s="410"/>
      <c r="BN139" s="410"/>
      <c r="BO139" s="410"/>
      <c r="BP139" s="410"/>
      <c r="BQ139" s="410"/>
      <c r="BR139" s="410"/>
      <c r="BS139" s="410"/>
      <c r="BT139" s="410"/>
      <c r="BU139" s="410"/>
      <c r="BV139" s="410"/>
      <c r="BW139" s="410"/>
      <c r="BX139" s="410"/>
      <c r="BY139" s="410"/>
      <c r="BZ139" s="410"/>
      <c r="CA139" s="410"/>
      <c r="CB139" s="410"/>
      <c r="CC139" s="410"/>
      <c r="CD139" s="410"/>
      <c r="CE139" s="410"/>
      <c r="CF139" s="410"/>
      <c r="CG139" s="410"/>
      <c r="CH139" s="410"/>
      <c r="CI139" s="410"/>
      <c r="CJ139" s="410"/>
      <c r="CK139" s="410"/>
      <c r="CL139" s="410"/>
      <c r="CM139" s="410"/>
      <c r="CN139" s="410"/>
      <c r="CO139" s="410"/>
      <c r="CP139" s="410"/>
      <c r="CQ139" s="410"/>
      <c r="CR139" s="410"/>
      <c r="CS139" s="410"/>
      <c r="CT139" s="410"/>
      <c r="CU139" s="410"/>
      <c r="CV139" s="410"/>
      <c r="CW139" s="410"/>
      <c r="CX139" s="410"/>
      <c r="CY139" s="410"/>
      <c r="CZ139" s="410"/>
      <c r="DA139" s="410"/>
      <c r="DB139" s="410"/>
      <c r="DC139" s="410"/>
      <c r="DD139" s="410"/>
      <c r="DE139" s="410"/>
      <c r="DF139" s="410"/>
      <c r="DG139" s="410"/>
      <c r="DH139" s="410"/>
      <c r="DI139" s="410"/>
      <c r="DJ139" s="410"/>
      <c r="DK139" s="410"/>
      <c r="DL139" s="410"/>
      <c r="DM139" s="410"/>
      <c r="DN139" s="410"/>
      <c r="DO139" s="410"/>
      <c r="DP139" s="410"/>
      <c r="DQ139" s="410"/>
      <c r="DR139" s="410"/>
      <c r="DS139" s="410"/>
      <c r="DT139" s="410"/>
      <c r="DU139" s="410"/>
      <c r="DV139" s="410"/>
      <c r="DW139" s="410"/>
      <c r="DX139" s="410"/>
      <c r="DY139" s="410"/>
      <c r="DZ139" s="410"/>
      <c r="EA139" s="410"/>
      <c r="EB139" s="410"/>
      <c r="EC139" s="410"/>
      <c r="ED139" s="410"/>
      <c r="EE139" s="410"/>
      <c r="EF139" s="410"/>
      <c r="EG139" s="410"/>
      <c r="EH139" s="410"/>
      <c r="EI139" s="410"/>
      <c r="EJ139" s="410"/>
      <c r="EK139" s="410"/>
      <c r="EL139" s="410"/>
      <c r="EM139" s="410"/>
      <c r="EN139" s="410"/>
      <c r="EO139" s="410"/>
      <c r="EP139" s="410"/>
      <c r="EQ139" s="410"/>
      <c r="ER139" s="410"/>
      <c r="ES139" s="410"/>
      <c r="ET139" s="410"/>
      <c r="EU139" s="410"/>
      <c r="EV139" s="410"/>
      <c r="EW139" s="410"/>
      <c r="EX139" s="410"/>
      <c r="EY139" s="410"/>
      <c r="EZ139" s="410"/>
      <c r="FA139" s="410"/>
      <c r="FB139" s="410"/>
      <c r="FC139" s="410"/>
      <c r="FD139" s="410"/>
      <c r="FE139" s="410"/>
      <c r="FF139" s="410"/>
      <c r="FG139" s="410"/>
      <c r="FH139" s="410"/>
      <c r="FI139" s="410"/>
      <c r="FJ139" s="410"/>
      <c r="FK139" s="410"/>
      <c r="FL139" s="410"/>
      <c r="FM139" s="410"/>
      <c r="FN139" s="410"/>
      <c r="FO139" s="410"/>
      <c r="FP139" s="410"/>
      <c r="FQ139" s="410"/>
      <c r="FR139" s="410"/>
      <c r="FS139" s="410"/>
      <c r="FT139" s="410"/>
      <c r="FU139" s="410"/>
      <c r="FV139" s="410"/>
      <c r="FW139" s="410"/>
      <c r="FX139" s="410"/>
      <c r="FY139" s="410"/>
      <c r="FZ139" s="410"/>
      <c r="GA139" s="410"/>
      <c r="GB139" s="410"/>
      <c r="GC139" s="410"/>
      <c r="GD139" s="410"/>
      <c r="GE139" s="410"/>
      <c r="GF139" s="410"/>
      <c r="GG139" s="410"/>
      <c r="GH139" s="410"/>
      <c r="GI139" s="410"/>
      <c r="GJ139" s="410"/>
      <c r="GK139" s="410"/>
      <c r="GL139" s="410"/>
      <c r="GM139" s="410"/>
      <c r="GN139" s="410"/>
      <c r="GO139" s="410"/>
      <c r="GP139" s="410"/>
      <c r="GQ139" s="410"/>
      <c r="GR139" s="410"/>
      <c r="GS139" s="410"/>
      <c r="GT139" s="410"/>
      <c r="GU139" s="410"/>
      <c r="GV139" s="410"/>
      <c r="GW139" s="410"/>
      <c r="GX139" s="410"/>
      <c r="GY139" s="410"/>
      <c r="GZ139" s="410"/>
      <c r="HA139" s="410"/>
      <c r="HB139" s="410"/>
      <c r="HC139" s="410"/>
      <c r="HD139" s="410"/>
      <c r="HE139" s="410"/>
      <c r="HF139" s="410"/>
      <c r="HG139" s="410"/>
      <c r="HH139" s="410"/>
      <c r="HI139" s="410"/>
      <c r="HJ139" s="410"/>
      <c r="HK139" s="410"/>
      <c r="HL139" s="410"/>
      <c r="HM139" s="410"/>
      <c r="HN139" s="410"/>
      <c r="HO139" s="410"/>
      <c r="HP139" s="410"/>
      <c r="HQ139" s="410"/>
      <c r="HR139" s="410"/>
      <c r="HS139" s="410"/>
      <c r="HT139" s="410"/>
      <c r="HU139" s="410"/>
      <c r="HV139" s="410"/>
      <c r="HW139" s="410"/>
      <c r="HX139" s="410"/>
      <c r="HY139" s="410"/>
      <c r="HZ139" s="410"/>
      <c r="IA139" s="410"/>
      <c r="IB139" s="410"/>
      <c r="IC139" s="410"/>
      <c r="ID139" s="410"/>
      <c r="IE139" s="410"/>
      <c r="IF139" s="410"/>
      <c r="IG139" s="410"/>
      <c r="IH139" s="410"/>
      <c r="II139" s="410"/>
      <c r="IJ139" s="410"/>
      <c r="IK139" s="410"/>
      <c r="IL139" s="410"/>
      <c r="IM139" s="410"/>
    </row>
    <row r="140" spans="1:247" s="415" customFormat="1" ht="38.1" customHeight="1" x14ac:dyDescent="0.25">
      <c r="A140" s="99"/>
      <c r="B140" s="351" t="s">
        <v>123</v>
      </c>
      <c r="C140" s="440">
        <f t="shared" ref="C140:E142" si="59">SUM(C126)</f>
        <v>38095</v>
      </c>
      <c r="D140" s="440">
        <f t="shared" si="59"/>
        <v>15873</v>
      </c>
      <c r="E140" s="440">
        <f t="shared" si="59"/>
        <v>17292</v>
      </c>
      <c r="F140" s="85">
        <f t="shared" si="58"/>
        <v>108.93970893970895</v>
      </c>
      <c r="G140" s="440">
        <f t="shared" ref="G140:I142" si="60">SUM(G126)</f>
        <v>37074.815900000001</v>
      </c>
      <c r="H140" s="440">
        <f t="shared" si="60"/>
        <v>15447.84</v>
      </c>
      <c r="I140" s="440">
        <f t="shared" si="60"/>
        <v>16802.285609999999</v>
      </c>
      <c r="J140" s="439">
        <f>J126</f>
        <v>108.76786405089642</v>
      </c>
      <c r="K140" s="410"/>
      <c r="L140" s="410"/>
      <c r="M140" s="410"/>
      <c r="N140" s="410"/>
      <c r="O140" s="410"/>
      <c r="P140" s="410"/>
      <c r="Q140" s="410"/>
      <c r="R140" s="410"/>
      <c r="S140" s="410"/>
      <c r="T140" s="410"/>
      <c r="U140" s="410"/>
      <c r="V140" s="410"/>
      <c r="W140" s="410"/>
      <c r="X140" s="410"/>
      <c r="Y140" s="410"/>
      <c r="Z140" s="410"/>
      <c r="AA140" s="410"/>
      <c r="AB140" s="410"/>
      <c r="AC140" s="410"/>
      <c r="AD140" s="410"/>
      <c r="AE140" s="410"/>
      <c r="AF140" s="410"/>
      <c r="AG140" s="410"/>
      <c r="AH140" s="410"/>
      <c r="AI140" s="410"/>
      <c r="AJ140" s="410"/>
      <c r="AK140" s="410"/>
      <c r="AL140" s="410"/>
      <c r="AM140" s="410"/>
      <c r="AN140" s="410"/>
      <c r="AO140" s="410"/>
      <c r="AP140" s="410"/>
      <c r="AQ140" s="410"/>
      <c r="AR140" s="410"/>
      <c r="AS140" s="410"/>
      <c r="AT140" s="410"/>
      <c r="AU140" s="410"/>
      <c r="AV140" s="410"/>
      <c r="AW140" s="410"/>
      <c r="AX140" s="410"/>
      <c r="AY140" s="410"/>
      <c r="AZ140" s="410"/>
      <c r="BA140" s="410"/>
      <c r="BB140" s="410"/>
      <c r="BC140" s="410"/>
      <c r="BD140" s="410"/>
      <c r="BE140" s="410"/>
      <c r="BF140" s="410"/>
      <c r="BG140" s="410"/>
      <c r="BH140" s="410"/>
      <c r="BI140" s="410"/>
      <c r="BJ140" s="410"/>
      <c r="BK140" s="410"/>
      <c r="BL140" s="410"/>
      <c r="BM140" s="410"/>
      <c r="BN140" s="410"/>
      <c r="BO140" s="410"/>
      <c r="BP140" s="410"/>
      <c r="BQ140" s="410"/>
      <c r="BR140" s="410"/>
      <c r="BS140" s="410"/>
      <c r="BT140" s="410"/>
      <c r="BU140" s="410"/>
      <c r="BV140" s="410"/>
      <c r="BW140" s="410"/>
      <c r="BX140" s="410"/>
      <c r="BY140" s="410"/>
      <c r="BZ140" s="410"/>
      <c r="CA140" s="410"/>
      <c r="CB140" s="410"/>
      <c r="CC140" s="410"/>
      <c r="CD140" s="410"/>
      <c r="CE140" s="410"/>
      <c r="CF140" s="410"/>
      <c r="CG140" s="410"/>
      <c r="CH140" s="410"/>
      <c r="CI140" s="410"/>
      <c r="CJ140" s="410"/>
      <c r="CK140" s="410"/>
      <c r="CL140" s="410"/>
      <c r="CM140" s="410"/>
      <c r="CN140" s="410"/>
      <c r="CO140" s="410"/>
      <c r="CP140" s="410"/>
      <c r="CQ140" s="410"/>
      <c r="CR140" s="410"/>
      <c r="CS140" s="410"/>
      <c r="CT140" s="410"/>
      <c r="CU140" s="410"/>
      <c r="CV140" s="410"/>
      <c r="CW140" s="410"/>
      <c r="CX140" s="410"/>
      <c r="CY140" s="410"/>
      <c r="CZ140" s="410"/>
      <c r="DA140" s="410"/>
      <c r="DB140" s="410"/>
      <c r="DC140" s="410"/>
      <c r="DD140" s="410"/>
      <c r="DE140" s="410"/>
      <c r="DF140" s="410"/>
      <c r="DG140" s="410"/>
      <c r="DH140" s="410"/>
      <c r="DI140" s="410"/>
      <c r="DJ140" s="410"/>
      <c r="DK140" s="410"/>
      <c r="DL140" s="410"/>
      <c r="DM140" s="410"/>
      <c r="DN140" s="410"/>
      <c r="DO140" s="410"/>
      <c r="DP140" s="410"/>
      <c r="DQ140" s="410"/>
      <c r="DR140" s="410"/>
      <c r="DS140" s="410"/>
      <c r="DT140" s="410"/>
      <c r="DU140" s="410"/>
      <c r="DV140" s="410"/>
      <c r="DW140" s="410"/>
      <c r="DX140" s="410"/>
      <c r="DY140" s="410"/>
      <c r="DZ140" s="410"/>
      <c r="EA140" s="410"/>
      <c r="EB140" s="410"/>
      <c r="EC140" s="410"/>
      <c r="ED140" s="410"/>
      <c r="EE140" s="410"/>
      <c r="EF140" s="410"/>
      <c r="EG140" s="410"/>
      <c r="EH140" s="410"/>
      <c r="EI140" s="410"/>
      <c r="EJ140" s="410"/>
      <c r="EK140" s="410"/>
      <c r="EL140" s="410"/>
      <c r="EM140" s="410"/>
      <c r="EN140" s="410"/>
      <c r="EO140" s="410"/>
      <c r="EP140" s="410"/>
      <c r="EQ140" s="410"/>
      <c r="ER140" s="410"/>
      <c r="ES140" s="410"/>
      <c r="ET140" s="410"/>
      <c r="EU140" s="410"/>
      <c r="EV140" s="410"/>
      <c r="EW140" s="410"/>
      <c r="EX140" s="410"/>
      <c r="EY140" s="410"/>
      <c r="EZ140" s="410"/>
      <c r="FA140" s="410"/>
      <c r="FB140" s="410"/>
      <c r="FC140" s="410"/>
      <c r="FD140" s="410"/>
      <c r="FE140" s="410"/>
      <c r="FF140" s="410"/>
      <c r="FG140" s="410"/>
      <c r="FH140" s="410"/>
      <c r="FI140" s="410"/>
      <c r="FJ140" s="410"/>
      <c r="FK140" s="410"/>
      <c r="FL140" s="410"/>
      <c r="FM140" s="410"/>
      <c r="FN140" s="410"/>
      <c r="FO140" s="410"/>
      <c r="FP140" s="410"/>
      <c r="FQ140" s="410"/>
      <c r="FR140" s="410"/>
      <c r="FS140" s="410"/>
      <c r="FT140" s="410"/>
      <c r="FU140" s="410"/>
      <c r="FV140" s="410"/>
      <c r="FW140" s="410"/>
      <c r="FX140" s="410"/>
      <c r="FY140" s="410"/>
      <c r="FZ140" s="410"/>
      <c r="GA140" s="410"/>
      <c r="GB140" s="410"/>
      <c r="GC140" s="410"/>
      <c r="GD140" s="410"/>
      <c r="GE140" s="410"/>
      <c r="GF140" s="410"/>
      <c r="GG140" s="410"/>
      <c r="GH140" s="410"/>
      <c r="GI140" s="410"/>
      <c r="GJ140" s="410"/>
      <c r="GK140" s="410"/>
      <c r="GL140" s="410"/>
      <c r="GM140" s="410"/>
      <c r="GN140" s="410"/>
      <c r="GO140" s="410"/>
      <c r="GP140" s="410"/>
      <c r="GQ140" s="410"/>
      <c r="GR140" s="410"/>
      <c r="GS140" s="410"/>
      <c r="GT140" s="410"/>
      <c r="GU140" s="410"/>
      <c r="GV140" s="410"/>
      <c r="GW140" s="410"/>
      <c r="GX140" s="410"/>
      <c r="GY140" s="410"/>
      <c r="GZ140" s="410"/>
      <c r="HA140" s="410"/>
      <c r="HB140" s="410"/>
      <c r="HC140" s="410"/>
      <c r="HD140" s="410"/>
      <c r="HE140" s="410"/>
      <c r="HF140" s="410"/>
      <c r="HG140" s="410"/>
      <c r="HH140" s="410"/>
      <c r="HI140" s="410"/>
      <c r="HJ140" s="410"/>
      <c r="HK140" s="410"/>
      <c r="HL140" s="410"/>
      <c r="HM140" s="410"/>
      <c r="HN140" s="410"/>
      <c r="HO140" s="410"/>
      <c r="HP140" s="410"/>
      <c r="HQ140" s="410"/>
      <c r="HR140" s="410"/>
      <c r="HS140" s="410"/>
      <c r="HT140" s="410"/>
      <c r="HU140" s="410"/>
      <c r="HV140" s="410"/>
      <c r="HW140" s="410"/>
      <c r="HX140" s="410"/>
      <c r="HY140" s="410"/>
      <c r="HZ140" s="410"/>
      <c r="IA140" s="410"/>
      <c r="IB140" s="410"/>
      <c r="IC140" s="410"/>
      <c r="ID140" s="410"/>
      <c r="IE140" s="410"/>
      <c r="IF140" s="410"/>
      <c r="IG140" s="410"/>
      <c r="IH140" s="410"/>
      <c r="II140" s="410"/>
      <c r="IJ140" s="410"/>
      <c r="IK140" s="410"/>
      <c r="IL140" s="410"/>
      <c r="IM140" s="410"/>
    </row>
    <row r="141" spans="1:247" s="415" customFormat="1" ht="38.1" customHeight="1" x14ac:dyDescent="0.25">
      <c r="A141" s="99"/>
      <c r="B141" s="351" t="s">
        <v>124</v>
      </c>
      <c r="C141" s="440">
        <f t="shared" si="59"/>
        <v>2640</v>
      </c>
      <c r="D141" s="440">
        <f t="shared" si="59"/>
        <v>1100</v>
      </c>
      <c r="E141" s="440">
        <f t="shared" si="59"/>
        <v>1058</v>
      </c>
      <c r="F141" s="85">
        <f t="shared" si="58"/>
        <v>96.181818181818173</v>
      </c>
      <c r="G141" s="440">
        <f t="shared" si="60"/>
        <v>2569.3008000000004</v>
      </c>
      <c r="H141" s="440">
        <f t="shared" si="60"/>
        <v>1070.54</v>
      </c>
      <c r="I141" s="440">
        <f t="shared" si="60"/>
        <v>1028.8576700000001</v>
      </c>
      <c r="J141" s="439">
        <f>J127</f>
        <v>96.106420124423195</v>
      </c>
      <c r="K141" s="410"/>
      <c r="L141" s="410"/>
      <c r="M141" s="410"/>
      <c r="N141" s="410"/>
      <c r="O141" s="410"/>
      <c r="P141" s="410"/>
      <c r="Q141" s="410"/>
      <c r="R141" s="410"/>
      <c r="S141" s="410"/>
      <c r="T141" s="410"/>
      <c r="U141" s="410"/>
      <c r="V141" s="410"/>
      <c r="W141" s="410"/>
      <c r="X141" s="410"/>
      <c r="Y141" s="410"/>
      <c r="Z141" s="410"/>
      <c r="AA141" s="410"/>
      <c r="AB141" s="410"/>
      <c r="AC141" s="410"/>
      <c r="AD141" s="410"/>
      <c r="AE141" s="410"/>
      <c r="AF141" s="410"/>
      <c r="AG141" s="410"/>
      <c r="AH141" s="410"/>
      <c r="AI141" s="410"/>
      <c r="AJ141" s="410"/>
      <c r="AK141" s="410"/>
      <c r="AL141" s="410"/>
      <c r="AM141" s="410"/>
      <c r="AN141" s="410"/>
      <c r="AO141" s="410"/>
      <c r="AP141" s="410"/>
      <c r="AQ141" s="410"/>
      <c r="AR141" s="410"/>
      <c r="AS141" s="410"/>
      <c r="AT141" s="410"/>
      <c r="AU141" s="410"/>
      <c r="AV141" s="410"/>
      <c r="AW141" s="410"/>
      <c r="AX141" s="410"/>
      <c r="AY141" s="410"/>
      <c r="AZ141" s="410"/>
      <c r="BA141" s="410"/>
      <c r="BB141" s="410"/>
      <c r="BC141" s="410"/>
      <c r="BD141" s="410"/>
      <c r="BE141" s="410"/>
      <c r="BF141" s="410"/>
      <c r="BG141" s="410"/>
      <c r="BH141" s="410"/>
      <c r="BI141" s="410"/>
      <c r="BJ141" s="410"/>
      <c r="BK141" s="410"/>
      <c r="BL141" s="410"/>
      <c r="BM141" s="410"/>
      <c r="BN141" s="410"/>
      <c r="BO141" s="410"/>
      <c r="BP141" s="410"/>
      <c r="BQ141" s="410"/>
      <c r="BR141" s="410"/>
      <c r="BS141" s="410"/>
      <c r="BT141" s="410"/>
      <c r="BU141" s="410"/>
      <c r="BV141" s="410"/>
      <c r="BW141" s="410"/>
      <c r="BX141" s="410"/>
      <c r="BY141" s="410"/>
      <c r="BZ141" s="410"/>
      <c r="CA141" s="410"/>
      <c r="CB141" s="410"/>
      <c r="CC141" s="410"/>
      <c r="CD141" s="410"/>
      <c r="CE141" s="410"/>
      <c r="CF141" s="410"/>
      <c r="CG141" s="410"/>
      <c r="CH141" s="410"/>
      <c r="CI141" s="410"/>
      <c r="CJ141" s="410"/>
      <c r="CK141" s="410"/>
      <c r="CL141" s="410"/>
      <c r="CM141" s="410"/>
      <c r="CN141" s="410"/>
      <c r="CO141" s="410"/>
      <c r="CP141" s="410"/>
      <c r="CQ141" s="410"/>
      <c r="CR141" s="410"/>
      <c r="CS141" s="410"/>
      <c r="CT141" s="410"/>
      <c r="CU141" s="410"/>
      <c r="CV141" s="410"/>
      <c r="CW141" s="410"/>
      <c r="CX141" s="410"/>
      <c r="CY141" s="410"/>
      <c r="CZ141" s="410"/>
      <c r="DA141" s="410"/>
      <c r="DB141" s="410"/>
      <c r="DC141" s="410"/>
      <c r="DD141" s="410"/>
      <c r="DE141" s="410"/>
      <c r="DF141" s="410"/>
      <c r="DG141" s="410"/>
      <c r="DH141" s="410"/>
      <c r="DI141" s="410"/>
      <c r="DJ141" s="410"/>
      <c r="DK141" s="410"/>
      <c r="DL141" s="410"/>
      <c r="DM141" s="410"/>
      <c r="DN141" s="410"/>
      <c r="DO141" s="410"/>
      <c r="DP141" s="410"/>
      <c r="DQ141" s="410"/>
      <c r="DR141" s="410"/>
      <c r="DS141" s="410"/>
      <c r="DT141" s="410"/>
      <c r="DU141" s="410"/>
      <c r="DV141" s="410"/>
      <c r="DW141" s="410"/>
      <c r="DX141" s="410"/>
      <c r="DY141" s="410"/>
      <c r="DZ141" s="410"/>
      <c r="EA141" s="410"/>
      <c r="EB141" s="410"/>
      <c r="EC141" s="410"/>
      <c r="ED141" s="410"/>
      <c r="EE141" s="410"/>
      <c r="EF141" s="410"/>
      <c r="EG141" s="410"/>
      <c r="EH141" s="410"/>
      <c r="EI141" s="410"/>
      <c r="EJ141" s="410"/>
      <c r="EK141" s="410"/>
      <c r="EL141" s="410"/>
      <c r="EM141" s="410"/>
      <c r="EN141" s="410"/>
      <c r="EO141" s="410"/>
      <c r="EP141" s="410"/>
      <c r="EQ141" s="410"/>
      <c r="ER141" s="410"/>
      <c r="ES141" s="410"/>
      <c r="ET141" s="410"/>
      <c r="EU141" s="410"/>
      <c r="EV141" s="410"/>
      <c r="EW141" s="410"/>
      <c r="EX141" s="410"/>
      <c r="EY141" s="410"/>
      <c r="EZ141" s="410"/>
      <c r="FA141" s="410"/>
      <c r="FB141" s="410"/>
      <c r="FC141" s="410"/>
      <c r="FD141" s="410"/>
      <c r="FE141" s="410"/>
      <c r="FF141" s="410"/>
      <c r="FG141" s="410"/>
      <c r="FH141" s="410"/>
      <c r="FI141" s="410"/>
      <c r="FJ141" s="410"/>
      <c r="FK141" s="410"/>
      <c r="FL141" s="410"/>
      <c r="FM141" s="410"/>
      <c r="FN141" s="410"/>
      <c r="FO141" s="410"/>
      <c r="FP141" s="410"/>
      <c r="FQ141" s="410"/>
      <c r="FR141" s="410"/>
      <c r="FS141" s="410"/>
      <c r="FT141" s="410"/>
      <c r="FU141" s="410"/>
      <c r="FV141" s="410"/>
      <c r="FW141" s="410"/>
      <c r="FX141" s="410"/>
      <c r="FY141" s="410"/>
      <c r="FZ141" s="410"/>
      <c r="GA141" s="410"/>
      <c r="GB141" s="410"/>
      <c r="GC141" s="410"/>
      <c r="GD141" s="410"/>
      <c r="GE141" s="410"/>
      <c r="GF141" s="410"/>
      <c r="GG141" s="410"/>
      <c r="GH141" s="410"/>
      <c r="GI141" s="410"/>
      <c r="GJ141" s="410"/>
      <c r="GK141" s="410"/>
      <c r="GL141" s="410"/>
      <c r="GM141" s="410"/>
      <c r="GN141" s="410"/>
      <c r="GO141" s="410"/>
      <c r="GP141" s="410"/>
      <c r="GQ141" s="410"/>
      <c r="GR141" s="410"/>
      <c r="GS141" s="410"/>
      <c r="GT141" s="410"/>
      <c r="GU141" s="410"/>
      <c r="GV141" s="410"/>
      <c r="GW141" s="410"/>
      <c r="GX141" s="410"/>
      <c r="GY141" s="410"/>
      <c r="GZ141" s="410"/>
      <c r="HA141" s="410"/>
      <c r="HB141" s="410"/>
      <c r="HC141" s="410"/>
      <c r="HD141" s="410"/>
      <c r="HE141" s="410"/>
      <c r="HF141" s="410"/>
      <c r="HG141" s="410"/>
      <c r="HH141" s="410"/>
      <c r="HI141" s="410"/>
      <c r="HJ141" s="410"/>
      <c r="HK141" s="410"/>
      <c r="HL141" s="410"/>
      <c r="HM141" s="410"/>
      <c r="HN141" s="410"/>
      <c r="HO141" s="410"/>
      <c r="HP141" s="410"/>
      <c r="HQ141" s="410"/>
      <c r="HR141" s="410"/>
      <c r="HS141" s="410"/>
      <c r="HT141" s="410"/>
      <c r="HU141" s="410"/>
      <c r="HV141" s="410"/>
      <c r="HW141" s="410"/>
      <c r="HX141" s="410"/>
      <c r="HY141" s="410"/>
      <c r="HZ141" s="410"/>
      <c r="IA141" s="410"/>
      <c r="IB141" s="410"/>
      <c r="IC141" s="410"/>
      <c r="ID141" s="410"/>
      <c r="IE141" s="410"/>
      <c r="IF141" s="410"/>
      <c r="IG141" s="410"/>
      <c r="IH141" s="410"/>
      <c r="II141" s="410"/>
      <c r="IJ141" s="410"/>
      <c r="IK141" s="410"/>
      <c r="IL141" s="410"/>
      <c r="IM141" s="410"/>
    </row>
    <row r="142" spans="1:247" s="415" customFormat="1" ht="38.1" customHeight="1" x14ac:dyDescent="0.25">
      <c r="A142" s="99"/>
      <c r="B142" s="351" t="s">
        <v>125</v>
      </c>
      <c r="C142" s="440">
        <f t="shared" si="59"/>
        <v>3143</v>
      </c>
      <c r="D142" s="440">
        <f t="shared" si="59"/>
        <v>1310</v>
      </c>
      <c r="E142" s="440">
        <f t="shared" si="59"/>
        <v>757</v>
      </c>
      <c r="F142" s="85">
        <f t="shared" si="58"/>
        <v>57.786259541984734</v>
      </c>
      <c r="G142" s="440">
        <f t="shared" si="60"/>
        <v>3058.8304600000001</v>
      </c>
      <c r="H142" s="440">
        <f t="shared" si="60"/>
        <v>1274.51</v>
      </c>
      <c r="I142" s="440">
        <f t="shared" si="60"/>
        <v>736.23515000000009</v>
      </c>
      <c r="J142" s="439">
        <f>J128</f>
        <v>57.766133651364058</v>
      </c>
      <c r="K142" s="410"/>
      <c r="L142" s="410"/>
      <c r="M142" s="410"/>
      <c r="N142" s="410"/>
      <c r="O142" s="410"/>
      <c r="P142" s="410"/>
      <c r="Q142" s="410"/>
      <c r="R142" s="410"/>
      <c r="S142" s="410"/>
      <c r="T142" s="410"/>
      <c r="U142" s="410"/>
      <c r="V142" s="410"/>
      <c r="W142" s="410"/>
      <c r="X142" s="410"/>
      <c r="Y142" s="410"/>
      <c r="Z142" s="410"/>
      <c r="AA142" s="410"/>
      <c r="AB142" s="410"/>
      <c r="AC142" s="410"/>
      <c r="AD142" s="410"/>
      <c r="AE142" s="410"/>
      <c r="AF142" s="410"/>
      <c r="AG142" s="410"/>
      <c r="AH142" s="410"/>
      <c r="AI142" s="410"/>
      <c r="AJ142" s="410"/>
      <c r="AK142" s="410"/>
      <c r="AL142" s="410"/>
      <c r="AM142" s="410"/>
      <c r="AN142" s="410"/>
      <c r="AO142" s="410"/>
      <c r="AP142" s="410"/>
      <c r="AQ142" s="410"/>
      <c r="AR142" s="410"/>
      <c r="AS142" s="410"/>
      <c r="AT142" s="410"/>
      <c r="AU142" s="410"/>
      <c r="AV142" s="410"/>
      <c r="AW142" s="410"/>
      <c r="AX142" s="410"/>
      <c r="AY142" s="410"/>
      <c r="AZ142" s="410"/>
      <c r="BA142" s="410"/>
      <c r="BB142" s="410"/>
      <c r="BC142" s="410"/>
      <c r="BD142" s="410"/>
      <c r="BE142" s="410"/>
      <c r="BF142" s="410"/>
      <c r="BG142" s="410"/>
      <c r="BH142" s="410"/>
      <c r="BI142" s="410"/>
      <c r="BJ142" s="410"/>
      <c r="BK142" s="410"/>
      <c r="BL142" s="410"/>
      <c r="BM142" s="410"/>
      <c r="BN142" s="410"/>
      <c r="BO142" s="410"/>
      <c r="BP142" s="410"/>
      <c r="BQ142" s="410"/>
      <c r="BR142" s="410"/>
      <c r="BS142" s="410"/>
      <c r="BT142" s="410"/>
      <c r="BU142" s="410"/>
      <c r="BV142" s="410"/>
      <c r="BW142" s="410"/>
      <c r="BX142" s="410"/>
      <c r="BY142" s="410"/>
      <c r="BZ142" s="410"/>
      <c r="CA142" s="410"/>
      <c r="CB142" s="410"/>
      <c r="CC142" s="410"/>
      <c r="CD142" s="410"/>
      <c r="CE142" s="410"/>
      <c r="CF142" s="410"/>
      <c r="CG142" s="410"/>
      <c r="CH142" s="410"/>
      <c r="CI142" s="410"/>
      <c r="CJ142" s="410"/>
      <c r="CK142" s="410"/>
      <c r="CL142" s="410"/>
      <c r="CM142" s="410"/>
      <c r="CN142" s="410"/>
      <c r="CO142" s="410"/>
      <c r="CP142" s="410"/>
      <c r="CQ142" s="410"/>
      <c r="CR142" s="410"/>
      <c r="CS142" s="410"/>
      <c r="CT142" s="410"/>
      <c r="CU142" s="410"/>
      <c r="CV142" s="410"/>
      <c r="CW142" s="410"/>
      <c r="CX142" s="410"/>
      <c r="CY142" s="410"/>
      <c r="CZ142" s="410"/>
      <c r="DA142" s="410"/>
      <c r="DB142" s="410"/>
      <c r="DC142" s="410"/>
      <c r="DD142" s="410"/>
      <c r="DE142" s="410"/>
      <c r="DF142" s="410"/>
      <c r="DG142" s="410"/>
      <c r="DH142" s="410"/>
      <c r="DI142" s="410"/>
      <c r="DJ142" s="410"/>
      <c r="DK142" s="410"/>
      <c r="DL142" s="410"/>
      <c r="DM142" s="410"/>
      <c r="DN142" s="410"/>
      <c r="DO142" s="410"/>
      <c r="DP142" s="410"/>
      <c r="DQ142" s="410"/>
      <c r="DR142" s="410"/>
      <c r="DS142" s="410"/>
      <c r="DT142" s="410"/>
      <c r="DU142" s="410"/>
      <c r="DV142" s="410"/>
      <c r="DW142" s="410"/>
      <c r="DX142" s="410"/>
      <c r="DY142" s="410"/>
      <c r="DZ142" s="410"/>
      <c r="EA142" s="410"/>
      <c r="EB142" s="410"/>
      <c r="EC142" s="410"/>
      <c r="ED142" s="410"/>
      <c r="EE142" s="410"/>
      <c r="EF142" s="410"/>
      <c r="EG142" s="410"/>
      <c r="EH142" s="410"/>
      <c r="EI142" s="410"/>
      <c r="EJ142" s="410"/>
      <c r="EK142" s="410"/>
      <c r="EL142" s="410"/>
      <c r="EM142" s="410"/>
      <c r="EN142" s="410"/>
      <c r="EO142" s="410"/>
      <c r="EP142" s="410"/>
      <c r="EQ142" s="410"/>
      <c r="ER142" s="410"/>
      <c r="ES142" s="410"/>
      <c r="ET142" s="410"/>
      <c r="EU142" s="410"/>
      <c r="EV142" s="410"/>
      <c r="EW142" s="410"/>
      <c r="EX142" s="410"/>
      <c r="EY142" s="410"/>
      <c r="EZ142" s="410"/>
      <c r="FA142" s="410"/>
      <c r="FB142" s="410"/>
      <c r="FC142" s="410"/>
      <c r="FD142" s="410"/>
      <c r="FE142" s="410"/>
      <c r="FF142" s="410"/>
      <c r="FG142" s="410"/>
      <c r="FH142" s="410"/>
      <c r="FI142" s="410"/>
      <c r="FJ142" s="410"/>
      <c r="FK142" s="410"/>
      <c r="FL142" s="410"/>
      <c r="FM142" s="410"/>
      <c r="FN142" s="410"/>
      <c r="FO142" s="410"/>
      <c r="FP142" s="410"/>
      <c r="FQ142" s="410"/>
      <c r="FR142" s="410"/>
      <c r="FS142" s="410"/>
      <c r="FT142" s="410"/>
      <c r="FU142" s="410"/>
      <c r="FV142" s="410"/>
      <c r="FW142" s="410"/>
      <c r="FX142" s="410"/>
      <c r="FY142" s="410"/>
      <c r="FZ142" s="410"/>
      <c r="GA142" s="410"/>
      <c r="GB142" s="410"/>
      <c r="GC142" s="410"/>
      <c r="GD142" s="410"/>
      <c r="GE142" s="410"/>
      <c r="GF142" s="410"/>
      <c r="GG142" s="410"/>
      <c r="GH142" s="410"/>
      <c r="GI142" s="410"/>
      <c r="GJ142" s="410"/>
      <c r="GK142" s="410"/>
      <c r="GL142" s="410"/>
      <c r="GM142" s="410"/>
      <c r="GN142" s="410"/>
      <c r="GO142" s="410"/>
      <c r="GP142" s="410"/>
      <c r="GQ142" s="410"/>
      <c r="GR142" s="410"/>
      <c r="GS142" s="410"/>
      <c r="GT142" s="410"/>
      <c r="GU142" s="410"/>
      <c r="GV142" s="410"/>
      <c r="GW142" s="410"/>
      <c r="GX142" s="410"/>
      <c r="GY142" s="410"/>
      <c r="GZ142" s="410"/>
      <c r="HA142" s="410"/>
      <c r="HB142" s="410"/>
      <c r="HC142" s="410"/>
      <c r="HD142" s="410"/>
      <c r="HE142" s="410"/>
      <c r="HF142" s="410"/>
      <c r="HG142" s="410"/>
      <c r="HH142" s="410"/>
      <c r="HI142" s="410"/>
      <c r="HJ142" s="410"/>
      <c r="HK142" s="410"/>
      <c r="HL142" s="410"/>
      <c r="HM142" s="410"/>
      <c r="HN142" s="410"/>
      <c r="HO142" s="410"/>
      <c r="HP142" s="410"/>
      <c r="HQ142" s="410"/>
      <c r="HR142" s="410"/>
      <c r="HS142" s="410"/>
      <c r="HT142" s="410"/>
      <c r="HU142" s="410"/>
      <c r="HV142" s="410"/>
      <c r="HW142" s="410"/>
      <c r="HX142" s="410"/>
      <c r="HY142" s="410"/>
      <c r="HZ142" s="410"/>
      <c r="IA142" s="410"/>
      <c r="IB142" s="410"/>
      <c r="IC142" s="410"/>
      <c r="ID142" s="410"/>
      <c r="IE142" s="410"/>
      <c r="IF142" s="410"/>
      <c r="IG142" s="410"/>
      <c r="IH142" s="410"/>
      <c r="II142" s="410"/>
      <c r="IJ142" s="410"/>
      <c r="IK142" s="410"/>
      <c r="IL142" s="410"/>
      <c r="IM142" s="410"/>
    </row>
    <row r="143" spans="1:247" s="415" customFormat="1" ht="15" customHeight="1" thickBot="1" x14ac:dyDescent="0.3">
      <c r="A143" s="99">
        <v>1</v>
      </c>
      <c r="B143" s="428" t="s">
        <v>117</v>
      </c>
      <c r="C143" s="441">
        <f>C129</f>
        <v>0</v>
      </c>
      <c r="D143" s="441">
        <f>D129</f>
        <v>0</v>
      </c>
      <c r="E143" s="441">
        <f>E129</f>
        <v>0</v>
      </c>
      <c r="F143" s="441">
        <f t="shared" si="58"/>
        <v>0</v>
      </c>
      <c r="G143" s="442">
        <f>G129</f>
        <v>90492.85113000001</v>
      </c>
      <c r="H143" s="442">
        <f>H129</f>
        <v>37705.369999999995</v>
      </c>
      <c r="I143" s="442">
        <f>I129</f>
        <v>40646.633029999997</v>
      </c>
      <c r="J143" s="442">
        <f>J129</f>
        <v>107.80064757354191</v>
      </c>
      <c r="K143" s="410"/>
      <c r="L143" s="410"/>
      <c r="M143" s="410"/>
      <c r="N143" s="410"/>
      <c r="O143" s="410"/>
      <c r="P143" s="410"/>
      <c r="Q143" s="410"/>
      <c r="R143" s="410"/>
      <c r="S143" s="410"/>
      <c r="T143" s="410"/>
      <c r="U143" s="410"/>
      <c r="V143" s="410"/>
      <c r="W143" s="410"/>
      <c r="X143" s="410"/>
      <c r="Y143" s="410"/>
      <c r="Z143" s="410"/>
      <c r="AA143" s="410"/>
      <c r="AB143" s="410"/>
      <c r="AC143" s="410"/>
      <c r="AD143" s="410"/>
      <c r="AE143" s="410"/>
      <c r="AF143" s="410"/>
      <c r="AG143" s="410"/>
      <c r="AH143" s="410"/>
      <c r="AI143" s="410"/>
      <c r="AJ143" s="410"/>
      <c r="AK143" s="410"/>
      <c r="AL143" s="410"/>
      <c r="AM143" s="410"/>
      <c r="AN143" s="410"/>
      <c r="AO143" s="410"/>
      <c r="AP143" s="410"/>
      <c r="AQ143" s="410"/>
      <c r="AR143" s="410"/>
      <c r="AS143" s="410"/>
      <c r="AT143" s="410"/>
      <c r="AU143" s="410"/>
      <c r="AV143" s="410"/>
      <c r="AW143" s="410"/>
      <c r="AX143" s="410"/>
      <c r="AY143" s="410"/>
      <c r="AZ143" s="410"/>
      <c r="BA143" s="410"/>
      <c r="BB143" s="410"/>
      <c r="BC143" s="410"/>
      <c r="BD143" s="410"/>
      <c r="BE143" s="410"/>
      <c r="BF143" s="410"/>
      <c r="BG143" s="410"/>
      <c r="BH143" s="410"/>
      <c r="BI143" s="410"/>
      <c r="BJ143" s="410"/>
      <c r="BK143" s="410"/>
      <c r="BL143" s="410"/>
      <c r="BM143" s="410"/>
      <c r="BN143" s="410"/>
      <c r="BO143" s="410"/>
      <c r="BP143" s="410"/>
      <c r="BQ143" s="410"/>
      <c r="BR143" s="410"/>
      <c r="BS143" s="410"/>
      <c r="BT143" s="410"/>
      <c r="BU143" s="410"/>
      <c r="BV143" s="410"/>
      <c r="BW143" s="410"/>
      <c r="BX143" s="410"/>
      <c r="BY143" s="410"/>
      <c r="BZ143" s="410"/>
      <c r="CA143" s="410"/>
      <c r="CB143" s="410"/>
      <c r="CC143" s="410"/>
      <c r="CD143" s="410"/>
      <c r="CE143" s="410"/>
      <c r="CF143" s="410"/>
      <c r="CG143" s="410"/>
      <c r="CH143" s="410"/>
      <c r="CI143" s="410"/>
      <c r="CJ143" s="410"/>
      <c r="CK143" s="410"/>
      <c r="CL143" s="410"/>
      <c r="CM143" s="410"/>
      <c r="CN143" s="410"/>
      <c r="CO143" s="410"/>
      <c r="CP143" s="410"/>
      <c r="CQ143" s="410"/>
      <c r="CR143" s="410"/>
      <c r="CS143" s="410"/>
      <c r="CT143" s="410"/>
      <c r="CU143" s="410"/>
      <c r="CV143" s="410"/>
      <c r="CW143" s="410"/>
      <c r="CX143" s="410"/>
      <c r="CY143" s="410"/>
      <c r="CZ143" s="410"/>
      <c r="DA143" s="410"/>
      <c r="DB143" s="410"/>
      <c r="DC143" s="410"/>
      <c r="DD143" s="410"/>
      <c r="DE143" s="410"/>
      <c r="DF143" s="410"/>
      <c r="DG143" s="410"/>
      <c r="DH143" s="410"/>
      <c r="DI143" s="410"/>
      <c r="DJ143" s="410"/>
      <c r="DK143" s="410"/>
      <c r="DL143" s="410"/>
      <c r="DM143" s="410"/>
      <c r="DN143" s="410"/>
      <c r="DO143" s="410"/>
      <c r="DP143" s="410"/>
      <c r="DQ143" s="410"/>
      <c r="DR143" s="410"/>
      <c r="DS143" s="410"/>
      <c r="DT143" s="410"/>
      <c r="DU143" s="410"/>
      <c r="DV143" s="410"/>
      <c r="DW143" s="410"/>
      <c r="DX143" s="410"/>
      <c r="DY143" s="410"/>
      <c r="DZ143" s="410"/>
      <c r="EA143" s="410"/>
      <c r="EB143" s="410"/>
      <c r="EC143" s="410"/>
      <c r="ED143" s="410"/>
      <c r="EE143" s="410"/>
      <c r="EF143" s="410"/>
      <c r="EG143" s="410"/>
      <c r="EH143" s="410"/>
      <c r="EI143" s="410"/>
      <c r="EJ143" s="410"/>
      <c r="EK143" s="410"/>
      <c r="EL143" s="410"/>
      <c r="EM143" s="410"/>
      <c r="EN143" s="410"/>
      <c r="EO143" s="410"/>
      <c r="EP143" s="410"/>
      <c r="EQ143" s="410"/>
      <c r="ER143" s="410"/>
      <c r="ES143" s="410"/>
      <c r="ET143" s="410"/>
      <c r="EU143" s="410"/>
      <c r="EV143" s="410"/>
      <c r="EW143" s="410"/>
      <c r="EX143" s="410"/>
      <c r="EY143" s="410"/>
      <c r="EZ143" s="410"/>
      <c r="FA143" s="410"/>
      <c r="FB143" s="410"/>
      <c r="FC143" s="410"/>
      <c r="FD143" s="410"/>
      <c r="FE143" s="410"/>
      <c r="FF143" s="410"/>
      <c r="FG143" s="410"/>
      <c r="FH143" s="410"/>
      <c r="FI143" s="410"/>
      <c r="FJ143" s="410"/>
      <c r="FK143" s="410"/>
      <c r="FL143" s="410"/>
      <c r="FM143" s="410"/>
      <c r="FN143" s="410"/>
      <c r="FO143" s="410"/>
      <c r="FP143" s="410"/>
      <c r="FQ143" s="410"/>
      <c r="FR143" s="410"/>
      <c r="FS143" s="410"/>
      <c r="FT143" s="410"/>
      <c r="FU143" s="410"/>
      <c r="FV143" s="410"/>
      <c r="FW143" s="410"/>
      <c r="FX143" s="410"/>
      <c r="FY143" s="410"/>
      <c r="FZ143" s="410"/>
      <c r="GA143" s="410"/>
      <c r="GB143" s="410"/>
      <c r="GC143" s="410"/>
      <c r="GD143" s="410"/>
      <c r="GE143" s="410"/>
      <c r="GF143" s="410"/>
      <c r="GG143" s="410"/>
      <c r="GH143" s="410"/>
      <c r="GI143" s="410"/>
      <c r="GJ143" s="410"/>
      <c r="GK143" s="410"/>
      <c r="GL143" s="410"/>
      <c r="GM143" s="410"/>
      <c r="GN143" s="410"/>
      <c r="GO143" s="410"/>
      <c r="GP143" s="410"/>
      <c r="GQ143" s="410"/>
      <c r="GR143" s="410"/>
      <c r="GS143" s="410"/>
      <c r="GT143" s="410"/>
      <c r="GU143" s="410"/>
      <c r="GV143" s="410"/>
      <c r="GW143" s="410"/>
      <c r="GX143" s="410"/>
      <c r="GY143" s="410"/>
      <c r="GZ143" s="410"/>
      <c r="HA143" s="410"/>
      <c r="HB143" s="410"/>
      <c r="HC143" s="410"/>
      <c r="HD143" s="410"/>
      <c r="HE143" s="410"/>
      <c r="HF143" s="410"/>
      <c r="HG143" s="410"/>
      <c r="HH143" s="410"/>
      <c r="HI143" s="410"/>
      <c r="HJ143" s="410"/>
      <c r="HK143" s="410"/>
      <c r="HL143" s="410"/>
      <c r="HM143" s="410"/>
      <c r="HN143" s="410"/>
      <c r="HO143" s="410"/>
      <c r="HP143" s="410"/>
      <c r="HQ143" s="410"/>
      <c r="HR143" s="410"/>
      <c r="HS143" s="410"/>
      <c r="HT143" s="410"/>
      <c r="HU143" s="410"/>
      <c r="HV143" s="410"/>
      <c r="HW143" s="410"/>
      <c r="HX143" s="410"/>
      <c r="HY143" s="410"/>
      <c r="HZ143" s="410"/>
      <c r="IA143" s="410"/>
      <c r="IB143" s="410"/>
      <c r="IC143" s="410"/>
      <c r="ID143" s="410"/>
      <c r="IE143" s="410"/>
      <c r="IF143" s="410"/>
      <c r="IG143" s="410"/>
      <c r="IH143" s="410"/>
      <c r="II143" s="410"/>
      <c r="IJ143" s="410"/>
      <c r="IK143" s="410"/>
      <c r="IL143" s="410"/>
      <c r="IM143" s="410"/>
    </row>
    <row r="144" spans="1:247" ht="15" customHeight="1" thickBot="1" x14ac:dyDescent="0.3">
      <c r="A144" s="99">
        <v>1</v>
      </c>
      <c r="B144" s="443" t="s">
        <v>5</v>
      </c>
      <c r="C144" s="91"/>
      <c r="D144" s="91"/>
      <c r="E144" s="91"/>
      <c r="F144" s="91"/>
      <c r="G144" s="215"/>
      <c r="H144" s="215"/>
      <c r="I144" s="215"/>
      <c r="J144" s="215"/>
    </row>
    <row r="145" spans="1:10" ht="31.5" customHeight="1" x14ac:dyDescent="0.25">
      <c r="A145" s="99">
        <v>1</v>
      </c>
      <c r="B145" s="444" t="s">
        <v>50</v>
      </c>
      <c r="C145" s="64"/>
      <c r="D145" s="64"/>
      <c r="E145" s="64"/>
      <c r="F145" s="64"/>
      <c r="G145" s="216"/>
      <c r="H145" s="216"/>
      <c r="I145" s="216"/>
      <c r="J145" s="216"/>
    </row>
    <row r="146" spans="1:10" s="49" customFormat="1" ht="27.95" customHeight="1" x14ac:dyDescent="0.25">
      <c r="A146" s="99">
        <v>1</v>
      </c>
      <c r="B146" s="57" t="s">
        <v>120</v>
      </c>
      <c r="C146" s="54">
        <f>SUM(C147:C150)</f>
        <v>4526</v>
      </c>
      <c r="D146" s="54">
        <f>SUM(D147:D150)</f>
        <v>1886</v>
      </c>
      <c r="E146" s="54">
        <f>SUM(E147:E150)</f>
        <v>1303</v>
      </c>
      <c r="F146" s="54">
        <f>E146/D146*100</f>
        <v>69.088016967126194</v>
      </c>
      <c r="G146" s="205">
        <f>SUM(G147:G150)</f>
        <v>6987.4005500000003</v>
      </c>
      <c r="H146" s="205">
        <f>SUM(H147:H150)</f>
        <v>2911.42</v>
      </c>
      <c r="I146" s="205">
        <f>SUM(I147:I150)</f>
        <v>2108.2443200000002</v>
      </c>
      <c r="J146" s="205">
        <f t="shared" ref="J146:J158" si="61">I146/H146*100</f>
        <v>72.412922903600304</v>
      </c>
    </row>
    <row r="147" spans="1:10" s="49" customFormat="1" ht="27.95" customHeight="1" x14ac:dyDescent="0.25">
      <c r="A147" s="99">
        <v>1</v>
      </c>
      <c r="B147" s="57" t="s">
        <v>79</v>
      </c>
      <c r="C147" s="54">
        <v>3301</v>
      </c>
      <c r="D147" s="50">
        <f>ROUND(C147/12*$B$3,0)</f>
        <v>1375</v>
      </c>
      <c r="E147" s="54">
        <v>1017</v>
      </c>
      <c r="F147" s="54">
        <f>E147/D147*100</f>
        <v>73.963636363636368</v>
      </c>
      <c r="G147" s="205">
        <v>3896.5010000000002</v>
      </c>
      <c r="H147" s="323">
        <f t="shared" ref="H147:H150" si="62">ROUND(G147/12*$B$3,2)</f>
        <v>1623.54</v>
      </c>
      <c r="I147" s="205">
        <v>1313.0977</v>
      </c>
      <c r="J147" s="205">
        <f t="shared" si="61"/>
        <v>80.878678689776663</v>
      </c>
    </row>
    <row r="148" spans="1:10" s="49" customFormat="1" ht="27.95" customHeight="1" x14ac:dyDescent="0.25">
      <c r="A148" s="99">
        <v>1</v>
      </c>
      <c r="B148" s="57" t="s">
        <v>80</v>
      </c>
      <c r="C148" s="54">
        <v>991</v>
      </c>
      <c r="D148" s="50">
        <f>ROUND(C148/12*$B$3,0)</f>
        <v>413</v>
      </c>
      <c r="E148" s="54">
        <v>204</v>
      </c>
      <c r="F148" s="54">
        <f>E148/D148*100</f>
        <v>49.394673123486683</v>
      </c>
      <c r="G148" s="205">
        <v>1555.3728299999998</v>
      </c>
      <c r="H148" s="323">
        <f t="shared" si="62"/>
        <v>648.07000000000005</v>
      </c>
      <c r="I148" s="205">
        <v>294.46107000000001</v>
      </c>
      <c r="J148" s="205">
        <f t="shared" si="61"/>
        <v>45.43661487185026</v>
      </c>
    </row>
    <row r="149" spans="1:10" s="49" customFormat="1" ht="27.95" customHeight="1" x14ac:dyDescent="0.25">
      <c r="A149" s="99">
        <v>1</v>
      </c>
      <c r="B149" s="57" t="s">
        <v>114</v>
      </c>
      <c r="C149" s="54">
        <v>54</v>
      </c>
      <c r="D149" s="50">
        <f>ROUND(C149/12*$B$3,0)</f>
        <v>23</v>
      </c>
      <c r="E149" s="54">
        <v>49</v>
      </c>
      <c r="F149" s="54">
        <f>E149/D149*100</f>
        <v>213.04347826086959</v>
      </c>
      <c r="G149" s="205">
        <v>354.35232000000002</v>
      </c>
      <c r="H149" s="323">
        <f t="shared" si="62"/>
        <v>147.65</v>
      </c>
      <c r="I149" s="205">
        <v>321.54192</v>
      </c>
      <c r="J149" s="205">
        <f t="shared" si="61"/>
        <v>217.77305790721303</v>
      </c>
    </row>
    <row r="150" spans="1:10" s="49" customFormat="1" ht="27.95" customHeight="1" x14ac:dyDescent="0.25">
      <c r="A150" s="99">
        <v>1</v>
      </c>
      <c r="B150" s="57" t="s">
        <v>115</v>
      </c>
      <c r="C150" s="54">
        <v>180</v>
      </c>
      <c r="D150" s="50">
        <f>ROUND(C150/12*$B$3,0)</f>
        <v>75</v>
      </c>
      <c r="E150" s="54">
        <v>33</v>
      </c>
      <c r="F150" s="54">
        <f t="shared" ref="F150:F154" si="63">E150/D150*100</f>
        <v>44</v>
      </c>
      <c r="G150" s="205">
        <v>1181.1743999999999</v>
      </c>
      <c r="H150" s="323">
        <f t="shared" si="62"/>
        <v>492.16</v>
      </c>
      <c r="I150" s="205">
        <v>179.14362999999997</v>
      </c>
      <c r="J150" s="205">
        <f t="shared" si="61"/>
        <v>36.399469684655386</v>
      </c>
    </row>
    <row r="151" spans="1:10" s="49" customFormat="1" ht="27.95" customHeight="1" x14ac:dyDescent="0.25">
      <c r="A151" s="99">
        <v>1</v>
      </c>
      <c r="B151" s="57" t="s">
        <v>112</v>
      </c>
      <c r="C151" s="54">
        <f>SUM(C152:C154)</f>
        <v>6794</v>
      </c>
      <c r="D151" s="54">
        <f>SUM(D152:D154)</f>
        <v>2831</v>
      </c>
      <c r="E151" s="54">
        <f>SUM(E152:E154)</f>
        <v>1726</v>
      </c>
      <c r="F151" s="54">
        <f t="shared" si="63"/>
        <v>60.967855881314023</v>
      </c>
      <c r="G151" s="199">
        <f>SUM(G152:G154)</f>
        <v>14743.89975</v>
      </c>
      <c r="H151" s="199">
        <f>SUM(H152:H154)</f>
        <v>6143.3000000000011</v>
      </c>
      <c r="I151" s="199">
        <f>SUM(I152:I154)</f>
        <v>3831.3955000000005</v>
      </c>
      <c r="J151" s="205">
        <f t="shared" si="61"/>
        <v>62.367058421369613</v>
      </c>
    </row>
    <row r="152" spans="1:10" s="49" customFormat="1" ht="27.95" customHeight="1" x14ac:dyDescent="0.25">
      <c r="A152" s="99">
        <v>1</v>
      </c>
      <c r="B152" s="57" t="s">
        <v>108</v>
      </c>
      <c r="C152" s="54">
        <v>938</v>
      </c>
      <c r="D152" s="50">
        <f t="shared" ref="D152:D157" si="64">ROUND(C152/12*$B$3,0)</f>
        <v>391</v>
      </c>
      <c r="E152" s="54">
        <v>272</v>
      </c>
      <c r="F152" s="54">
        <f t="shared" si="63"/>
        <v>69.565217391304344</v>
      </c>
      <c r="G152" s="205">
        <f>1989038.38/1000</f>
        <v>1989.03838</v>
      </c>
      <c r="H152" s="323">
        <f t="shared" ref="H152:H157" si="65">ROUND(G152/12*$B$3,2)</f>
        <v>828.77</v>
      </c>
      <c r="I152" s="205">
        <v>578.80268000000001</v>
      </c>
      <c r="J152" s="205">
        <f t="shared" si="61"/>
        <v>69.838758642325374</v>
      </c>
    </row>
    <row r="153" spans="1:10" s="49" customFormat="1" ht="55.5" customHeight="1" x14ac:dyDescent="0.25">
      <c r="A153" s="99">
        <v>1</v>
      </c>
      <c r="B153" s="57" t="s">
        <v>119</v>
      </c>
      <c r="C153" s="54">
        <v>5141</v>
      </c>
      <c r="D153" s="50">
        <f t="shared" si="64"/>
        <v>2142</v>
      </c>
      <c r="E153" s="54">
        <v>976</v>
      </c>
      <c r="F153" s="54">
        <f t="shared" si="63"/>
        <v>45.564892623716155</v>
      </c>
      <c r="G153" s="205">
        <f>12054046.97/1000</f>
        <v>12054.046970000001</v>
      </c>
      <c r="H153" s="323">
        <f t="shared" si="65"/>
        <v>5022.5200000000004</v>
      </c>
      <c r="I153" s="205">
        <v>2757.3841100000004</v>
      </c>
      <c r="J153" s="205">
        <f t="shared" si="61"/>
        <v>54.900410749982086</v>
      </c>
    </row>
    <row r="154" spans="1:10" s="49" customFormat="1" ht="48" customHeight="1" x14ac:dyDescent="0.25">
      <c r="A154" s="99">
        <v>1</v>
      </c>
      <c r="B154" s="57" t="s">
        <v>109</v>
      </c>
      <c r="C154" s="54">
        <v>715</v>
      </c>
      <c r="D154" s="50">
        <f t="shared" si="64"/>
        <v>298</v>
      </c>
      <c r="E154" s="54">
        <v>478</v>
      </c>
      <c r="F154" s="54">
        <f t="shared" si="63"/>
        <v>160.40268456375838</v>
      </c>
      <c r="G154" s="205">
        <f>700814.4/1000</f>
        <v>700.81439999999998</v>
      </c>
      <c r="H154" s="323">
        <f t="shared" si="65"/>
        <v>292.01</v>
      </c>
      <c r="I154" s="205">
        <v>495.20870999999988</v>
      </c>
      <c r="J154" s="205">
        <f t="shared" si="61"/>
        <v>169.5862162254717</v>
      </c>
    </row>
    <row r="155" spans="1:10" s="49" customFormat="1" ht="27.95" customHeight="1" x14ac:dyDescent="0.25">
      <c r="A155" s="99"/>
      <c r="B155" s="351" t="s">
        <v>123</v>
      </c>
      <c r="C155" s="54">
        <v>13487</v>
      </c>
      <c r="D155" s="50">
        <f t="shared" si="64"/>
        <v>5620</v>
      </c>
      <c r="E155" s="54">
        <f>1825+E156+E157</f>
        <v>2149</v>
      </c>
      <c r="F155" s="54">
        <f>E155/D155*100</f>
        <v>38.238434163701065</v>
      </c>
      <c r="G155" s="205">
        <v>13125.818140000001</v>
      </c>
      <c r="H155" s="323">
        <f t="shared" si="65"/>
        <v>5469.09</v>
      </c>
      <c r="I155" s="205">
        <f>1706.68461+I156+I157</f>
        <v>2019.3933599999998</v>
      </c>
      <c r="J155" s="205">
        <f>I155/H155*100</f>
        <v>36.923754408868746</v>
      </c>
    </row>
    <row r="156" spans="1:10" s="49" customFormat="1" ht="27.95" customHeight="1" x14ac:dyDescent="0.25">
      <c r="A156" s="99"/>
      <c r="B156" s="351" t="s">
        <v>124</v>
      </c>
      <c r="C156" s="54">
        <v>700</v>
      </c>
      <c r="D156" s="50">
        <f t="shared" si="64"/>
        <v>292</v>
      </c>
      <c r="E156" s="54">
        <v>243</v>
      </c>
      <c r="F156" s="54">
        <f>E156/D156*100</f>
        <v>83.219178082191775</v>
      </c>
      <c r="G156" s="205">
        <f>$G$155/$C$155*C156</f>
        <v>681.25400000000002</v>
      </c>
      <c r="H156" s="323">
        <f t="shared" si="65"/>
        <v>283.86</v>
      </c>
      <c r="I156" s="205">
        <v>234.20618999999996</v>
      </c>
      <c r="J156" s="205">
        <f t="shared" ref="J156:J157" si="66">I156/H156*100</f>
        <v>82.50764109067849</v>
      </c>
    </row>
    <row r="157" spans="1:10" s="49" customFormat="1" ht="21.75" customHeight="1" thickBot="1" x14ac:dyDescent="0.3">
      <c r="A157" s="99"/>
      <c r="B157" s="351" t="s">
        <v>125</v>
      </c>
      <c r="C157" s="54">
        <v>300</v>
      </c>
      <c r="D157" s="50">
        <f t="shared" si="64"/>
        <v>125</v>
      </c>
      <c r="E157" s="54">
        <v>81</v>
      </c>
      <c r="F157" s="54">
        <f>E157/D157*100</f>
        <v>64.8</v>
      </c>
      <c r="G157" s="205">
        <f>$G$155/$C$155*C157</f>
        <v>291.96600000000001</v>
      </c>
      <c r="H157" s="323">
        <f t="shared" si="65"/>
        <v>121.65</v>
      </c>
      <c r="I157" s="205">
        <v>78.502560000000003</v>
      </c>
      <c r="J157" s="205">
        <f t="shared" si="66"/>
        <v>64.531491985203445</v>
      </c>
    </row>
    <row r="158" spans="1:10" s="49" customFormat="1" ht="15" customHeight="1" thickBot="1" x14ac:dyDescent="0.3">
      <c r="A158" s="99">
        <v>1</v>
      </c>
      <c r="B158" s="445" t="s">
        <v>3</v>
      </c>
      <c r="C158" s="56"/>
      <c r="D158" s="56"/>
      <c r="E158" s="56"/>
      <c r="F158" s="54"/>
      <c r="G158" s="209">
        <f>G151+G146+G155</f>
        <v>34857.118440000006</v>
      </c>
      <c r="H158" s="209">
        <f>H151+H146+H155</f>
        <v>14523.810000000001</v>
      </c>
      <c r="I158" s="209">
        <f>I151+I146+I155</f>
        <v>7959.0331800000004</v>
      </c>
      <c r="J158" s="209">
        <f t="shared" si="61"/>
        <v>54.799898786888555</v>
      </c>
    </row>
    <row r="159" spans="1:10" s="49" customFormat="1" ht="15" customHeight="1" thickBot="1" x14ac:dyDescent="0.3">
      <c r="A159" s="99">
        <v>1</v>
      </c>
      <c r="C159" s="127"/>
      <c r="D159" s="127"/>
      <c r="E159" s="127"/>
      <c r="F159" s="446"/>
      <c r="G159" s="217"/>
      <c r="H159" s="217"/>
      <c r="I159" s="217"/>
      <c r="J159" s="217"/>
    </row>
    <row r="160" spans="1:10" ht="43.5" x14ac:dyDescent="0.25">
      <c r="A160" s="99">
        <v>1</v>
      </c>
      <c r="B160" s="447" t="s">
        <v>58</v>
      </c>
      <c r="C160" s="126"/>
      <c r="D160" s="126"/>
      <c r="E160" s="126"/>
      <c r="F160" s="126"/>
      <c r="G160" s="218"/>
      <c r="H160" s="218"/>
      <c r="I160" s="218"/>
      <c r="J160" s="218"/>
    </row>
    <row r="161" spans="1:10" s="49" customFormat="1" ht="30" customHeight="1" x14ac:dyDescent="0.25">
      <c r="A161" s="99">
        <v>1</v>
      </c>
      <c r="B161" s="57" t="s">
        <v>120</v>
      </c>
      <c r="C161" s="54">
        <f>SUM(C162:C163)</f>
        <v>1167</v>
      </c>
      <c r="D161" s="54">
        <f>SUM(D162:D163)</f>
        <v>486</v>
      </c>
      <c r="E161" s="54">
        <f>SUM(E162:E163)</f>
        <v>388</v>
      </c>
      <c r="F161" s="54">
        <f t="shared" ref="F161:F167" si="67">E161/D161*100</f>
        <v>79.835390946502059</v>
      </c>
      <c r="G161" s="205">
        <f>SUM(G162:G163)</f>
        <v>1768.9442899999999</v>
      </c>
      <c r="H161" s="205">
        <f>SUM(H162:H163)</f>
        <v>737.06</v>
      </c>
      <c r="I161" s="205">
        <f>SUM(I162:I163)</f>
        <v>597.18795999999998</v>
      </c>
      <c r="J161" s="205">
        <f t="shared" ref="J161:J168" si="68">I161/H161*100</f>
        <v>81.022977776571793</v>
      </c>
    </row>
    <row r="162" spans="1:10" s="49" customFormat="1" ht="30" customHeight="1" x14ac:dyDescent="0.25">
      <c r="A162" s="99">
        <v>1</v>
      </c>
      <c r="B162" s="57" t="s">
        <v>79</v>
      </c>
      <c r="C162" s="54">
        <v>898</v>
      </c>
      <c r="D162" s="50">
        <f>ROUND(C162/12*$B$3,0)</f>
        <v>374</v>
      </c>
      <c r="E162" s="54">
        <v>377</v>
      </c>
      <c r="F162" s="54">
        <f t="shared" si="67"/>
        <v>100.80213903743316</v>
      </c>
      <c r="G162" s="205">
        <v>1253.1483999999998</v>
      </c>
      <c r="H162" s="323">
        <f t="shared" ref="H162:H163" si="69">ROUND(G162/12*$B$3,2)</f>
        <v>522.15</v>
      </c>
      <c r="I162" s="205">
        <v>575.87301000000002</v>
      </c>
      <c r="J162" s="205">
        <f t="shared" si="68"/>
        <v>110.2888078138466</v>
      </c>
    </row>
    <row r="163" spans="1:10" s="49" customFormat="1" ht="30" customHeight="1" x14ac:dyDescent="0.25">
      <c r="A163" s="99">
        <v>1</v>
      </c>
      <c r="B163" s="57" t="s">
        <v>80</v>
      </c>
      <c r="C163" s="54">
        <v>269</v>
      </c>
      <c r="D163" s="50">
        <f>ROUND(C163/12*$B$3,0)</f>
        <v>112</v>
      </c>
      <c r="E163" s="54">
        <v>11</v>
      </c>
      <c r="F163" s="54">
        <f t="shared" si="67"/>
        <v>9.8214285714285712</v>
      </c>
      <c r="G163" s="205">
        <v>515.79588999999999</v>
      </c>
      <c r="H163" s="323">
        <f t="shared" si="69"/>
        <v>214.91</v>
      </c>
      <c r="I163" s="205">
        <v>21.314950000000003</v>
      </c>
      <c r="J163" s="205">
        <f t="shared" si="68"/>
        <v>9.9180819878088524</v>
      </c>
    </row>
    <row r="164" spans="1:10" s="49" customFormat="1" ht="30" customHeight="1" x14ac:dyDescent="0.25">
      <c r="A164" s="99">
        <v>1</v>
      </c>
      <c r="B164" s="57" t="s">
        <v>112</v>
      </c>
      <c r="C164" s="54">
        <f>SUM(C165)</f>
        <v>200</v>
      </c>
      <c r="D164" s="54">
        <f t="shared" ref="D164:I164" si="70">SUM(D165)</f>
        <v>83</v>
      </c>
      <c r="E164" s="54">
        <f t="shared" si="70"/>
        <v>25</v>
      </c>
      <c r="F164" s="54">
        <f t="shared" si="67"/>
        <v>30.120481927710845</v>
      </c>
      <c r="G164" s="199">
        <f t="shared" si="70"/>
        <v>424.10199999999998</v>
      </c>
      <c r="H164" s="199">
        <f t="shared" si="70"/>
        <v>176.71</v>
      </c>
      <c r="I164" s="199">
        <f t="shared" si="70"/>
        <v>51.621670000000002</v>
      </c>
      <c r="J164" s="205">
        <f t="shared" si="68"/>
        <v>29.212647841095578</v>
      </c>
    </row>
    <row r="165" spans="1:10" s="49" customFormat="1" ht="30" customHeight="1" x14ac:dyDescent="0.25">
      <c r="A165" s="99">
        <v>1</v>
      </c>
      <c r="B165" s="57" t="s">
        <v>108</v>
      </c>
      <c r="C165" s="54">
        <v>200</v>
      </c>
      <c r="D165" s="50">
        <f>ROUND(C165/12*$B$3,0)</f>
        <v>83</v>
      </c>
      <c r="E165" s="54">
        <v>25</v>
      </c>
      <c r="F165" s="54">
        <f t="shared" si="67"/>
        <v>30.120481927710845</v>
      </c>
      <c r="G165" s="205">
        <f>424102/1000</f>
        <v>424.10199999999998</v>
      </c>
      <c r="H165" s="323">
        <f t="shared" ref="H165:H167" si="71">ROUND(G165/12*$B$3,2)</f>
        <v>176.71</v>
      </c>
      <c r="I165" s="205">
        <v>51.621670000000002</v>
      </c>
      <c r="J165" s="205">
        <f t="shared" si="68"/>
        <v>29.212647841095578</v>
      </c>
    </row>
    <row r="166" spans="1:10" s="49" customFormat="1" ht="30" customHeight="1" x14ac:dyDescent="0.25">
      <c r="A166" s="99"/>
      <c r="B166" s="408" t="s">
        <v>123</v>
      </c>
      <c r="C166" s="54">
        <v>1000</v>
      </c>
      <c r="D166" s="50">
        <f>ROUND(C166/12*$B$3,0)</f>
        <v>417</v>
      </c>
      <c r="E166" s="54">
        <f>226+E167</f>
        <v>349</v>
      </c>
      <c r="F166" s="54">
        <f t="shared" si="67"/>
        <v>83.693045563549163</v>
      </c>
      <c r="G166" s="205">
        <v>973.22</v>
      </c>
      <c r="H166" s="323">
        <f t="shared" si="71"/>
        <v>405.51</v>
      </c>
      <c r="I166" s="205">
        <f>214.56841+I167</f>
        <v>328.6825</v>
      </c>
      <c r="J166" s="205">
        <f>I166/H166*100</f>
        <v>81.054104707652101</v>
      </c>
    </row>
    <row r="167" spans="1:10" s="49" customFormat="1" ht="30" customHeight="1" x14ac:dyDescent="0.25">
      <c r="A167" s="99"/>
      <c r="B167" s="408" t="s">
        <v>125</v>
      </c>
      <c r="C167" s="54">
        <v>300</v>
      </c>
      <c r="D167" s="50">
        <f>ROUND(C167/12*$B$3,0)</f>
        <v>125</v>
      </c>
      <c r="E167" s="54">
        <v>123</v>
      </c>
      <c r="F167" s="54">
        <f t="shared" si="67"/>
        <v>98.4</v>
      </c>
      <c r="G167" s="205">
        <v>291.96600000000001</v>
      </c>
      <c r="H167" s="323">
        <f t="shared" si="71"/>
        <v>121.65</v>
      </c>
      <c r="I167" s="205">
        <v>114.11409</v>
      </c>
      <c r="J167" s="205">
        <f>I167/H167*100</f>
        <v>93.805252774352653</v>
      </c>
    </row>
    <row r="168" spans="1:10" s="49" customFormat="1" ht="17.25" customHeight="1" thickBot="1" x14ac:dyDescent="0.3">
      <c r="A168" s="99">
        <v>1</v>
      </c>
      <c r="B168" s="448" t="s">
        <v>3</v>
      </c>
      <c r="C168" s="56"/>
      <c r="D168" s="56"/>
      <c r="E168" s="56"/>
      <c r="F168" s="54"/>
      <c r="G168" s="211">
        <f>G161+G164+G166</f>
        <v>3166.2662899999996</v>
      </c>
      <c r="H168" s="211">
        <f>H161+H164+H166</f>
        <v>1319.28</v>
      </c>
      <c r="I168" s="211">
        <f>I161+I164+I166</f>
        <v>977.49212999999997</v>
      </c>
      <c r="J168" s="209">
        <f t="shared" si="68"/>
        <v>74.092848371839182</v>
      </c>
    </row>
    <row r="169" spans="1:10" x14ac:dyDescent="0.25">
      <c r="A169" s="99">
        <v>1</v>
      </c>
      <c r="B169" s="449" t="s">
        <v>95</v>
      </c>
      <c r="C169" s="450"/>
      <c r="D169" s="450"/>
      <c r="E169" s="450"/>
      <c r="F169" s="450"/>
      <c r="G169" s="451"/>
      <c r="H169" s="451"/>
      <c r="I169" s="451"/>
      <c r="J169" s="451"/>
    </row>
    <row r="170" spans="1:10" ht="27.95" customHeight="1" x14ac:dyDescent="0.25">
      <c r="A170" s="99">
        <v>1</v>
      </c>
      <c r="B170" s="121" t="s">
        <v>120</v>
      </c>
      <c r="C170" s="302">
        <f t="shared" ref="C170:E172" si="72">C161+C146</f>
        <v>5693</v>
      </c>
      <c r="D170" s="302">
        <f t="shared" si="72"/>
        <v>2372</v>
      </c>
      <c r="E170" s="302">
        <f t="shared" si="72"/>
        <v>1691</v>
      </c>
      <c r="F170" s="302">
        <f>E170/D170*100</f>
        <v>71.290050590219224</v>
      </c>
      <c r="G170" s="209">
        <f t="shared" ref="G170:I172" si="73">SUM(G161,G146)</f>
        <v>8756.3448399999997</v>
      </c>
      <c r="H170" s="209">
        <f t="shared" si="73"/>
        <v>3648.48</v>
      </c>
      <c r="I170" s="209">
        <f t="shared" si="73"/>
        <v>2705.43228</v>
      </c>
      <c r="J170" s="209">
        <f>I170/H170*100</f>
        <v>74.152312195763713</v>
      </c>
    </row>
    <row r="171" spans="1:10" ht="27.95" customHeight="1" x14ac:dyDescent="0.25">
      <c r="A171" s="99">
        <v>1</v>
      </c>
      <c r="B171" s="57" t="s">
        <v>79</v>
      </c>
      <c r="C171" s="302">
        <f t="shared" si="72"/>
        <v>4199</v>
      </c>
      <c r="D171" s="302">
        <f t="shared" si="72"/>
        <v>1749</v>
      </c>
      <c r="E171" s="302">
        <f t="shared" si="72"/>
        <v>1394</v>
      </c>
      <c r="F171" s="302">
        <f>E171/D171*100</f>
        <v>79.702687249857064</v>
      </c>
      <c r="G171" s="209">
        <f t="shared" si="73"/>
        <v>5149.6494000000002</v>
      </c>
      <c r="H171" s="209">
        <f t="shared" si="73"/>
        <v>2145.69</v>
      </c>
      <c r="I171" s="209">
        <f t="shared" si="73"/>
        <v>1888.9707100000001</v>
      </c>
      <c r="J171" s="209">
        <f t="shared" ref="J171:J182" si="74">I171/H171*100</f>
        <v>88.03558342537832</v>
      </c>
    </row>
    <row r="172" spans="1:10" ht="27.95" customHeight="1" x14ac:dyDescent="0.25">
      <c r="A172" s="99">
        <v>1</v>
      </c>
      <c r="B172" s="57" t="s">
        <v>80</v>
      </c>
      <c r="C172" s="302">
        <f t="shared" si="72"/>
        <v>1260</v>
      </c>
      <c r="D172" s="302">
        <f t="shared" si="72"/>
        <v>525</v>
      </c>
      <c r="E172" s="302">
        <f t="shared" si="72"/>
        <v>215</v>
      </c>
      <c r="F172" s="302">
        <f>E172/D172*100</f>
        <v>40.952380952380949</v>
      </c>
      <c r="G172" s="209">
        <f t="shared" si="73"/>
        <v>2071.1687199999997</v>
      </c>
      <c r="H172" s="209">
        <f t="shared" si="73"/>
        <v>862.98</v>
      </c>
      <c r="I172" s="209">
        <f t="shared" si="73"/>
        <v>315.77602000000002</v>
      </c>
      <c r="J172" s="209">
        <f t="shared" si="74"/>
        <v>36.59134858281768</v>
      </c>
    </row>
    <row r="173" spans="1:10" ht="27.95" customHeight="1" x14ac:dyDescent="0.25">
      <c r="A173" s="99">
        <v>1</v>
      </c>
      <c r="B173" s="57" t="s">
        <v>114</v>
      </c>
      <c r="C173" s="302">
        <f t="shared" ref="C173:E174" si="75">C149</f>
        <v>54</v>
      </c>
      <c r="D173" s="302">
        <f t="shared" si="75"/>
        <v>23</v>
      </c>
      <c r="E173" s="302">
        <f t="shared" si="75"/>
        <v>49</v>
      </c>
      <c r="F173" s="302">
        <f>E173/D173*100</f>
        <v>213.04347826086959</v>
      </c>
      <c r="G173" s="209">
        <f t="shared" ref="G173:I174" si="76">G149</f>
        <v>354.35232000000002</v>
      </c>
      <c r="H173" s="209">
        <f t="shared" si="76"/>
        <v>147.65</v>
      </c>
      <c r="I173" s="209">
        <f t="shared" si="76"/>
        <v>321.54192</v>
      </c>
      <c r="J173" s="209">
        <f t="shared" si="74"/>
        <v>217.77305790721303</v>
      </c>
    </row>
    <row r="174" spans="1:10" ht="27.95" customHeight="1" x14ac:dyDescent="0.25">
      <c r="A174" s="99">
        <v>1</v>
      </c>
      <c r="B174" s="57" t="s">
        <v>115</v>
      </c>
      <c r="C174" s="302">
        <f t="shared" si="75"/>
        <v>180</v>
      </c>
      <c r="D174" s="302">
        <f t="shared" si="75"/>
        <v>75</v>
      </c>
      <c r="E174" s="302">
        <f t="shared" si="75"/>
        <v>33</v>
      </c>
      <c r="F174" s="302">
        <f>E174/D174*100</f>
        <v>44</v>
      </c>
      <c r="G174" s="209">
        <f t="shared" si="76"/>
        <v>1181.1743999999999</v>
      </c>
      <c r="H174" s="209">
        <f t="shared" si="76"/>
        <v>492.16</v>
      </c>
      <c r="I174" s="209">
        <f t="shared" si="76"/>
        <v>179.14362999999997</v>
      </c>
      <c r="J174" s="209">
        <f t="shared" si="74"/>
        <v>36.399469684655386</v>
      </c>
    </row>
    <row r="175" spans="1:10" ht="27.95" customHeight="1" x14ac:dyDescent="0.25">
      <c r="A175" s="99">
        <v>1</v>
      </c>
      <c r="B175" s="121" t="s">
        <v>112</v>
      </c>
      <c r="C175" s="302">
        <f t="shared" ref="C175:I176" si="77">SUM(C164,C151)</f>
        <v>6994</v>
      </c>
      <c r="D175" s="302">
        <f t="shared" si="77"/>
        <v>2914</v>
      </c>
      <c r="E175" s="302">
        <f t="shared" si="77"/>
        <v>1751</v>
      </c>
      <c r="F175" s="302">
        <f t="shared" si="77"/>
        <v>91.088337809024864</v>
      </c>
      <c r="G175" s="209">
        <f t="shared" si="77"/>
        <v>15168.001750000001</v>
      </c>
      <c r="H175" s="209">
        <f t="shared" si="77"/>
        <v>6320.0100000000011</v>
      </c>
      <c r="I175" s="209">
        <f t="shared" si="77"/>
        <v>3883.0171700000005</v>
      </c>
      <c r="J175" s="209">
        <f t="shared" si="74"/>
        <v>61.440047879671077</v>
      </c>
    </row>
    <row r="176" spans="1:10" ht="27.95" customHeight="1" x14ac:dyDescent="0.25">
      <c r="A176" s="99">
        <v>1</v>
      </c>
      <c r="B176" s="57" t="s">
        <v>108</v>
      </c>
      <c r="C176" s="302">
        <f t="shared" si="77"/>
        <v>1138</v>
      </c>
      <c r="D176" s="302">
        <f t="shared" si="77"/>
        <v>474</v>
      </c>
      <c r="E176" s="302">
        <f t="shared" si="77"/>
        <v>297</v>
      </c>
      <c r="F176" s="302">
        <f t="shared" si="77"/>
        <v>99.685699319015185</v>
      </c>
      <c r="G176" s="209">
        <f t="shared" si="77"/>
        <v>2413.1403799999998</v>
      </c>
      <c r="H176" s="209">
        <f t="shared" si="77"/>
        <v>1005.48</v>
      </c>
      <c r="I176" s="209">
        <f t="shared" si="77"/>
        <v>630.42435</v>
      </c>
      <c r="J176" s="209">
        <f t="shared" si="74"/>
        <v>62.698845327604722</v>
      </c>
    </row>
    <row r="177" spans="1:10" ht="60" x14ac:dyDescent="0.25">
      <c r="A177" s="99">
        <v>1</v>
      </c>
      <c r="B177" s="57" t="s">
        <v>81</v>
      </c>
      <c r="C177" s="302">
        <f t="shared" ref="C177:I178" si="78">C153</f>
        <v>5141</v>
      </c>
      <c r="D177" s="302">
        <f t="shared" si="78"/>
        <v>2142</v>
      </c>
      <c r="E177" s="302">
        <f t="shared" si="78"/>
        <v>976</v>
      </c>
      <c r="F177" s="302">
        <f t="shared" si="78"/>
        <v>45.564892623716155</v>
      </c>
      <c r="G177" s="209">
        <f t="shared" si="78"/>
        <v>12054.046970000001</v>
      </c>
      <c r="H177" s="209">
        <f t="shared" si="78"/>
        <v>5022.5200000000004</v>
      </c>
      <c r="I177" s="209">
        <f t="shared" si="78"/>
        <v>2757.3841100000004</v>
      </c>
      <c r="J177" s="209">
        <f t="shared" si="74"/>
        <v>54.900410749982086</v>
      </c>
    </row>
    <row r="178" spans="1:10" ht="45" x14ac:dyDescent="0.25">
      <c r="A178" s="99">
        <v>1</v>
      </c>
      <c r="B178" s="57" t="s">
        <v>109</v>
      </c>
      <c r="C178" s="302">
        <f t="shared" si="78"/>
        <v>715</v>
      </c>
      <c r="D178" s="302">
        <f t="shared" si="78"/>
        <v>298</v>
      </c>
      <c r="E178" s="302">
        <f t="shared" si="78"/>
        <v>478</v>
      </c>
      <c r="F178" s="302">
        <f t="shared" si="78"/>
        <v>160.40268456375838</v>
      </c>
      <c r="G178" s="209">
        <f t="shared" si="78"/>
        <v>700.81439999999998</v>
      </c>
      <c r="H178" s="209">
        <f t="shared" si="78"/>
        <v>292.01</v>
      </c>
      <c r="I178" s="209">
        <f t="shared" si="78"/>
        <v>495.20870999999988</v>
      </c>
      <c r="J178" s="209">
        <f t="shared" si="74"/>
        <v>169.5862162254717</v>
      </c>
    </row>
    <row r="179" spans="1:10" ht="35.25" customHeight="1" x14ac:dyDescent="0.25">
      <c r="A179" s="99"/>
      <c r="B179" s="452" t="s">
        <v>123</v>
      </c>
      <c r="C179" s="69">
        <f>SUM(C166,C155)</f>
        <v>14487</v>
      </c>
      <c r="D179" s="69">
        <f>SUM(D166,D155)</f>
        <v>6037</v>
      </c>
      <c r="E179" s="69">
        <f>SUM(E166,E155)</f>
        <v>2498</v>
      </c>
      <c r="F179" s="453">
        <f>F155</f>
        <v>38.238434163701065</v>
      </c>
      <c r="G179" s="69">
        <f>SUM(G166,G155)</f>
        <v>14099.038140000001</v>
      </c>
      <c r="H179" s="69">
        <f>SUM(H166,H155)</f>
        <v>5874.6</v>
      </c>
      <c r="I179" s="69">
        <f>SUM(I166,I155)</f>
        <v>2348.0758599999999</v>
      </c>
      <c r="J179" s="331">
        <f t="shared" si="74"/>
        <v>39.969970040513388</v>
      </c>
    </row>
    <row r="180" spans="1:10" ht="35.25" customHeight="1" x14ac:dyDescent="0.25">
      <c r="A180" s="99"/>
      <c r="B180" s="452" t="s">
        <v>124</v>
      </c>
      <c r="C180" s="69">
        <f>SUM(C156)</f>
        <v>700</v>
      </c>
      <c r="D180" s="69">
        <f>SUM(D156)</f>
        <v>292</v>
      </c>
      <c r="E180" s="69">
        <f>SUM(E156)</f>
        <v>243</v>
      </c>
      <c r="F180" s="453">
        <f>F156</f>
        <v>83.219178082191775</v>
      </c>
      <c r="G180" s="69">
        <f>SUM(G156)</f>
        <v>681.25400000000002</v>
      </c>
      <c r="H180" s="69">
        <f>SUM(H156)</f>
        <v>283.86</v>
      </c>
      <c r="I180" s="69">
        <f>SUM(I156)</f>
        <v>234.20618999999996</v>
      </c>
      <c r="J180" s="331"/>
    </row>
    <row r="181" spans="1:10" ht="35.25" customHeight="1" x14ac:dyDescent="0.25">
      <c r="A181" s="99"/>
      <c r="B181" s="452" t="s">
        <v>125</v>
      </c>
      <c r="C181" s="69">
        <f t="shared" ref="C181:D181" si="79">SUM(C167,C157)</f>
        <v>600</v>
      </c>
      <c r="D181" s="69">
        <f t="shared" si="79"/>
        <v>250</v>
      </c>
      <c r="E181" s="69">
        <f>SUM(E167,E157)</f>
        <v>204</v>
      </c>
      <c r="F181" s="453">
        <f>F157</f>
        <v>64.8</v>
      </c>
      <c r="G181" s="69">
        <f t="shared" ref="G181:I181" si="80">SUM(G167,G157)</f>
        <v>583.93200000000002</v>
      </c>
      <c r="H181" s="69">
        <f t="shared" si="80"/>
        <v>243.3</v>
      </c>
      <c r="I181" s="69">
        <f t="shared" si="80"/>
        <v>192.61664999999999</v>
      </c>
      <c r="J181" s="331"/>
    </row>
    <row r="182" spans="1:10" x14ac:dyDescent="0.25">
      <c r="A182" s="99">
        <v>1</v>
      </c>
      <c r="B182" s="454" t="s">
        <v>106</v>
      </c>
      <c r="C182" s="455">
        <f t="shared" ref="C182:I182" si="81">SUM(C168,C158)</f>
        <v>0</v>
      </c>
      <c r="D182" s="455">
        <f t="shared" si="81"/>
        <v>0</v>
      </c>
      <c r="E182" s="455">
        <f t="shared" si="81"/>
        <v>0</v>
      </c>
      <c r="F182" s="455">
        <f t="shared" si="81"/>
        <v>0</v>
      </c>
      <c r="G182" s="456">
        <f t="shared" si="81"/>
        <v>38023.384730000005</v>
      </c>
      <c r="H182" s="456">
        <f t="shared" si="81"/>
        <v>15843.090000000002</v>
      </c>
      <c r="I182" s="456">
        <f t="shared" si="81"/>
        <v>8936.5253100000009</v>
      </c>
      <c r="J182" s="456">
        <f t="shared" si="74"/>
        <v>56.406454233359781</v>
      </c>
    </row>
    <row r="183" spans="1:10" ht="15.75" thickBot="1" x14ac:dyDescent="0.3">
      <c r="A183" s="99">
        <v>1</v>
      </c>
      <c r="B183" s="443" t="s">
        <v>6</v>
      </c>
      <c r="C183" s="92"/>
      <c r="D183" s="92"/>
      <c r="E183" s="92"/>
      <c r="F183" s="92"/>
      <c r="G183" s="219"/>
      <c r="H183" s="219"/>
      <c r="I183" s="219"/>
      <c r="J183" s="219"/>
    </row>
    <row r="184" spans="1:10" ht="36.75" customHeight="1" x14ac:dyDescent="0.25">
      <c r="A184" s="99">
        <v>1</v>
      </c>
      <c r="B184" s="457" t="s">
        <v>53</v>
      </c>
      <c r="C184" s="93"/>
      <c r="D184" s="93"/>
      <c r="E184" s="93"/>
      <c r="F184" s="93"/>
      <c r="G184" s="198"/>
      <c r="H184" s="198"/>
      <c r="I184" s="198"/>
      <c r="J184" s="198"/>
    </row>
    <row r="185" spans="1:10" s="49" customFormat="1" ht="30" x14ac:dyDescent="0.25">
      <c r="A185" s="99">
        <v>1</v>
      </c>
      <c r="B185" s="57" t="s">
        <v>120</v>
      </c>
      <c r="C185" s="54">
        <f>SUM(C186:C189)</f>
        <v>4185</v>
      </c>
      <c r="D185" s="54">
        <f>SUM(D186:D189)</f>
        <v>1744</v>
      </c>
      <c r="E185" s="54">
        <f>SUM(E186:E189)</f>
        <v>1019</v>
      </c>
      <c r="F185" s="54">
        <f>E185/D185*100</f>
        <v>58.428899082568805</v>
      </c>
      <c r="G185" s="205">
        <f>SUM(G186:G189)</f>
        <v>7005.2602500000003</v>
      </c>
      <c r="H185" s="205">
        <f>SUM(H186:H189)</f>
        <v>2918.8499999999995</v>
      </c>
      <c r="I185" s="205">
        <f>SUM(I186:I189)</f>
        <v>1555.5777999999998</v>
      </c>
      <c r="J185" s="205">
        <f t="shared" ref="J185:J196" si="82">I185/H185*100</f>
        <v>53.294201483460959</v>
      </c>
    </row>
    <row r="186" spans="1:10" s="49" customFormat="1" ht="30" x14ac:dyDescent="0.25">
      <c r="A186" s="99">
        <v>1</v>
      </c>
      <c r="B186" s="57" t="s">
        <v>79</v>
      </c>
      <c r="C186" s="54">
        <v>3071</v>
      </c>
      <c r="D186" s="50">
        <f t="shared" ref="D186:D193" si="83">ROUND(C186/12*$B$3,0)</f>
        <v>1280</v>
      </c>
      <c r="E186" s="54">
        <v>1019</v>
      </c>
      <c r="F186" s="54">
        <f>E186/D186*100</f>
        <v>79.609375</v>
      </c>
      <c r="G186" s="205">
        <v>4181.0510000000004</v>
      </c>
      <c r="H186" s="323">
        <f t="shared" ref="H186:H189" si="84">ROUND(G186/12*$B$3,2)</f>
        <v>1742.1</v>
      </c>
      <c r="I186" s="205">
        <v>1625.7219499999997</v>
      </c>
      <c r="J186" s="205">
        <f t="shared" si="82"/>
        <v>93.319668790540135</v>
      </c>
    </row>
    <row r="187" spans="1:10" s="49" customFormat="1" ht="35.1" customHeight="1" x14ac:dyDescent="0.25">
      <c r="A187" s="99">
        <v>1</v>
      </c>
      <c r="B187" s="57" t="s">
        <v>80</v>
      </c>
      <c r="C187" s="54">
        <v>921</v>
      </c>
      <c r="D187" s="50">
        <f t="shared" si="83"/>
        <v>384</v>
      </c>
      <c r="E187" s="54">
        <v>0</v>
      </c>
      <c r="F187" s="54">
        <f>E187/D187*100</f>
        <v>0</v>
      </c>
      <c r="G187" s="205">
        <v>1557.7278099999999</v>
      </c>
      <c r="H187" s="323">
        <f t="shared" si="84"/>
        <v>649.04999999999995</v>
      </c>
      <c r="I187" s="205">
        <v>-63.581899999999997</v>
      </c>
      <c r="J187" s="205">
        <f t="shared" si="82"/>
        <v>-9.7961482166242977</v>
      </c>
    </row>
    <row r="188" spans="1:10" s="49" customFormat="1" ht="45" x14ac:dyDescent="0.25">
      <c r="A188" s="99">
        <v>1</v>
      </c>
      <c r="B188" s="57" t="s">
        <v>114</v>
      </c>
      <c r="C188" s="54">
        <v>20</v>
      </c>
      <c r="D188" s="50">
        <f t="shared" si="83"/>
        <v>8</v>
      </c>
      <c r="E188" s="54">
        <v>0</v>
      </c>
      <c r="F188" s="54">
        <f>E188/D188*100</f>
        <v>0</v>
      </c>
      <c r="G188" s="205">
        <v>131.24160000000001</v>
      </c>
      <c r="H188" s="323">
        <f t="shared" si="84"/>
        <v>54.68</v>
      </c>
      <c r="I188" s="205">
        <v>0</v>
      </c>
      <c r="J188" s="205">
        <f t="shared" si="82"/>
        <v>0</v>
      </c>
    </row>
    <row r="189" spans="1:10" s="49" customFormat="1" ht="30" x14ac:dyDescent="0.25">
      <c r="A189" s="99">
        <v>1</v>
      </c>
      <c r="B189" s="57" t="s">
        <v>115</v>
      </c>
      <c r="C189" s="54">
        <v>173</v>
      </c>
      <c r="D189" s="50">
        <f t="shared" si="83"/>
        <v>72</v>
      </c>
      <c r="E189" s="54">
        <v>0</v>
      </c>
      <c r="F189" s="54">
        <f>E189/D189*100</f>
        <v>0</v>
      </c>
      <c r="G189" s="205">
        <v>1135.2398400000002</v>
      </c>
      <c r="H189" s="323">
        <f t="shared" si="84"/>
        <v>473.02</v>
      </c>
      <c r="I189" s="205">
        <v>-6.5622499999999997</v>
      </c>
      <c r="J189" s="205">
        <f>I189/H189*100</f>
        <v>-1.3873092046847912</v>
      </c>
    </row>
    <row r="190" spans="1:10" s="49" customFormat="1" ht="30" x14ac:dyDescent="0.25">
      <c r="A190" s="99">
        <v>1</v>
      </c>
      <c r="B190" s="57" t="s">
        <v>112</v>
      </c>
      <c r="C190" s="54">
        <f>SUM(C191:C193)</f>
        <v>4350</v>
      </c>
      <c r="D190" s="54">
        <f>SUM(D191:D193)</f>
        <v>1813</v>
      </c>
      <c r="E190" s="54">
        <f>SUM(E191:E193)</f>
        <v>560</v>
      </c>
      <c r="F190" s="54">
        <f t="shared" ref="F190:F193" si="85">E190/D190*100</f>
        <v>30.888030888030887</v>
      </c>
      <c r="G190" s="199">
        <f>SUM(G191:G193)</f>
        <v>10640.283499999998</v>
      </c>
      <c r="H190" s="199">
        <f>SUM(H191:H193)</f>
        <v>4433.45</v>
      </c>
      <c r="I190" s="199">
        <f>SUM(I191:I193)</f>
        <v>588.58403999999996</v>
      </c>
      <c r="J190" s="205">
        <f t="shared" si="82"/>
        <v>13.275982361366429</v>
      </c>
    </row>
    <row r="191" spans="1:10" s="49" customFormat="1" ht="30" x14ac:dyDescent="0.25">
      <c r="A191" s="99">
        <v>1</v>
      </c>
      <c r="B191" s="57" t="s">
        <v>108</v>
      </c>
      <c r="C191" s="54">
        <v>150</v>
      </c>
      <c r="D191" s="50">
        <f t="shared" si="83"/>
        <v>63</v>
      </c>
      <c r="E191" s="54">
        <v>23</v>
      </c>
      <c r="F191" s="54">
        <f t="shared" si="85"/>
        <v>36.507936507936506</v>
      </c>
      <c r="G191" s="205">
        <f>318076.5/1000</f>
        <v>318.07650000000001</v>
      </c>
      <c r="H191" s="323">
        <f t="shared" ref="H191:H195" si="86">ROUND(G191/12*$B$3,2)</f>
        <v>132.53</v>
      </c>
      <c r="I191" s="205">
        <v>49.155720000000002</v>
      </c>
      <c r="J191" s="205">
        <f t="shared" si="82"/>
        <v>37.090258809326194</v>
      </c>
    </row>
    <row r="192" spans="1:10" s="49" customFormat="1" ht="64.5" customHeight="1" x14ac:dyDescent="0.25">
      <c r="A192" s="99">
        <v>1</v>
      </c>
      <c r="B192" s="57" t="s">
        <v>119</v>
      </c>
      <c r="C192" s="54">
        <v>3500</v>
      </c>
      <c r="D192" s="50">
        <f t="shared" si="83"/>
        <v>1458</v>
      </c>
      <c r="E192" s="54">
        <v>141</v>
      </c>
      <c r="F192" s="54">
        <f t="shared" si="85"/>
        <v>9.6707818930041149</v>
      </c>
      <c r="G192" s="205">
        <f>9636095/1000</f>
        <v>9636.0949999999993</v>
      </c>
      <c r="H192" s="323">
        <f t="shared" si="86"/>
        <v>4015.04</v>
      </c>
      <c r="I192" s="205">
        <v>181.69682999999998</v>
      </c>
      <c r="J192" s="205">
        <f t="shared" si="82"/>
        <v>4.5254052263489273</v>
      </c>
    </row>
    <row r="193" spans="1:247" s="49" customFormat="1" ht="45" x14ac:dyDescent="0.25">
      <c r="A193" s="99">
        <v>1</v>
      </c>
      <c r="B193" s="57" t="s">
        <v>109</v>
      </c>
      <c r="C193" s="54">
        <v>700</v>
      </c>
      <c r="D193" s="50">
        <f t="shared" si="83"/>
        <v>292</v>
      </c>
      <c r="E193" s="54">
        <v>396</v>
      </c>
      <c r="F193" s="54">
        <f t="shared" si="85"/>
        <v>135.61643835616439</v>
      </c>
      <c r="G193" s="205">
        <f>686112/1000</f>
        <v>686.11199999999997</v>
      </c>
      <c r="H193" s="323">
        <f t="shared" si="86"/>
        <v>285.88</v>
      </c>
      <c r="I193" s="205">
        <v>357.73148999999995</v>
      </c>
      <c r="J193" s="205">
        <f t="shared" si="82"/>
        <v>125.13344410242058</v>
      </c>
    </row>
    <row r="194" spans="1:247" s="49" customFormat="1" ht="35.1" customHeight="1" x14ac:dyDescent="0.25">
      <c r="A194" s="99"/>
      <c r="B194" s="408" t="s">
        <v>123</v>
      </c>
      <c r="C194" s="54">
        <v>6950</v>
      </c>
      <c r="D194" s="50">
        <f>ROUND(C194/12*$B$3,0)</f>
        <v>2896</v>
      </c>
      <c r="E194" s="54">
        <f>2393+E195</f>
        <v>3283</v>
      </c>
      <c r="F194" s="54">
        <f>E194/D194*100</f>
        <v>113.36325966850829</v>
      </c>
      <c r="G194" s="205">
        <v>6763.8789999999999</v>
      </c>
      <c r="H194" s="323">
        <f t="shared" si="86"/>
        <v>2818.28</v>
      </c>
      <c r="I194" s="205">
        <f>2311.55236+I195</f>
        <v>3169.71047</v>
      </c>
      <c r="J194" s="205">
        <f>I194/H194*100</f>
        <v>112.46967902408559</v>
      </c>
    </row>
    <row r="195" spans="1:247" s="49" customFormat="1" ht="21" customHeight="1" x14ac:dyDescent="0.25">
      <c r="A195" s="99"/>
      <c r="B195" s="408" t="s">
        <v>125</v>
      </c>
      <c r="C195" s="54">
        <v>1850</v>
      </c>
      <c r="D195" s="50">
        <f>ROUND(C195/12*$B$3,0)</f>
        <v>771</v>
      </c>
      <c r="E195" s="54">
        <v>890</v>
      </c>
      <c r="F195" s="56">
        <f>E195/D195*100</f>
        <v>115.43450064850842</v>
      </c>
      <c r="G195" s="205">
        <v>1800.4569999999999</v>
      </c>
      <c r="H195" s="323">
        <f t="shared" si="86"/>
        <v>750.19</v>
      </c>
      <c r="I195" s="205">
        <v>858.15811000000008</v>
      </c>
      <c r="J195" s="205">
        <f>I195/H195*100</f>
        <v>114.39210200082645</v>
      </c>
    </row>
    <row r="196" spans="1:247" s="410" customFormat="1" ht="15.75" thickBot="1" x14ac:dyDescent="0.3">
      <c r="A196" s="99">
        <v>1</v>
      </c>
      <c r="B196" s="420" t="s">
        <v>3</v>
      </c>
      <c r="C196" s="56"/>
      <c r="D196" s="56"/>
      <c r="E196" s="56"/>
      <c r="F196" s="56"/>
      <c r="G196" s="209">
        <f>G190+G185+G194</f>
        <v>24409.422749999998</v>
      </c>
      <c r="H196" s="209">
        <f>H190+H185+H194</f>
        <v>10170.58</v>
      </c>
      <c r="I196" s="209">
        <f>I190+I185+I194</f>
        <v>5313.8723099999997</v>
      </c>
      <c r="J196" s="209">
        <f t="shared" si="82"/>
        <v>52.247485492469458</v>
      </c>
    </row>
    <row r="197" spans="1:247" ht="15" customHeight="1" x14ac:dyDescent="0.25">
      <c r="A197" s="99">
        <v>1</v>
      </c>
      <c r="B197" s="382" t="s">
        <v>96</v>
      </c>
      <c r="C197" s="436"/>
      <c r="D197" s="436"/>
      <c r="E197" s="436"/>
      <c r="F197" s="436"/>
      <c r="G197" s="458"/>
      <c r="H197" s="458"/>
      <c r="I197" s="458"/>
      <c r="J197" s="458"/>
    </row>
    <row r="198" spans="1:247" s="415" customFormat="1" ht="30" x14ac:dyDescent="0.25">
      <c r="A198" s="99">
        <v>1</v>
      </c>
      <c r="B198" s="121" t="s">
        <v>120</v>
      </c>
      <c r="C198" s="459">
        <f t="shared" ref="C198:J206" si="87">C185</f>
        <v>4185</v>
      </c>
      <c r="D198" s="459">
        <f t="shared" si="87"/>
        <v>1744</v>
      </c>
      <c r="E198" s="459">
        <f t="shared" si="87"/>
        <v>1019</v>
      </c>
      <c r="F198" s="459">
        <f t="shared" si="87"/>
        <v>58.428899082568805</v>
      </c>
      <c r="G198" s="460">
        <f t="shared" si="87"/>
        <v>7005.2602500000003</v>
      </c>
      <c r="H198" s="460">
        <f t="shared" si="87"/>
        <v>2918.8499999999995</v>
      </c>
      <c r="I198" s="460">
        <f t="shared" si="87"/>
        <v>1555.5777999999998</v>
      </c>
      <c r="J198" s="460">
        <f t="shared" si="87"/>
        <v>53.294201483460959</v>
      </c>
      <c r="K198" s="410"/>
      <c r="L198" s="410"/>
      <c r="M198" s="410"/>
      <c r="N198" s="410"/>
      <c r="O198" s="410"/>
      <c r="P198" s="410"/>
      <c r="Q198" s="410"/>
      <c r="R198" s="410"/>
      <c r="S198" s="410"/>
      <c r="T198" s="410"/>
      <c r="U198" s="410"/>
      <c r="V198" s="410"/>
      <c r="W198" s="410"/>
      <c r="X198" s="410"/>
      <c r="Y198" s="410"/>
      <c r="Z198" s="410"/>
      <c r="AA198" s="410"/>
      <c r="AB198" s="410"/>
      <c r="AC198" s="410"/>
      <c r="AD198" s="410"/>
      <c r="AE198" s="410"/>
      <c r="AF198" s="410"/>
      <c r="AG198" s="410"/>
      <c r="AH198" s="410"/>
      <c r="AI198" s="410"/>
      <c r="AJ198" s="410"/>
      <c r="AK198" s="410"/>
      <c r="AL198" s="410"/>
      <c r="AM198" s="410"/>
      <c r="AN198" s="410"/>
      <c r="AO198" s="410"/>
      <c r="AP198" s="410"/>
      <c r="AQ198" s="410"/>
      <c r="AR198" s="410"/>
      <c r="AS198" s="410"/>
      <c r="AT198" s="410"/>
      <c r="AU198" s="410"/>
      <c r="AV198" s="410"/>
      <c r="AW198" s="410"/>
      <c r="AX198" s="410"/>
      <c r="AY198" s="410"/>
      <c r="AZ198" s="410"/>
      <c r="BA198" s="410"/>
      <c r="BB198" s="410"/>
      <c r="BC198" s="410"/>
      <c r="BD198" s="410"/>
      <c r="BE198" s="410"/>
      <c r="BF198" s="410"/>
      <c r="BG198" s="410"/>
      <c r="BH198" s="410"/>
      <c r="BI198" s="410"/>
      <c r="BJ198" s="410"/>
      <c r="BK198" s="410"/>
      <c r="BL198" s="410"/>
      <c r="BM198" s="410"/>
      <c r="BN198" s="410"/>
      <c r="BO198" s="410"/>
      <c r="BP198" s="410"/>
      <c r="BQ198" s="410"/>
      <c r="BR198" s="410"/>
      <c r="BS198" s="410"/>
      <c r="BT198" s="410"/>
      <c r="BU198" s="410"/>
      <c r="BV198" s="410"/>
      <c r="BW198" s="410"/>
      <c r="BX198" s="410"/>
      <c r="BY198" s="410"/>
      <c r="BZ198" s="410"/>
      <c r="CA198" s="410"/>
      <c r="CB198" s="410"/>
      <c r="CC198" s="410"/>
      <c r="CD198" s="410"/>
      <c r="CE198" s="410"/>
      <c r="CF198" s="410"/>
      <c r="CG198" s="410"/>
      <c r="CH198" s="410"/>
      <c r="CI198" s="410"/>
      <c r="CJ198" s="410"/>
      <c r="CK198" s="410"/>
      <c r="CL198" s="410"/>
      <c r="CM198" s="410"/>
      <c r="CN198" s="410"/>
      <c r="CO198" s="410"/>
      <c r="CP198" s="410"/>
      <c r="CQ198" s="410"/>
      <c r="CR198" s="410"/>
      <c r="CS198" s="410"/>
      <c r="CT198" s="410"/>
      <c r="CU198" s="410"/>
      <c r="CV198" s="410"/>
      <c r="CW198" s="410"/>
      <c r="CX198" s="410"/>
      <c r="CY198" s="410"/>
      <c r="CZ198" s="410"/>
      <c r="DA198" s="410"/>
      <c r="DB198" s="410"/>
      <c r="DC198" s="410"/>
      <c r="DD198" s="410"/>
      <c r="DE198" s="410"/>
      <c r="DF198" s="410"/>
      <c r="DG198" s="410"/>
      <c r="DH198" s="410"/>
      <c r="DI198" s="410"/>
      <c r="DJ198" s="410"/>
      <c r="DK198" s="410"/>
      <c r="DL198" s="410"/>
      <c r="DM198" s="410"/>
      <c r="DN198" s="410"/>
      <c r="DO198" s="410"/>
      <c r="DP198" s="410"/>
      <c r="DQ198" s="410"/>
      <c r="DR198" s="410"/>
      <c r="DS198" s="410"/>
      <c r="DT198" s="410"/>
      <c r="DU198" s="410"/>
      <c r="DV198" s="410"/>
      <c r="DW198" s="410"/>
      <c r="DX198" s="410"/>
      <c r="DY198" s="410"/>
      <c r="DZ198" s="410"/>
      <c r="EA198" s="410"/>
      <c r="EB198" s="410"/>
      <c r="EC198" s="410"/>
      <c r="ED198" s="410"/>
      <c r="EE198" s="410"/>
      <c r="EF198" s="410"/>
      <c r="EG198" s="410"/>
      <c r="EH198" s="410"/>
      <c r="EI198" s="410"/>
      <c r="EJ198" s="410"/>
      <c r="EK198" s="410"/>
      <c r="EL198" s="410"/>
      <c r="EM198" s="410"/>
      <c r="EN198" s="410"/>
      <c r="EO198" s="410"/>
      <c r="EP198" s="410"/>
      <c r="EQ198" s="410"/>
      <c r="ER198" s="410"/>
      <c r="ES198" s="410"/>
      <c r="ET198" s="410"/>
      <c r="EU198" s="410"/>
      <c r="EV198" s="410"/>
      <c r="EW198" s="410"/>
      <c r="EX198" s="410"/>
      <c r="EY198" s="410"/>
      <c r="EZ198" s="410"/>
      <c r="FA198" s="410"/>
      <c r="FB198" s="410"/>
      <c r="FC198" s="410"/>
      <c r="FD198" s="410"/>
      <c r="FE198" s="410"/>
      <c r="FF198" s="410"/>
      <c r="FG198" s="410"/>
      <c r="FH198" s="410"/>
      <c r="FI198" s="410"/>
      <c r="FJ198" s="410"/>
      <c r="FK198" s="410"/>
      <c r="FL198" s="410"/>
      <c r="FM198" s="410"/>
      <c r="FN198" s="410"/>
      <c r="FO198" s="410"/>
      <c r="FP198" s="410"/>
      <c r="FQ198" s="410"/>
      <c r="FR198" s="410"/>
      <c r="FS198" s="410"/>
      <c r="FT198" s="410"/>
      <c r="FU198" s="410"/>
      <c r="FV198" s="410"/>
      <c r="FW198" s="410"/>
      <c r="FX198" s="410"/>
      <c r="FY198" s="410"/>
      <c r="FZ198" s="410"/>
      <c r="GA198" s="410"/>
      <c r="GB198" s="410"/>
      <c r="GC198" s="410"/>
      <c r="GD198" s="410"/>
      <c r="GE198" s="410"/>
      <c r="GF198" s="410"/>
      <c r="GG198" s="410"/>
      <c r="GH198" s="410"/>
      <c r="GI198" s="410"/>
      <c r="GJ198" s="410"/>
      <c r="GK198" s="410"/>
      <c r="GL198" s="410"/>
      <c r="GM198" s="410"/>
      <c r="GN198" s="410"/>
      <c r="GO198" s="410"/>
      <c r="GP198" s="410"/>
      <c r="GQ198" s="410"/>
      <c r="GR198" s="410"/>
      <c r="GS198" s="410"/>
      <c r="GT198" s="410"/>
      <c r="GU198" s="410"/>
      <c r="GV198" s="410"/>
      <c r="GW198" s="410"/>
      <c r="GX198" s="410"/>
      <c r="GY198" s="410"/>
      <c r="GZ198" s="410"/>
      <c r="HA198" s="410"/>
      <c r="HB198" s="410"/>
      <c r="HC198" s="410"/>
      <c r="HD198" s="410"/>
      <c r="HE198" s="410"/>
      <c r="HF198" s="410"/>
      <c r="HG198" s="410"/>
      <c r="HH198" s="410"/>
      <c r="HI198" s="410"/>
      <c r="HJ198" s="410"/>
      <c r="HK198" s="410"/>
      <c r="HL198" s="410"/>
      <c r="HM198" s="410"/>
      <c r="HN198" s="410"/>
      <c r="HO198" s="410"/>
      <c r="HP198" s="410"/>
      <c r="HQ198" s="410"/>
      <c r="HR198" s="410"/>
      <c r="HS198" s="410"/>
      <c r="HT198" s="410"/>
      <c r="HU198" s="410"/>
      <c r="HV198" s="410"/>
      <c r="HW198" s="410"/>
      <c r="HX198" s="410"/>
      <c r="HY198" s="410"/>
      <c r="HZ198" s="410"/>
      <c r="IA198" s="410"/>
      <c r="IB198" s="410"/>
      <c r="IC198" s="410"/>
      <c r="ID198" s="410"/>
      <c r="IE198" s="410"/>
      <c r="IF198" s="410"/>
      <c r="IG198" s="410"/>
      <c r="IH198" s="410"/>
      <c r="II198" s="410"/>
      <c r="IJ198" s="410"/>
      <c r="IK198" s="410"/>
      <c r="IL198" s="410"/>
      <c r="IM198" s="410"/>
    </row>
    <row r="199" spans="1:247" s="415" customFormat="1" ht="30" x14ac:dyDescent="0.25">
      <c r="A199" s="99">
        <v>1</v>
      </c>
      <c r="B199" s="57" t="s">
        <v>79</v>
      </c>
      <c r="C199" s="459">
        <f t="shared" si="87"/>
        <v>3071</v>
      </c>
      <c r="D199" s="459">
        <f t="shared" si="87"/>
        <v>1280</v>
      </c>
      <c r="E199" s="459">
        <f t="shared" si="87"/>
        <v>1019</v>
      </c>
      <c r="F199" s="459">
        <f t="shared" si="87"/>
        <v>79.609375</v>
      </c>
      <c r="G199" s="460">
        <f t="shared" si="87"/>
        <v>4181.0510000000004</v>
      </c>
      <c r="H199" s="460">
        <f t="shared" si="87"/>
        <v>1742.1</v>
      </c>
      <c r="I199" s="460">
        <f t="shared" si="87"/>
        <v>1625.7219499999997</v>
      </c>
      <c r="J199" s="460">
        <f t="shared" si="87"/>
        <v>93.319668790540135</v>
      </c>
      <c r="K199" s="410"/>
      <c r="L199" s="410"/>
      <c r="M199" s="410"/>
      <c r="N199" s="410"/>
      <c r="O199" s="410"/>
      <c r="P199" s="410"/>
      <c r="Q199" s="410"/>
      <c r="R199" s="410"/>
      <c r="S199" s="410"/>
      <c r="T199" s="410"/>
      <c r="U199" s="410"/>
      <c r="V199" s="410"/>
      <c r="W199" s="410"/>
      <c r="X199" s="410"/>
      <c r="Y199" s="410"/>
      <c r="Z199" s="410"/>
      <c r="AA199" s="410"/>
      <c r="AB199" s="410"/>
      <c r="AC199" s="410"/>
      <c r="AD199" s="410"/>
      <c r="AE199" s="410"/>
      <c r="AF199" s="410"/>
      <c r="AG199" s="410"/>
      <c r="AH199" s="410"/>
      <c r="AI199" s="410"/>
      <c r="AJ199" s="410"/>
      <c r="AK199" s="410"/>
      <c r="AL199" s="410"/>
      <c r="AM199" s="410"/>
      <c r="AN199" s="410"/>
      <c r="AO199" s="410"/>
      <c r="AP199" s="410"/>
      <c r="AQ199" s="410"/>
      <c r="AR199" s="410"/>
      <c r="AS199" s="410"/>
      <c r="AT199" s="410"/>
      <c r="AU199" s="410"/>
      <c r="AV199" s="410"/>
      <c r="AW199" s="410"/>
      <c r="AX199" s="410"/>
      <c r="AY199" s="410"/>
      <c r="AZ199" s="410"/>
      <c r="BA199" s="410"/>
      <c r="BB199" s="410"/>
      <c r="BC199" s="410"/>
      <c r="BD199" s="410"/>
      <c r="BE199" s="410"/>
      <c r="BF199" s="410"/>
      <c r="BG199" s="410"/>
      <c r="BH199" s="410"/>
      <c r="BI199" s="410"/>
      <c r="BJ199" s="410"/>
      <c r="BK199" s="410"/>
      <c r="BL199" s="410"/>
      <c r="BM199" s="410"/>
      <c r="BN199" s="410"/>
      <c r="BO199" s="410"/>
      <c r="BP199" s="410"/>
      <c r="BQ199" s="410"/>
      <c r="BR199" s="410"/>
      <c r="BS199" s="410"/>
      <c r="BT199" s="410"/>
      <c r="BU199" s="410"/>
      <c r="BV199" s="410"/>
      <c r="BW199" s="410"/>
      <c r="BX199" s="410"/>
      <c r="BY199" s="410"/>
      <c r="BZ199" s="410"/>
      <c r="CA199" s="410"/>
      <c r="CB199" s="410"/>
      <c r="CC199" s="410"/>
      <c r="CD199" s="410"/>
      <c r="CE199" s="410"/>
      <c r="CF199" s="410"/>
      <c r="CG199" s="410"/>
      <c r="CH199" s="410"/>
      <c r="CI199" s="410"/>
      <c r="CJ199" s="410"/>
      <c r="CK199" s="410"/>
      <c r="CL199" s="410"/>
      <c r="CM199" s="410"/>
      <c r="CN199" s="410"/>
      <c r="CO199" s="410"/>
      <c r="CP199" s="410"/>
      <c r="CQ199" s="410"/>
      <c r="CR199" s="410"/>
      <c r="CS199" s="410"/>
      <c r="CT199" s="410"/>
      <c r="CU199" s="410"/>
      <c r="CV199" s="410"/>
      <c r="CW199" s="410"/>
      <c r="CX199" s="410"/>
      <c r="CY199" s="410"/>
      <c r="CZ199" s="410"/>
      <c r="DA199" s="410"/>
      <c r="DB199" s="410"/>
      <c r="DC199" s="410"/>
      <c r="DD199" s="410"/>
      <c r="DE199" s="410"/>
      <c r="DF199" s="410"/>
      <c r="DG199" s="410"/>
      <c r="DH199" s="410"/>
      <c r="DI199" s="410"/>
      <c r="DJ199" s="410"/>
      <c r="DK199" s="410"/>
      <c r="DL199" s="410"/>
      <c r="DM199" s="410"/>
      <c r="DN199" s="410"/>
      <c r="DO199" s="410"/>
      <c r="DP199" s="410"/>
      <c r="DQ199" s="410"/>
      <c r="DR199" s="410"/>
      <c r="DS199" s="410"/>
      <c r="DT199" s="410"/>
      <c r="DU199" s="410"/>
      <c r="DV199" s="410"/>
      <c r="DW199" s="410"/>
      <c r="DX199" s="410"/>
      <c r="DY199" s="410"/>
      <c r="DZ199" s="410"/>
      <c r="EA199" s="410"/>
      <c r="EB199" s="410"/>
      <c r="EC199" s="410"/>
      <c r="ED199" s="410"/>
      <c r="EE199" s="410"/>
      <c r="EF199" s="410"/>
      <c r="EG199" s="410"/>
      <c r="EH199" s="410"/>
      <c r="EI199" s="410"/>
      <c r="EJ199" s="410"/>
      <c r="EK199" s="410"/>
      <c r="EL199" s="410"/>
      <c r="EM199" s="410"/>
      <c r="EN199" s="410"/>
      <c r="EO199" s="410"/>
      <c r="EP199" s="410"/>
      <c r="EQ199" s="410"/>
      <c r="ER199" s="410"/>
      <c r="ES199" s="410"/>
      <c r="ET199" s="410"/>
      <c r="EU199" s="410"/>
      <c r="EV199" s="410"/>
      <c r="EW199" s="410"/>
      <c r="EX199" s="410"/>
      <c r="EY199" s="410"/>
      <c r="EZ199" s="410"/>
      <c r="FA199" s="410"/>
      <c r="FB199" s="410"/>
      <c r="FC199" s="410"/>
      <c r="FD199" s="410"/>
      <c r="FE199" s="410"/>
      <c r="FF199" s="410"/>
      <c r="FG199" s="410"/>
      <c r="FH199" s="410"/>
      <c r="FI199" s="410"/>
      <c r="FJ199" s="410"/>
      <c r="FK199" s="410"/>
      <c r="FL199" s="410"/>
      <c r="FM199" s="410"/>
      <c r="FN199" s="410"/>
      <c r="FO199" s="410"/>
      <c r="FP199" s="410"/>
      <c r="FQ199" s="410"/>
      <c r="FR199" s="410"/>
      <c r="FS199" s="410"/>
      <c r="FT199" s="410"/>
      <c r="FU199" s="410"/>
      <c r="FV199" s="410"/>
      <c r="FW199" s="410"/>
      <c r="FX199" s="410"/>
      <c r="FY199" s="410"/>
      <c r="FZ199" s="410"/>
      <c r="GA199" s="410"/>
      <c r="GB199" s="410"/>
      <c r="GC199" s="410"/>
      <c r="GD199" s="410"/>
      <c r="GE199" s="410"/>
      <c r="GF199" s="410"/>
      <c r="GG199" s="410"/>
      <c r="GH199" s="410"/>
      <c r="GI199" s="410"/>
      <c r="GJ199" s="410"/>
      <c r="GK199" s="410"/>
      <c r="GL199" s="410"/>
      <c r="GM199" s="410"/>
      <c r="GN199" s="410"/>
      <c r="GO199" s="410"/>
      <c r="GP199" s="410"/>
      <c r="GQ199" s="410"/>
      <c r="GR199" s="410"/>
      <c r="GS199" s="410"/>
      <c r="GT199" s="410"/>
      <c r="GU199" s="410"/>
      <c r="GV199" s="410"/>
      <c r="GW199" s="410"/>
      <c r="GX199" s="410"/>
      <c r="GY199" s="410"/>
      <c r="GZ199" s="410"/>
      <c r="HA199" s="410"/>
      <c r="HB199" s="410"/>
      <c r="HC199" s="410"/>
      <c r="HD199" s="410"/>
      <c r="HE199" s="410"/>
      <c r="HF199" s="410"/>
      <c r="HG199" s="410"/>
      <c r="HH199" s="410"/>
      <c r="HI199" s="410"/>
      <c r="HJ199" s="410"/>
      <c r="HK199" s="410"/>
      <c r="HL199" s="410"/>
      <c r="HM199" s="410"/>
      <c r="HN199" s="410"/>
      <c r="HO199" s="410"/>
      <c r="HP199" s="410"/>
      <c r="HQ199" s="410"/>
      <c r="HR199" s="410"/>
      <c r="HS199" s="410"/>
      <c r="HT199" s="410"/>
      <c r="HU199" s="410"/>
      <c r="HV199" s="410"/>
      <c r="HW199" s="410"/>
      <c r="HX199" s="410"/>
      <c r="HY199" s="410"/>
      <c r="HZ199" s="410"/>
      <c r="IA199" s="410"/>
      <c r="IB199" s="410"/>
      <c r="IC199" s="410"/>
      <c r="ID199" s="410"/>
      <c r="IE199" s="410"/>
      <c r="IF199" s="410"/>
      <c r="IG199" s="410"/>
      <c r="IH199" s="410"/>
      <c r="II199" s="410"/>
      <c r="IJ199" s="410"/>
      <c r="IK199" s="410"/>
      <c r="IL199" s="410"/>
      <c r="IM199" s="410"/>
    </row>
    <row r="200" spans="1:247" s="415" customFormat="1" ht="30" x14ac:dyDescent="0.25">
      <c r="A200" s="99">
        <v>1</v>
      </c>
      <c r="B200" s="57" t="s">
        <v>80</v>
      </c>
      <c r="C200" s="459">
        <f t="shared" si="87"/>
        <v>921</v>
      </c>
      <c r="D200" s="459">
        <f t="shared" si="87"/>
        <v>384</v>
      </c>
      <c r="E200" s="459">
        <f t="shared" si="87"/>
        <v>0</v>
      </c>
      <c r="F200" s="459">
        <f t="shared" si="87"/>
        <v>0</v>
      </c>
      <c r="G200" s="460">
        <f t="shared" si="87"/>
        <v>1557.7278099999999</v>
      </c>
      <c r="H200" s="460">
        <f t="shared" si="87"/>
        <v>649.04999999999995</v>
      </c>
      <c r="I200" s="460">
        <f t="shared" si="87"/>
        <v>-63.581899999999997</v>
      </c>
      <c r="J200" s="460">
        <f t="shared" si="87"/>
        <v>-9.7961482166242977</v>
      </c>
      <c r="K200" s="410"/>
      <c r="L200" s="410"/>
      <c r="M200" s="410"/>
      <c r="N200" s="410"/>
      <c r="O200" s="410"/>
      <c r="P200" s="410"/>
      <c r="Q200" s="410"/>
      <c r="R200" s="410"/>
      <c r="S200" s="410"/>
      <c r="T200" s="410"/>
      <c r="U200" s="410"/>
      <c r="V200" s="410"/>
      <c r="W200" s="410"/>
      <c r="X200" s="410"/>
      <c r="Y200" s="410"/>
      <c r="Z200" s="410"/>
      <c r="AA200" s="410"/>
      <c r="AB200" s="410"/>
      <c r="AC200" s="410"/>
      <c r="AD200" s="410"/>
      <c r="AE200" s="410"/>
      <c r="AF200" s="410"/>
      <c r="AG200" s="410"/>
      <c r="AH200" s="410"/>
      <c r="AI200" s="410"/>
      <c r="AJ200" s="410"/>
      <c r="AK200" s="410"/>
      <c r="AL200" s="410"/>
      <c r="AM200" s="410"/>
      <c r="AN200" s="410"/>
      <c r="AO200" s="410"/>
      <c r="AP200" s="410"/>
      <c r="AQ200" s="410"/>
      <c r="AR200" s="410"/>
      <c r="AS200" s="410"/>
      <c r="AT200" s="410"/>
      <c r="AU200" s="410"/>
      <c r="AV200" s="410"/>
      <c r="AW200" s="410"/>
      <c r="AX200" s="410"/>
      <c r="AY200" s="410"/>
      <c r="AZ200" s="410"/>
      <c r="BA200" s="410"/>
      <c r="BB200" s="410"/>
      <c r="BC200" s="410"/>
      <c r="BD200" s="410"/>
      <c r="BE200" s="410"/>
      <c r="BF200" s="410"/>
      <c r="BG200" s="410"/>
      <c r="BH200" s="410"/>
      <c r="BI200" s="410"/>
      <c r="BJ200" s="410"/>
      <c r="BK200" s="410"/>
      <c r="BL200" s="410"/>
      <c r="BM200" s="410"/>
      <c r="BN200" s="410"/>
      <c r="BO200" s="410"/>
      <c r="BP200" s="410"/>
      <c r="BQ200" s="410"/>
      <c r="BR200" s="410"/>
      <c r="BS200" s="410"/>
      <c r="BT200" s="410"/>
      <c r="BU200" s="410"/>
      <c r="BV200" s="410"/>
      <c r="BW200" s="410"/>
      <c r="BX200" s="410"/>
      <c r="BY200" s="410"/>
      <c r="BZ200" s="410"/>
      <c r="CA200" s="410"/>
      <c r="CB200" s="410"/>
      <c r="CC200" s="410"/>
      <c r="CD200" s="410"/>
      <c r="CE200" s="410"/>
      <c r="CF200" s="410"/>
      <c r="CG200" s="410"/>
      <c r="CH200" s="410"/>
      <c r="CI200" s="410"/>
      <c r="CJ200" s="410"/>
      <c r="CK200" s="410"/>
      <c r="CL200" s="410"/>
      <c r="CM200" s="410"/>
      <c r="CN200" s="410"/>
      <c r="CO200" s="410"/>
      <c r="CP200" s="410"/>
      <c r="CQ200" s="410"/>
      <c r="CR200" s="410"/>
      <c r="CS200" s="410"/>
      <c r="CT200" s="410"/>
      <c r="CU200" s="410"/>
      <c r="CV200" s="410"/>
      <c r="CW200" s="410"/>
      <c r="CX200" s="410"/>
      <c r="CY200" s="410"/>
      <c r="CZ200" s="410"/>
      <c r="DA200" s="410"/>
      <c r="DB200" s="410"/>
      <c r="DC200" s="410"/>
      <c r="DD200" s="410"/>
      <c r="DE200" s="410"/>
      <c r="DF200" s="410"/>
      <c r="DG200" s="410"/>
      <c r="DH200" s="410"/>
      <c r="DI200" s="410"/>
      <c r="DJ200" s="410"/>
      <c r="DK200" s="410"/>
      <c r="DL200" s="410"/>
      <c r="DM200" s="410"/>
      <c r="DN200" s="410"/>
      <c r="DO200" s="410"/>
      <c r="DP200" s="410"/>
      <c r="DQ200" s="410"/>
      <c r="DR200" s="410"/>
      <c r="DS200" s="410"/>
      <c r="DT200" s="410"/>
      <c r="DU200" s="410"/>
      <c r="DV200" s="410"/>
      <c r="DW200" s="410"/>
      <c r="DX200" s="410"/>
      <c r="DY200" s="410"/>
      <c r="DZ200" s="410"/>
      <c r="EA200" s="410"/>
      <c r="EB200" s="410"/>
      <c r="EC200" s="410"/>
      <c r="ED200" s="410"/>
      <c r="EE200" s="410"/>
      <c r="EF200" s="410"/>
      <c r="EG200" s="410"/>
      <c r="EH200" s="410"/>
      <c r="EI200" s="410"/>
      <c r="EJ200" s="410"/>
      <c r="EK200" s="410"/>
      <c r="EL200" s="410"/>
      <c r="EM200" s="410"/>
      <c r="EN200" s="410"/>
      <c r="EO200" s="410"/>
      <c r="EP200" s="410"/>
      <c r="EQ200" s="410"/>
      <c r="ER200" s="410"/>
      <c r="ES200" s="410"/>
      <c r="ET200" s="410"/>
      <c r="EU200" s="410"/>
      <c r="EV200" s="410"/>
      <c r="EW200" s="410"/>
      <c r="EX200" s="410"/>
      <c r="EY200" s="410"/>
      <c r="EZ200" s="410"/>
      <c r="FA200" s="410"/>
      <c r="FB200" s="410"/>
      <c r="FC200" s="410"/>
      <c r="FD200" s="410"/>
      <c r="FE200" s="410"/>
      <c r="FF200" s="410"/>
      <c r="FG200" s="410"/>
      <c r="FH200" s="410"/>
      <c r="FI200" s="410"/>
      <c r="FJ200" s="410"/>
      <c r="FK200" s="410"/>
      <c r="FL200" s="410"/>
      <c r="FM200" s="410"/>
      <c r="FN200" s="410"/>
      <c r="FO200" s="410"/>
      <c r="FP200" s="410"/>
      <c r="FQ200" s="410"/>
      <c r="FR200" s="410"/>
      <c r="FS200" s="410"/>
      <c r="FT200" s="410"/>
      <c r="FU200" s="410"/>
      <c r="FV200" s="410"/>
      <c r="FW200" s="410"/>
      <c r="FX200" s="410"/>
      <c r="FY200" s="410"/>
      <c r="FZ200" s="410"/>
      <c r="GA200" s="410"/>
      <c r="GB200" s="410"/>
      <c r="GC200" s="410"/>
      <c r="GD200" s="410"/>
      <c r="GE200" s="410"/>
      <c r="GF200" s="410"/>
      <c r="GG200" s="410"/>
      <c r="GH200" s="410"/>
      <c r="GI200" s="410"/>
      <c r="GJ200" s="410"/>
      <c r="GK200" s="410"/>
      <c r="GL200" s="410"/>
      <c r="GM200" s="410"/>
      <c r="GN200" s="410"/>
      <c r="GO200" s="410"/>
      <c r="GP200" s="410"/>
      <c r="GQ200" s="410"/>
      <c r="GR200" s="410"/>
      <c r="GS200" s="410"/>
      <c r="GT200" s="410"/>
      <c r="GU200" s="410"/>
      <c r="GV200" s="410"/>
      <c r="GW200" s="410"/>
      <c r="GX200" s="410"/>
      <c r="GY200" s="410"/>
      <c r="GZ200" s="410"/>
      <c r="HA200" s="410"/>
      <c r="HB200" s="410"/>
      <c r="HC200" s="410"/>
      <c r="HD200" s="410"/>
      <c r="HE200" s="410"/>
      <c r="HF200" s="410"/>
      <c r="HG200" s="410"/>
      <c r="HH200" s="410"/>
      <c r="HI200" s="410"/>
      <c r="HJ200" s="410"/>
      <c r="HK200" s="410"/>
      <c r="HL200" s="410"/>
      <c r="HM200" s="410"/>
      <c r="HN200" s="410"/>
      <c r="HO200" s="410"/>
      <c r="HP200" s="410"/>
      <c r="HQ200" s="410"/>
      <c r="HR200" s="410"/>
      <c r="HS200" s="410"/>
      <c r="HT200" s="410"/>
      <c r="HU200" s="410"/>
      <c r="HV200" s="410"/>
      <c r="HW200" s="410"/>
      <c r="HX200" s="410"/>
      <c r="HY200" s="410"/>
      <c r="HZ200" s="410"/>
      <c r="IA200" s="410"/>
      <c r="IB200" s="410"/>
      <c r="IC200" s="410"/>
      <c r="ID200" s="410"/>
      <c r="IE200" s="410"/>
      <c r="IF200" s="410"/>
      <c r="IG200" s="410"/>
      <c r="IH200" s="410"/>
      <c r="II200" s="410"/>
      <c r="IJ200" s="410"/>
      <c r="IK200" s="410"/>
      <c r="IL200" s="410"/>
      <c r="IM200" s="410"/>
    </row>
    <row r="201" spans="1:247" s="415" customFormat="1" ht="45" x14ac:dyDescent="0.25">
      <c r="A201" s="99">
        <v>1</v>
      </c>
      <c r="B201" s="57" t="s">
        <v>114</v>
      </c>
      <c r="C201" s="459">
        <f t="shared" si="87"/>
        <v>20</v>
      </c>
      <c r="D201" s="459">
        <f t="shared" si="87"/>
        <v>8</v>
      </c>
      <c r="E201" s="459">
        <f t="shared" si="87"/>
        <v>0</v>
      </c>
      <c r="F201" s="459">
        <f t="shared" si="87"/>
        <v>0</v>
      </c>
      <c r="G201" s="460">
        <f t="shared" si="87"/>
        <v>131.24160000000001</v>
      </c>
      <c r="H201" s="460">
        <f t="shared" si="87"/>
        <v>54.68</v>
      </c>
      <c r="I201" s="460">
        <f t="shared" si="87"/>
        <v>0</v>
      </c>
      <c r="J201" s="460">
        <f t="shared" si="87"/>
        <v>0</v>
      </c>
      <c r="K201" s="410"/>
      <c r="L201" s="410"/>
      <c r="M201" s="410"/>
      <c r="N201" s="410"/>
      <c r="O201" s="410"/>
      <c r="P201" s="410"/>
      <c r="Q201" s="410"/>
      <c r="R201" s="410"/>
      <c r="S201" s="410"/>
      <c r="T201" s="410"/>
      <c r="U201" s="410"/>
      <c r="V201" s="410"/>
      <c r="W201" s="410"/>
      <c r="X201" s="410"/>
      <c r="Y201" s="410"/>
      <c r="Z201" s="410"/>
      <c r="AA201" s="410"/>
      <c r="AB201" s="410"/>
      <c r="AC201" s="410"/>
      <c r="AD201" s="410"/>
      <c r="AE201" s="410"/>
      <c r="AF201" s="410"/>
      <c r="AG201" s="410"/>
      <c r="AH201" s="410"/>
      <c r="AI201" s="410"/>
      <c r="AJ201" s="410"/>
      <c r="AK201" s="410"/>
      <c r="AL201" s="410"/>
      <c r="AM201" s="410"/>
      <c r="AN201" s="410"/>
      <c r="AO201" s="410"/>
      <c r="AP201" s="410"/>
      <c r="AQ201" s="410"/>
      <c r="AR201" s="410"/>
      <c r="AS201" s="410"/>
      <c r="AT201" s="410"/>
      <c r="AU201" s="410"/>
      <c r="AV201" s="410"/>
      <c r="AW201" s="410"/>
      <c r="AX201" s="410"/>
      <c r="AY201" s="410"/>
      <c r="AZ201" s="410"/>
      <c r="BA201" s="410"/>
      <c r="BB201" s="410"/>
      <c r="BC201" s="410"/>
      <c r="BD201" s="410"/>
      <c r="BE201" s="410"/>
      <c r="BF201" s="410"/>
      <c r="BG201" s="410"/>
      <c r="BH201" s="410"/>
      <c r="BI201" s="410"/>
      <c r="BJ201" s="410"/>
      <c r="BK201" s="410"/>
      <c r="BL201" s="410"/>
      <c r="BM201" s="410"/>
      <c r="BN201" s="410"/>
      <c r="BO201" s="410"/>
      <c r="BP201" s="410"/>
      <c r="BQ201" s="410"/>
      <c r="BR201" s="410"/>
      <c r="BS201" s="410"/>
      <c r="BT201" s="410"/>
      <c r="BU201" s="410"/>
      <c r="BV201" s="410"/>
      <c r="BW201" s="410"/>
      <c r="BX201" s="410"/>
      <c r="BY201" s="410"/>
      <c r="BZ201" s="410"/>
      <c r="CA201" s="410"/>
      <c r="CB201" s="410"/>
      <c r="CC201" s="410"/>
      <c r="CD201" s="410"/>
      <c r="CE201" s="410"/>
      <c r="CF201" s="410"/>
      <c r="CG201" s="410"/>
      <c r="CH201" s="410"/>
      <c r="CI201" s="410"/>
      <c r="CJ201" s="410"/>
      <c r="CK201" s="410"/>
      <c r="CL201" s="410"/>
      <c r="CM201" s="410"/>
      <c r="CN201" s="410"/>
      <c r="CO201" s="410"/>
      <c r="CP201" s="410"/>
      <c r="CQ201" s="410"/>
      <c r="CR201" s="410"/>
      <c r="CS201" s="410"/>
      <c r="CT201" s="410"/>
      <c r="CU201" s="410"/>
      <c r="CV201" s="410"/>
      <c r="CW201" s="410"/>
      <c r="CX201" s="410"/>
      <c r="CY201" s="410"/>
      <c r="CZ201" s="410"/>
      <c r="DA201" s="410"/>
      <c r="DB201" s="410"/>
      <c r="DC201" s="410"/>
      <c r="DD201" s="410"/>
      <c r="DE201" s="410"/>
      <c r="DF201" s="410"/>
      <c r="DG201" s="410"/>
      <c r="DH201" s="410"/>
      <c r="DI201" s="410"/>
      <c r="DJ201" s="410"/>
      <c r="DK201" s="410"/>
      <c r="DL201" s="410"/>
      <c r="DM201" s="410"/>
      <c r="DN201" s="410"/>
      <c r="DO201" s="410"/>
      <c r="DP201" s="410"/>
      <c r="DQ201" s="410"/>
      <c r="DR201" s="410"/>
      <c r="DS201" s="410"/>
      <c r="DT201" s="410"/>
      <c r="DU201" s="410"/>
      <c r="DV201" s="410"/>
      <c r="DW201" s="410"/>
      <c r="DX201" s="410"/>
      <c r="DY201" s="410"/>
      <c r="DZ201" s="410"/>
      <c r="EA201" s="410"/>
      <c r="EB201" s="410"/>
      <c r="EC201" s="410"/>
      <c r="ED201" s="410"/>
      <c r="EE201" s="410"/>
      <c r="EF201" s="410"/>
      <c r="EG201" s="410"/>
      <c r="EH201" s="410"/>
      <c r="EI201" s="410"/>
      <c r="EJ201" s="410"/>
      <c r="EK201" s="410"/>
      <c r="EL201" s="410"/>
      <c r="EM201" s="410"/>
      <c r="EN201" s="410"/>
      <c r="EO201" s="410"/>
      <c r="EP201" s="410"/>
      <c r="EQ201" s="410"/>
      <c r="ER201" s="410"/>
      <c r="ES201" s="410"/>
      <c r="ET201" s="410"/>
      <c r="EU201" s="410"/>
      <c r="EV201" s="410"/>
      <c r="EW201" s="410"/>
      <c r="EX201" s="410"/>
      <c r="EY201" s="410"/>
      <c r="EZ201" s="410"/>
      <c r="FA201" s="410"/>
      <c r="FB201" s="410"/>
      <c r="FC201" s="410"/>
      <c r="FD201" s="410"/>
      <c r="FE201" s="410"/>
      <c r="FF201" s="410"/>
      <c r="FG201" s="410"/>
      <c r="FH201" s="410"/>
      <c r="FI201" s="410"/>
      <c r="FJ201" s="410"/>
      <c r="FK201" s="410"/>
      <c r="FL201" s="410"/>
      <c r="FM201" s="410"/>
      <c r="FN201" s="410"/>
      <c r="FO201" s="410"/>
      <c r="FP201" s="410"/>
      <c r="FQ201" s="410"/>
      <c r="FR201" s="410"/>
      <c r="FS201" s="410"/>
      <c r="FT201" s="410"/>
      <c r="FU201" s="410"/>
      <c r="FV201" s="410"/>
      <c r="FW201" s="410"/>
      <c r="FX201" s="410"/>
      <c r="FY201" s="410"/>
      <c r="FZ201" s="410"/>
      <c r="GA201" s="410"/>
      <c r="GB201" s="410"/>
      <c r="GC201" s="410"/>
      <c r="GD201" s="410"/>
      <c r="GE201" s="410"/>
      <c r="GF201" s="410"/>
      <c r="GG201" s="410"/>
      <c r="GH201" s="410"/>
      <c r="GI201" s="410"/>
      <c r="GJ201" s="410"/>
      <c r="GK201" s="410"/>
      <c r="GL201" s="410"/>
      <c r="GM201" s="410"/>
      <c r="GN201" s="410"/>
      <c r="GO201" s="410"/>
      <c r="GP201" s="410"/>
      <c r="GQ201" s="410"/>
      <c r="GR201" s="410"/>
      <c r="GS201" s="410"/>
      <c r="GT201" s="410"/>
      <c r="GU201" s="410"/>
      <c r="GV201" s="410"/>
      <c r="GW201" s="410"/>
      <c r="GX201" s="410"/>
      <c r="GY201" s="410"/>
      <c r="GZ201" s="410"/>
      <c r="HA201" s="410"/>
      <c r="HB201" s="410"/>
      <c r="HC201" s="410"/>
      <c r="HD201" s="410"/>
      <c r="HE201" s="410"/>
      <c r="HF201" s="410"/>
      <c r="HG201" s="410"/>
      <c r="HH201" s="410"/>
      <c r="HI201" s="410"/>
      <c r="HJ201" s="410"/>
      <c r="HK201" s="410"/>
      <c r="HL201" s="410"/>
      <c r="HM201" s="410"/>
      <c r="HN201" s="410"/>
      <c r="HO201" s="410"/>
      <c r="HP201" s="410"/>
      <c r="HQ201" s="410"/>
      <c r="HR201" s="410"/>
      <c r="HS201" s="410"/>
      <c r="HT201" s="410"/>
      <c r="HU201" s="410"/>
      <c r="HV201" s="410"/>
      <c r="HW201" s="410"/>
      <c r="HX201" s="410"/>
      <c r="HY201" s="410"/>
      <c r="HZ201" s="410"/>
      <c r="IA201" s="410"/>
      <c r="IB201" s="410"/>
      <c r="IC201" s="410"/>
      <c r="ID201" s="410"/>
      <c r="IE201" s="410"/>
      <c r="IF201" s="410"/>
      <c r="IG201" s="410"/>
      <c r="IH201" s="410"/>
      <c r="II201" s="410"/>
      <c r="IJ201" s="410"/>
      <c r="IK201" s="410"/>
      <c r="IL201" s="410"/>
      <c r="IM201" s="410"/>
    </row>
    <row r="202" spans="1:247" s="415" customFormat="1" ht="30" x14ac:dyDescent="0.25">
      <c r="A202" s="99">
        <v>1</v>
      </c>
      <c r="B202" s="57" t="s">
        <v>115</v>
      </c>
      <c r="C202" s="459">
        <f t="shared" si="87"/>
        <v>173</v>
      </c>
      <c r="D202" s="459">
        <f t="shared" si="87"/>
        <v>72</v>
      </c>
      <c r="E202" s="459">
        <f t="shared" si="87"/>
        <v>0</v>
      </c>
      <c r="F202" s="459">
        <f t="shared" si="87"/>
        <v>0</v>
      </c>
      <c r="G202" s="460">
        <f t="shared" si="87"/>
        <v>1135.2398400000002</v>
      </c>
      <c r="H202" s="460">
        <f t="shared" si="87"/>
        <v>473.02</v>
      </c>
      <c r="I202" s="460">
        <f t="shared" si="87"/>
        <v>-6.5622499999999997</v>
      </c>
      <c r="J202" s="460">
        <f t="shared" si="87"/>
        <v>-1.3873092046847912</v>
      </c>
      <c r="K202" s="410"/>
      <c r="L202" s="410"/>
      <c r="M202" s="410"/>
      <c r="N202" s="410"/>
      <c r="O202" s="410"/>
      <c r="P202" s="410"/>
      <c r="Q202" s="410"/>
      <c r="R202" s="410"/>
      <c r="S202" s="410"/>
      <c r="T202" s="410"/>
      <c r="U202" s="410"/>
      <c r="V202" s="410"/>
      <c r="W202" s="410"/>
      <c r="X202" s="410"/>
      <c r="Y202" s="410"/>
      <c r="Z202" s="410"/>
      <c r="AA202" s="410"/>
      <c r="AB202" s="410"/>
      <c r="AC202" s="410"/>
      <c r="AD202" s="410"/>
      <c r="AE202" s="410"/>
      <c r="AF202" s="410"/>
      <c r="AG202" s="410"/>
      <c r="AH202" s="410"/>
      <c r="AI202" s="410"/>
      <c r="AJ202" s="410"/>
      <c r="AK202" s="410"/>
      <c r="AL202" s="410"/>
      <c r="AM202" s="410"/>
      <c r="AN202" s="410"/>
      <c r="AO202" s="410"/>
      <c r="AP202" s="410"/>
      <c r="AQ202" s="410"/>
      <c r="AR202" s="410"/>
      <c r="AS202" s="410"/>
      <c r="AT202" s="410"/>
      <c r="AU202" s="410"/>
      <c r="AV202" s="410"/>
      <c r="AW202" s="410"/>
      <c r="AX202" s="410"/>
      <c r="AY202" s="410"/>
      <c r="AZ202" s="410"/>
      <c r="BA202" s="410"/>
      <c r="BB202" s="410"/>
      <c r="BC202" s="410"/>
      <c r="BD202" s="410"/>
      <c r="BE202" s="410"/>
      <c r="BF202" s="410"/>
      <c r="BG202" s="410"/>
      <c r="BH202" s="410"/>
      <c r="BI202" s="410"/>
      <c r="BJ202" s="410"/>
      <c r="BK202" s="410"/>
      <c r="BL202" s="410"/>
      <c r="BM202" s="410"/>
      <c r="BN202" s="410"/>
      <c r="BO202" s="410"/>
      <c r="BP202" s="410"/>
      <c r="BQ202" s="410"/>
      <c r="BR202" s="410"/>
      <c r="BS202" s="410"/>
      <c r="BT202" s="410"/>
      <c r="BU202" s="410"/>
      <c r="BV202" s="410"/>
      <c r="BW202" s="410"/>
      <c r="BX202" s="410"/>
      <c r="BY202" s="410"/>
      <c r="BZ202" s="410"/>
      <c r="CA202" s="410"/>
      <c r="CB202" s="410"/>
      <c r="CC202" s="410"/>
      <c r="CD202" s="410"/>
      <c r="CE202" s="410"/>
      <c r="CF202" s="410"/>
      <c r="CG202" s="410"/>
      <c r="CH202" s="410"/>
      <c r="CI202" s="410"/>
      <c r="CJ202" s="410"/>
      <c r="CK202" s="410"/>
      <c r="CL202" s="410"/>
      <c r="CM202" s="410"/>
      <c r="CN202" s="410"/>
      <c r="CO202" s="410"/>
      <c r="CP202" s="410"/>
      <c r="CQ202" s="410"/>
      <c r="CR202" s="410"/>
      <c r="CS202" s="410"/>
      <c r="CT202" s="410"/>
      <c r="CU202" s="410"/>
      <c r="CV202" s="410"/>
      <c r="CW202" s="410"/>
      <c r="CX202" s="410"/>
      <c r="CY202" s="410"/>
      <c r="CZ202" s="410"/>
      <c r="DA202" s="410"/>
      <c r="DB202" s="410"/>
      <c r="DC202" s="410"/>
      <c r="DD202" s="410"/>
      <c r="DE202" s="410"/>
      <c r="DF202" s="410"/>
      <c r="DG202" s="410"/>
      <c r="DH202" s="410"/>
      <c r="DI202" s="410"/>
      <c r="DJ202" s="410"/>
      <c r="DK202" s="410"/>
      <c r="DL202" s="410"/>
      <c r="DM202" s="410"/>
      <c r="DN202" s="410"/>
      <c r="DO202" s="410"/>
      <c r="DP202" s="410"/>
      <c r="DQ202" s="410"/>
      <c r="DR202" s="410"/>
      <c r="DS202" s="410"/>
      <c r="DT202" s="410"/>
      <c r="DU202" s="410"/>
      <c r="DV202" s="410"/>
      <c r="DW202" s="410"/>
      <c r="DX202" s="410"/>
      <c r="DY202" s="410"/>
      <c r="DZ202" s="410"/>
      <c r="EA202" s="410"/>
      <c r="EB202" s="410"/>
      <c r="EC202" s="410"/>
      <c r="ED202" s="410"/>
      <c r="EE202" s="410"/>
      <c r="EF202" s="410"/>
      <c r="EG202" s="410"/>
      <c r="EH202" s="410"/>
      <c r="EI202" s="410"/>
      <c r="EJ202" s="410"/>
      <c r="EK202" s="410"/>
      <c r="EL202" s="410"/>
      <c r="EM202" s="410"/>
      <c r="EN202" s="410"/>
      <c r="EO202" s="410"/>
      <c r="EP202" s="410"/>
      <c r="EQ202" s="410"/>
      <c r="ER202" s="410"/>
      <c r="ES202" s="410"/>
      <c r="ET202" s="410"/>
      <c r="EU202" s="410"/>
      <c r="EV202" s="410"/>
      <c r="EW202" s="410"/>
      <c r="EX202" s="410"/>
      <c r="EY202" s="410"/>
      <c r="EZ202" s="410"/>
      <c r="FA202" s="410"/>
      <c r="FB202" s="410"/>
      <c r="FC202" s="410"/>
      <c r="FD202" s="410"/>
      <c r="FE202" s="410"/>
      <c r="FF202" s="410"/>
      <c r="FG202" s="410"/>
      <c r="FH202" s="410"/>
      <c r="FI202" s="410"/>
      <c r="FJ202" s="410"/>
      <c r="FK202" s="410"/>
      <c r="FL202" s="410"/>
      <c r="FM202" s="410"/>
      <c r="FN202" s="410"/>
      <c r="FO202" s="410"/>
      <c r="FP202" s="410"/>
      <c r="FQ202" s="410"/>
      <c r="FR202" s="410"/>
      <c r="FS202" s="410"/>
      <c r="FT202" s="410"/>
      <c r="FU202" s="410"/>
      <c r="FV202" s="410"/>
      <c r="FW202" s="410"/>
      <c r="FX202" s="410"/>
      <c r="FY202" s="410"/>
      <c r="FZ202" s="410"/>
      <c r="GA202" s="410"/>
      <c r="GB202" s="410"/>
      <c r="GC202" s="410"/>
      <c r="GD202" s="410"/>
      <c r="GE202" s="410"/>
      <c r="GF202" s="410"/>
      <c r="GG202" s="410"/>
      <c r="GH202" s="410"/>
      <c r="GI202" s="410"/>
      <c r="GJ202" s="410"/>
      <c r="GK202" s="410"/>
      <c r="GL202" s="410"/>
      <c r="GM202" s="410"/>
      <c r="GN202" s="410"/>
      <c r="GO202" s="410"/>
      <c r="GP202" s="410"/>
      <c r="GQ202" s="410"/>
      <c r="GR202" s="410"/>
      <c r="GS202" s="410"/>
      <c r="GT202" s="410"/>
      <c r="GU202" s="410"/>
      <c r="GV202" s="410"/>
      <c r="GW202" s="410"/>
      <c r="GX202" s="410"/>
      <c r="GY202" s="410"/>
      <c r="GZ202" s="410"/>
      <c r="HA202" s="410"/>
      <c r="HB202" s="410"/>
      <c r="HC202" s="410"/>
      <c r="HD202" s="410"/>
      <c r="HE202" s="410"/>
      <c r="HF202" s="410"/>
      <c r="HG202" s="410"/>
      <c r="HH202" s="410"/>
      <c r="HI202" s="410"/>
      <c r="HJ202" s="410"/>
      <c r="HK202" s="410"/>
      <c r="HL202" s="410"/>
      <c r="HM202" s="410"/>
      <c r="HN202" s="410"/>
      <c r="HO202" s="410"/>
      <c r="HP202" s="410"/>
      <c r="HQ202" s="410"/>
      <c r="HR202" s="410"/>
      <c r="HS202" s="410"/>
      <c r="HT202" s="410"/>
      <c r="HU202" s="410"/>
      <c r="HV202" s="410"/>
      <c r="HW202" s="410"/>
      <c r="HX202" s="410"/>
      <c r="HY202" s="410"/>
      <c r="HZ202" s="410"/>
      <c r="IA202" s="410"/>
      <c r="IB202" s="410"/>
      <c r="IC202" s="410"/>
      <c r="ID202" s="410"/>
      <c r="IE202" s="410"/>
      <c r="IF202" s="410"/>
      <c r="IG202" s="410"/>
      <c r="IH202" s="410"/>
      <c r="II202" s="410"/>
      <c r="IJ202" s="410"/>
      <c r="IK202" s="410"/>
      <c r="IL202" s="410"/>
      <c r="IM202" s="410"/>
    </row>
    <row r="203" spans="1:247" s="415" customFormat="1" ht="30" x14ac:dyDescent="0.25">
      <c r="A203" s="99">
        <v>1</v>
      </c>
      <c r="B203" s="121" t="s">
        <v>112</v>
      </c>
      <c r="C203" s="459">
        <f t="shared" si="87"/>
        <v>4350</v>
      </c>
      <c r="D203" s="459">
        <f t="shared" si="87"/>
        <v>1813</v>
      </c>
      <c r="E203" s="459">
        <f t="shared" si="87"/>
        <v>560</v>
      </c>
      <c r="F203" s="459">
        <f t="shared" si="87"/>
        <v>30.888030888030887</v>
      </c>
      <c r="G203" s="460">
        <f t="shared" si="87"/>
        <v>10640.283499999998</v>
      </c>
      <c r="H203" s="460">
        <f t="shared" si="87"/>
        <v>4433.45</v>
      </c>
      <c r="I203" s="460">
        <f t="shared" si="87"/>
        <v>588.58403999999996</v>
      </c>
      <c r="J203" s="460">
        <f t="shared" si="87"/>
        <v>13.275982361366429</v>
      </c>
      <c r="K203" s="410"/>
      <c r="L203" s="410"/>
      <c r="M203" s="410"/>
      <c r="N203" s="410"/>
      <c r="O203" s="410"/>
      <c r="P203" s="410"/>
      <c r="Q203" s="410"/>
      <c r="R203" s="410"/>
      <c r="S203" s="410"/>
      <c r="T203" s="410"/>
      <c r="U203" s="410"/>
      <c r="V203" s="410"/>
      <c r="W203" s="410"/>
      <c r="X203" s="410"/>
      <c r="Y203" s="410"/>
      <c r="Z203" s="410"/>
      <c r="AA203" s="410"/>
      <c r="AB203" s="410"/>
      <c r="AC203" s="410"/>
      <c r="AD203" s="410"/>
      <c r="AE203" s="410"/>
      <c r="AF203" s="410"/>
      <c r="AG203" s="410"/>
      <c r="AH203" s="410"/>
      <c r="AI203" s="410"/>
      <c r="AJ203" s="410"/>
      <c r="AK203" s="410"/>
      <c r="AL203" s="410"/>
      <c r="AM203" s="410"/>
      <c r="AN203" s="410"/>
      <c r="AO203" s="410"/>
      <c r="AP203" s="410"/>
      <c r="AQ203" s="410"/>
      <c r="AR203" s="410"/>
      <c r="AS203" s="410"/>
      <c r="AT203" s="410"/>
      <c r="AU203" s="410"/>
      <c r="AV203" s="410"/>
      <c r="AW203" s="410"/>
      <c r="AX203" s="410"/>
      <c r="AY203" s="410"/>
      <c r="AZ203" s="410"/>
      <c r="BA203" s="410"/>
      <c r="BB203" s="410"/>
      <c r="BC203" s="410"/>
      <c r="BD203" s="410"/>
      <c r="BE203" s="410"/>
      <c r="BF203" s="410"/>
      <c r="BG203" s="410"/>
      <c r="BH203" s="410"/>
      <c r="BI203" s="410"/>
      <c r="BJ203" s="410"/>
      <c r="BK203" s="410"/>
      <c r="BL203" s="410"/>
      <c r="BM203" s="410"/>
      <c r="BN203" s="410"/>
      <c r="BO203" s="410"/>
      <c r="BP203" s="410"/>
      <c r="BQ203" s="410"/>
      <c r="BR203" s="410"/>
      <c r="BS203" s="410"/>
      <c r="BT203" s="410"/>
      <c r="BU203" s="410"/>
      <c r="BV203" s="410"/>
      <c r="BW203" s="410"/>
      <c r="BX203" s="410"/>
      <c r="BY203" s="410"/>
      <c r="BZ203" s="410"/>
      <c r="CA203" s="410"/>
      <c r="CB203" s="410"/>
      <c r="CC203" s="410"/>
      <c r="CD203" s="410"/>
      <c r="CE203" s="410"/>
      <c r="CF203" s="410"/>
      <c r="CG203" s="410"/>
      <c r="CH203" s="410"/>
      <c r="CI203" s="410"/>
      <c r="CJ203" s="410"/>
      <c r="CK203" s="410"/>
      <c r="CL203" s="410"/>
      <c r="CM203" s="410"/>
      <c r="CN203" s="410"/>
      <c r="CO203" s="410"/>
      <c r="CP203" s="410"/>
      <c r="CQ203" s="410"/>
      <c r="CR203" s="410"/>
      <c r="CS203" s="410"/>
      <c r="CT203" s="410"/>
      <c r="CU203" s="410"/>
      <c r="CV203" s="410"/>
      <c r="CW203" s="410"/>
      <c r="CX203" s="410"/>
      <c r="CY203" s="410"/>
      <c r="CZ203" s="410"/>
      <c r="DA203" s="410"/>
      <c r="DB203" s="410"/>
      <c r="DC203" s="410"/>
      <c r="DD203" s="410"/>
      <c r="DE203" s="410"/>
      <c r="DF203" s="410"/>
      <c r="DG203" s="410"/>
      <c r="DH203" s="410"/>
      <c r="DI203" s="410"/>
      <c r="DJ203" s="410"/>
      <c r="DK203" s="410"/>
      <c r="DL203" s="410"/>
      <c r="DM203" s="410"/>
      <c r="DN203" s="410"/>
      <c r="DO203" s="410"/>
      <c r="DP203" s="410"/>
      <c r="DQ203" s="410"/>
      <c r="DR203" s="410"/>
      <c r="DS203" s="410"/>
      <c r="DT203" s="410"/>
      <c r="DU203" s="410"/>
      <c r="DV203" s="410"/>
      <c r="DW203" s="410"/>
      <c r="DX203" s="410"/>
      <c r="DY203" s="410"/>
      <c r="DZ203" s="410"/>
      <c r="EA203" s="410"/>
      <c r="EB203" s="410"/>
      <c r="EC203" s="410"/>
      <c r="ED203" s="410"/>
      <c r="EE203" s="410"/>
      <c r="EF203" s="410"/>
      <c r="EG203" s="410"/>
      <c r="EH203" s="410"/>
      <c r="EI203" s="410"/>
      <c r="EJ203" s="410"/>
      <c r="EK203" s="410"/>
      <c r="EL203" s="410"/>
      <c r="EM203" s="410"/>
      <c r="EN203" s="410"/>
      <c r="EO203" s="410"/>
      <c r="EP203" s="410"/>
      <c r="EQ203" s="410"/>
      <c r="ER203" s="410"/>
      <c r="ES203" s="410"/>
      <c r="ET203" s="410"/>
      <c r="EU203" s="410"/>
      <c r="EV203" s="410"/>
      <c r="EW203" s="410"/>
      <c r="EX203" s="410"/>
      <c r="EY203" s="410"/>
      <c r="EZ203" s="410"/>
      <c r="FA203" s="410"/>
      <c r="FB203" s="410"/>
      <c r="FC203" s="410"/>
      <c r="FD203" s="410"/>
      <c r="FE203" s="410"/>
      <c r="FF203" s="410"/>
      <c r="FG203" s="410"/>
      <c r="FH203" s="410"/>
      <c r="FI203" s="410"/>
      <c r="FJ203" s="410"/>
      <c r="FK203" s="410"/>
      <c r="FL203" s="410"/>
      <c r="FM203" s="410"/>
      <c r="FN203" s="410"/>
      <c r="FO203" s="410"/>
      <c r="FP203" s="410"/>
      <c r="FQ203" s="410"/>
      <c r="FR203" s="410"/>
      <c r="FS203" s="410"/>
      <c r="FT203" s="410"/>
      <c r="FU203" s="410"/>
      <c r="FV203" s="410"/>
      <c r="FW203" s="410"/>
      <c r="FX203" s="410"/>
      <c r="FY203" s="410"/>
      <c r="FZ203" s="410"/>
      <c r="GA203" s="410"/>
      <c r="GB203" s="410"/>
      <c r="GC203" s="410"/>
      <c r="GD203" s="410"/>
      <c r="GE203" s="410"/>
      <c r="GF203" s="410"/>
      <c r="GG203" s="410"/>
      <c r="GH203" s="410"/>
      <c r="GI203" s="410"/>
      <c r="GJ203" s="410"/>
      <c r="GK203" s="410"/>
      <c r="GL203" s="410"/>
      <c r="GM203" s="410"/>
      <c r="GN203" s="410"/>
      <c r="GO203" s="410"/>
      <c r="GP203" s="410"/>
      <c r="GQ203" s="410"/>
      <c r="GR203" s="410"/>
      <c r="GS203" s="410"/>
      <c r="GT203" s="410"/>
      <c r="GU203" s="410"/>
      <c r="GV203" s="410"/>
      <c r="GW203" s="410"/>
      <c r="GX203" s="410"/>
      <c r="GY203" s="410"/>
      <c r="GZ203" s="410"/>
      <c r="HA203" s="410"/>
      <c r="HB203" s="410"/>
      <c r="HC203" s="410"/>
      <c r="HD203" s="410"/>
      <c r="HE203" s="410"/>
      <c r="HF203" s="410"/>
      <c r="HG203" s="410"/>
      <c r="HH203" s="410"/>
      <c r="HI203" s="410"/>
      <c r="HJ203" s="410"/>
      <c r="HK203" s="410"/>
      <c r="HL203" s="410"/>
      <c r="HM203" s="410"/>
      <c r="HN203" s="410"/>
      <c r="HO203" s="410"/>
      <c r="HP203" s="410"/>
      <c r="HQ203" s="410"/>
      <c r="HR203" s="410"/>
      <c r="HS203" s="410"/>
      <c r="HT203" s="410"/>
      <c r="HU203" s="410"/>
      <c r="HV203" s="410"/>
      <c r="HW203" s="410"/>
      <c r="HX203" s="410"/>
      <c r="HY203" s="410"/>
      <c r="HZ203" s="410"/>
      <c r="IA203" s="410"/>
      <c r="IB203" s="410"/>
      <c r="IC203" s="410"/>
      <c r="ID203" s="410"/>
      <c r="IE203" s="410"/>
      <c r="IF203" s="410"/>
      <c r="IG203" s="410"/>
      <c r="IH203" s="410"/>
      <c r="II203" s="410"/>
      <c r="IJ203" s="410"/>
      <c r="IK203" s="410"/>
      <c r="IL203" s="410"/>
      <c r="IM203" s="410"/>
    </row>
    <row r="204" spans="1:247" s="415" customFormat="1" ht="30" x14ac:dyDescent="0.25">
      <c r="A204" s="99">
        <v>1</v>
      </c>
      <c r="B204" s="57" t="s">
        <v>108</v>
      </c>
      <c r="C204" s="459">
        <f t="shared" si="87"/>
        <v>150</v>
      </c>
      <c r="D204" s="459">
        <f t="shared" si="87"/>
        <v>63</v>
      </c>
      <c r="E204" s="459">
        <f t="shared" si="87"/>
        <v>23</v>
      </c>
      <c r="F204" s="459">
        <f t="shared" si="87"/>
        <v>36.507936507936506</v>
      </c>
      <c r="G204" s="460">
        <f t="shared" si="87"/>
        <v>318.07650000000001</v>
      </c>
      <c r="H204" s="460">
        <f t="shared" si="87"/>
        <v>132.53</v>
      </c>
      <c r="I204" s="460">
        <f t="shared" si="87"/>
        <v>49.155720000000002</v>
      </c>
      <c r="J204" s="460">
        <f t="shared" si="87"/>
        <v>37.090258809326194</v>
      </c>
      <c r="K204" s="410"/>
      <c r="L204" s="410"/>
      <c r="M204" s="410"/>
      <c r="N204" s="410"/>
      <c r="O204" s="410"/>
      <c r="P204" s="410"/>
      <c r="Q204" s="410"/>
      <c r="R204" s="410"/>
      <c r="S204" s="410"/>
      <c r="T204" s="410"/>
      <c r="U204" s="410"/>
      <c r="V204" s="410"/>
      <c r="W204" s="410"/>
      <c r="X204" s="410"/>
      <c r="Y204" s="410"/>
      <c r="Z204" s="410"/>
      <c r="AA204" s="410"/>
      <c r="AB204" s="410"/>
      <c r="AC204" s="410"/>
      <c r="AD204" s="410"/>
      <c r="AE204" s="410"/>
      <c r="AF204" s="410"/>
      <c r="AG204" s="410"/>
      <c r="AH204" s="410"/>
      <c r="AI204" s="410"/>
      <c r="AJ204" s="410"/>
      <c r="AK204" s="410"/>
      <c r="AL204" s="410"/>
      <c r="AM204" s="410"/>
      <c r="AN204" s="410"/>
      <c r="AO204" s="410"/>
      <c r="AP204" s="410"/>
      <c r="AQ204" s="410"/>
      <c r="AR204" s="410"/>
      <c r="AS204" s="410"/>
      <c r="AT204" s="410"/>
      <c r="AU204" s="410"/>
      <c r="AV204" s="410"/>
      <c r="AW204" s="410"/>
      <c r="AX204" s="410"/>
      <c r="AY204" s="410"/>
      <c r="AZ204" s="410"/>
      <c r="BA204" s="410"/>
      <c r="BB204" s="410"/>
      <c r="BC204" s="410"/>
      <c r="BD204" s="410"/>
      <c r="BE204" s="410"/>
      <c r="BF204" s="410"/>
      <c r="BG204" s="410"/>
      <c r="BH204" s="410"/>
      <c r="BI204" s="410"/>
      <c r="BJ204" s="410"/>
      <c r="BK204" s="410"/>
      <c r="BL204" s="410"/>
      <c r="BM204" s="410"/>
      <c r="BN204" s="410"/>
      <c r="BO204" s="410"/>
      <c r="BP204" s="410"/>
      <c r="BQ204" s="410"/>
      <c r="BR204" s="410"/>
      <c r="BS204" s="410"/>
      <c r="BT204" s="410"/>
      <c r="BU204" s="410"/>
      <c r="BV204" s="410"/>
      <c r="BW204" s="410"/>
      <c r="BX204" s="410"/>
      <c r="BY204" s="410"/>
      <c r="BZ204" s="410"/>
      <c r="CA204" s="410"/>
      <c r="CB204" s="410"/>
      <c r="CC204" s="410"/>
      <c r="CD204" s="410"/>
      <c r="CE204" s="410"/>
      <c r="CF204" s="410"/>
      <c r="CG204" s="410"/>
      <c r="CH204" s="410"/>
      <c r="CI204" s="410"/>
      <c r="CJ204" s="410"/>
      <c r="CK204" s="410"/>
      <c r="CL204" s="410"/>
      <c r="CM204" s="410"/>
      <c r="CN204" s="410"/>
      <c r="CO204" s="410"/>
      <c r="CP204" s="410"/>
      <c r="CQ204" s="410"/>
      <c r="CR204" s="410"/>
      <c r="CS204" s="410"/>
      <c r="CT204" s="410"/>
      <c r="CU204" s="410"/>
      <c r="CV204" s="410"/>
      <c r="CW204" s="410"/>
      <c r="CX204" s="410"/>
      <c r="CY204" s="410"/>
      <c r="CZ204" s="410"/>
      <c r="DA204" s="410"/>
      <c r="DB204" s="410"/>
      <c r="DC204" s="410"/>
      <c r="DD204" s="410"/>
      <c r="DE204" s="410"/>
      <c r="DF204" s="410"/>
      <c r="DG204" s="410"/>
      <c r="DH204" s="410"/>
      <c r="DI204" s="410"/>
      <c r="DJ204" s="410"/>
      <c r="DK204" s="410"/>
      <c r="DL204" s="410"/>
      <c r="DM204" s="410"/>
      <c r="DN204" s="410"/>
      <c r="DO204" s="410"/>
      <c r="DP204" s="410"/>
      <c r="DQ204" s="410"/>
      <c r="DR204" s="410"/>
      <c r="DS204" s="410"/>
      <c r="DT204" s="410"/>
      <c r="DU204" s="410"/>
      <c r="DV204" s="410"/>
      <c r="DW204" s="410"/>
      <c r="DX204" s="410"/>
      <c r="DY204" s="410"/>
      <c r="DZ204" s="410"/>
      <c r="EA204" s="410"/>
      <c r="EB204" s="410"/>
      <c r="EC204" s="410"/>
      <c r="ED204" s="410"/>
      <c r="EE204" s="410"/>
      <c r="EF204" s="410"/>
      <c r="EG204" s="410"/>
      <c r="EH204" s="410"/>
      <c r="EI204" s="410"/>
      <c r="EJ204" s="410"/>
      <c r="EK204" s="410"/>
      <c r="EL204" s="410"/>
      <c r="EM204" s="410"/>
      <c r="EN204" s="410"/>
      <c r="EO204" s="410"/>
      <c r="EP204" s="410"/>
      <c r="EQ204" s="410"/>
      <c r="ER204" s="410"/>
      <c r="ES204" s="410"/>
      <c r="ET204" s="410"/>
      <c r="EU204" s="410"/>
      <c r="EV204" s="410"/>
      <c r="EW204" s="410"/>
      <c r="EX204" s="410"/>
      <c r="EY204" s="410"/>
      <c r="EZ204" s="410"/>
      <c r="FA204" s="410"/>
      <c r="FB204" s="410"/>
      <c r="FC204" s="410"/>
      <c r="FD204" s="410"/>
      <c r="FE204" s="410"/>
      <c r="FF204" s="410"/>
      <c r="FG204" s="410"/>
      <c r="FH204" s="410"/>
      <c r="FI204" s="410"/>
      <c r="FJ204" s="410"/>
      <c r="FK204" s="410"/>
      <c r="FL204" s="410"/>
      <c r="FM204" s="410"/>
      <c r="FN204" s="410"/>
      <c r="FO204" s="410"/>
      <c r="FP204" s="410"/>
      <c r="FQ204" s="410"/>
      <c r="FR204" s="410"/>
      <c r="FS204" s="410"/>
      <c r="FT204" s="410"/>
      <c r="FU204" s="410"/>
      <c r="FV204" s="410"/>
      <c r="FW204" s="410"/>
      <c r="FX204" s="410"/>
      <c r="FY204" s="410"/>
      <c r="FZ204" s="410"/>
      <c r="GA204" s="410"/>
      <c r="GB204" s="410"/>
      <c r="GC204" s="410"/>
      <c r="GD204" s="410"/>
      <c r="GE204" s="410"/>
      <c r="GF204" s="410"/>
      <c r="GG204" s="410"/>
      <c r="GH204" s="410"/>
      <c r="GI204" s="410"/>
      <c r="GJ204" s="410"/>
      <c r="GK204" s="410"/>
      <c r="GL204" s="410"/>
      <c r="GM204" s="410"/>
      <c r="GN204" s="410"/>
      <c r="GO204" s="410"/>
      <c r="GP204" s="410"/>
      <c r="GQ204" s="410"/>
      <c r="GR204" s="410"/>
      <c r="GS204" s="410"/>
      <c r="GT204" s="410"/>
      <c r="GU204" s="410"/>
      <c r="GV204" s="410"/>
      <c r="GW204" s="410"/>
      <c r="GX204" s="410"/>
      <c r="GY204" s="410"/>
      <c r="GZ204" s="410"/>
      <c r="HA204" s="410"/>
      <c r="HB204" s="410"/>
      <c r="HC204" s="410"/>
      <c r="HD204" s="410"/>
      <c r="HE204" s="410"/>
      <c r="HF204" s="410"/>
      <c r="HG204" s="410"/>
      <c r="HH204" s="410"/>
      <c r="HI204" s="410"/>
      <c r="HJ204" s="410"/>
      <c r="HK204" s="410"/>
      <c r="HL204" s="410"/>
      <c r="HM204" s="410"/>
      <c r="HN204" s="410"/>
      <c r="HO204" s="410"/>
      <c r="HP204" s="410"/>
      <c r="HQ204" s="410"/>
      <c r="HR204" s="410"/>
      <c r="HS204" s="410"/>
      <c r="HT204" s="410"/>
      <c r="HU204" s="410"/>
      <c r="HV204" s="410"/>
      <c r="HW204" s="410"/>
      <c r="HX204" s="410"/>
      <c r="HY204" s="410"/>
      <c r="HZ204" s="410"/>
      <c r="IA204" s="410"/>
      <c r="IB204" s="410"/>
      <c r="IC204" s="410"/>
      <c r="ID204" s="410"/>
      <c r="IE204" s="410"/>
      <c r="IF204" s="410"/>
      <c r="IG204" s="410"/>
      <c r="IH204" s="410"/>
      <c r="II204" s="410"/>
      <c r="IJ204" s="410"/>
      <c r="IK204" s="410"/>
      <c r="IL204" s="410"/>
      <c r="IM204" s="410"/>
    </row>
    <row r="205" spans="1:247" s="415" customFormat="1" ht="60" x14ac:dyDescent="0.25">
      <c r="A205" s="99">
        <v>1</v>
      </c>
      <c r="B205" s="57" t="s">
        <v>81</v>
      </c>
      <c r="C205" s="459">
        <f t="shared" si="87"/>
        <v>3500</v>
      </c>
      <c r="D205" s="459">
        <f t="shared" si="87"/>
        <v>1458</v>
      </c>
      <c r="E205" s="459">
        <f t="shared" si="87"/>
        <v>141</v>
      </c>
      <c r="F205" s="459">
        <f t="shared" si="87"/>
        <v>9.6707818930041149</v>
      </c>
      <c r="G205" s="460">
        <f t="shared" si="87"/>
        <v>9636.0949999999993</v>
      </c>
      <c r="H205" s="460">
        <f t="shared" si="87"/>
        <v>4015.04</v>
      </c>
      <c r="I205" s="460">
        <f t="shared" si="87"/>
        <v>181.69682999999998</v>
      </c>
      <c r="J205" s="460">
        <f t="shared" si="87"/>
        <v>4.5254052263489273</v>
      </c>
      <c r="K205" s="410"/>
      <c r="L205" s="410"/>
      <c r="M205" s="410"/>
      <c r="N205" s="410"/>
      <c r="O205" s="410"/>
      <c r="P205" s="410"/>
      <c r="Q205" s="410"/>
      <c r="R205" s="410"/>
      <c r="S205" s="410"/>
      <c r="T205" s="410"/>
      <c r="U205" s="410"/>
      <c r="V205" s="410"/>
      <c r="W205" s="410"/>
      <c r="X205" s="410"/>
      <c r="Y205" s="410"/>
      <c r="Z205" s="410"/>
      <c r="AA205" s="410"/>
      <c r="AB205" s="410"/>
      <c r="AC205" s="410"/>
      <c r="AD205" s="410"/>
      <c r="AE205" s="410"/>
      <c r="AF205" s="410"/>
      <c r="AG205" s="410"/>
      <c r="AH205" s="410"/>
      <c r="AI205" s="410"/>
      <c r="AJ205" s="410"/>
      <c r="AK205" s="410"/>
      <c r="AL205" s="410"/>
      <c r="AM205" s="410"/>
      <c r="AN205" s="410"/>
      <c r="AO205" s="410"/>
      <c r="AP205" s="410"/>
      <c r="AQ205" s="410"/>
      <c r="AR205" s="410"/>
      <c r="AS205" s="410"/>
      <c r="AT205" s="410"/>
      <c r="AU205" s="410"/>
      <c r="AV205" s="410"/>
      <c r="AW205" s="410"/>
      <c r="AX205" s="410"/>
      <c r="AY205" s="410"/>
      <c r="AZ205" s="410"/>
      <c r="BA205" s="410"/>
      <c r="BB205" s="410"/>
      <c r="BC205" s="410"/>
      <c r="BD205" s="410"/>
      <c r="BE205" s="410"/>
      <c r="BF205" s="410"/>
      <c r="BG205" s="410"/>
      <c r="BH205" s="410"/>
      <c r="BI205" s="410"/>
      <c r="BJ205" s="410"/>
      <c r="BK205" s="410"/>
      <c r="BL205" s="410"/>
      <c r="BM205" s="410"/>
      <c r="BN205" s="410"/>
      <c r="BO205" s="410"/>
      <c r="BP205" s="410"/>
      <c r="BQ205" s="410"/>
      <c r="BR205" s="410"/>
      <c r="BS205" s="410"/>
      <c r="BT205" s="410"/>
      <c r="BU205" s="410"/>
      <c r="BV205" s="410"/>
      <c r="BW205" s="410"/>
      <c r="BX205" s="410"/>
      <c r="BY205" s="410"/>
      <c r="BZ205" s="410"/>
      <c r="CA205" s="410"/>
      <c r="CB205" s="410"/>
      <c r="CC205" s="410"/>
      <c r="CD205" s="410"/>
      <c r="CE205" s="410"/>
      <c r="CF205" s="410"/>
      <c r="CG205" s="410"/>
      <c r="CH205" s="410"/>
      <c r="CI205" s="410"/>
      <c r="CJ205" s="410"/>
      <c r="CK205" s="410"/>
      <c r="CL205" s="410"/>
      <c r="CM205" s="410"/>
      <c r="CN205" s="410"/>
      <c r="CO205" s="410"/>
      <c r="CP205" s="410"/>
      <c r="CQ205" s="410"/>
      <c r="CR205" s="410"/>
      <c r="CS205" s="410"/>
      <c r="CT205" s="410"/>
      <c r="CU205" s="410"/>
      <c r="CV205" s="410"/>
      <c r="CW205" s="410"/>
      <c r="CX205" s="410"/>
      <c r="CY205" s="410"/>
      <c r="CZ205" s="410"/>
      <c r="DA205" s="410"/>
      <c r="DB205" s="410"/>
      <c r="DC205" s="410"/>
      <c r="DD205" s="410"/>
      <c r="DE205" s="410"/>
      <c r="DF205" s="410"/>
      <c r="DG205" s="410"/>
      <c r="DH205" s="410"/>
      <c r="DI205" s="410"/>
      <c r="DJ205" s="410"/>
      <c r="DK205" s="410"/>
      <c r="DL205" s="410"/>
      <c r="DM205" s="410"/>
      <c r="DN205" s="410"/>
      <c r="DO205" s="410"/>
      <c r="DP205" s="410"/>
      <c r="DQ205" s="410"/>
      <c r="DR205" s="410"/>
      <c r="DS205" s="410"/>
      <c r="DT205" s="410"/>
      <c r="DU205" s="410"/>
      <c r="DV205" s="410"/>
      <c r="DW205" s="410"/>
      <c r="DX205" s="410"/>
      <c r="DY205" s="410"/>
      <c r="DZ205" s="410"/>
      <c r="EA205" s="410"/>
      <c r="EB205" s="410"/>
      <c r="EC205" s="410"/>
      <c r="ED205" s="410"/>
      <c r="EE205" s="410"/>
      <c r="EF205" s="410"/>
      <c r="EG205" s="410"/>
      <c r="EH205" s="410"/>
      <c r="EI205" s="410"/>
      <c r="EJ205" s="410"/>
      <c r="EK205" s="410"/>
      <c r="EL205" s="410"/>
      <c r="EM205" s="410"/>
      <c r="EN205" s="410"/>
      <c r="EO205" s="410"/>
      <c r="EP205" s="410"/>
      <c r="EQ205" s="410"/>
      <c r="ER205" s="410"/>
      <c r="ES205" s="410"/>
      <c r="ET205" s="410"/>
      <c r="EU205" s="410"/>
      <c r="EV205" s="410"/>
      <c r="EW205" s="410"/>
      <c r="EX205" s="410"/>
      <c r="EY205" s="410"/>
      <c r="EZ205" s="410"/>
      <c r="FA205" s="410"/>
      <c r="FB205" s="410"/>
      <c r="FC205" s="410"/>
      <c r="FD205" s="410"/>
      <c r="FE205" s="410"/>
      <c r="FF205" s="410"/>
      <c r="FG205" s="410"/>
      <c r="FH205" s="410"/>
      <c r="FI205" s="410"/>
      <c r="FJ205" s="410"/>
      <c r="FK205" s="410"/>
      <c r="FL205" s="410"/>
      <c r="FM205" s="410"/>
      <c r="FN205" s="410"/>
      <c r="FO205" s="410"/>
      <c r="FP205" s="410"/>
      <c r="FQ205" s="410"/>
      <c r="FR205" s="410"/>
      <c r="FS205" s="410"/>
      <c r="FT205" s="410"/>
      <c r="FU205" s="410"/>
      <c r="FV205" s="410"/>
      <c r="FW205" s="410"/>
      <c r="FX205" s="410"/>
      <c r="FY205" s="410"/>
      <c r="FZ205" s="410"/>
      <c r="GA205" s="410"/>
      <c r="GB205" s="410"/>
      <c r="GC205" s="410"/>
      <c r="GD205" s="410"/>
      <c r="GE205" s="410"/>
      <c r="GF205" s="410"/>
      <c r="GG205" s="410"/>
      <c r="GH205" s="410"/>
      <c r="GI205" s="410"/>
      <c r="GJ205" s="410"/>
      <c r="GK205" s="410"/>
      <c r="GL205" s="410"/>
      <c r="GM205" s="410"/>
      <c r="GN205" s="410"/>
      <c r="GO205" s="410"/>
      <c r="GP205" s="410"/>
      <c r="GQ205" s="410"/>
      <c r="GR205" s="410"/>
      <c r="GS205" s="410"/>
      <c r="GT205" s="410"/>
      <c r="GU205" s="410"/>
      <c r="GV205" s="410"/>
      <c r="GW205" s="410"/>
      <c r="GX205" s="410"/>
      <c r="GY205" s="410"/>
      <c r="GZ205" s="410"/>
      <c r="HA205" s="410"/>
      <c r="HB205" s="410"/>
      <c r="HC205" s="410"/>
      <c r="HD205" s="410"/>
      <c r="HE205" s="410"/>
      <c r="HF205" s="410"/>
      <c r="HG205" s="410"/>
      <c r="HH205" s="410"/>
      <c r="HI205" s="410"/>
      <c r="HJ205" s="410"/>
      <c r="HK205" s="410"/>
      <c r="HL205" s="410"/>
      <c r="HM205" s="410"/>
      <c r="HN205" s="410"/>
      <c r="HO205" s="410"/>
      <c r="HP205" s="410"/>
      <c r="HQ205" s="410"/>
      <c r="HR205" s="410"/>
      <c r="HS205" s="410"/>
      <c r="HT205" s="410"/>
      <c r="HU205" s="410"/>
      <c r="HV205" s="410"/>
      <c r="HW205" s="410"/>
      <c r="HX205" s="410"/>
      <c r="HY205" s="410"/>
      <c r="HZ205" s="410"/>
      <c r="IA205" s="410"/>
      <c r="IB205" s="410"/>
      <c r="IC205" s="410"/>
      <c r="ID205" s="410"/>
      <c r="IE205" s="410"/>
      <c r="IF205" s="410"/>
      <c r="IG205" s="410"/>
      <c r="IH205" s="410"/>
      <c r="II205" s="410"/>
      <c r="IJ205" s="410"/>
      <c r="IK205" s="410"/>
      <c r="IL205" s="410"/>
      <c r="IM205" s="410"/>
    </row>
    <row r="206" spans="1:247" s="415" customFormat="1" ht="45" x14ac:dyDescent="0.25">
      <c r="A206" s="99">
        <v>1</v>
      </c>
      <c r="B206" s="57" t="s">
        <v>109</v>
      </c>
      <c r="C206" s="459">
        <f t="shared" si="87"/>
        <v>700</v>
      </c>
      <c r="D206" s="459">
        <f t="shared" si="87"/>
        <v>292</v>
      </c>
      <c r="E206" s="459">
        <f t="shared" si="87"/>
        <v>396</v>
      </c>
      <c r="F206" s="459">
        <f t="shared" si="87"/>
        <v>135.61643835616439</v>
      </c>
      <c r="G206" s="460">
        <f t="shared" si="87"/>
        <v>686.11199999999997</v>
      </c>
      <c r="H206" s="460">
        <f t="shared" si="87"/>
        <v>285.88</v>
      </c>
      <c r="I206" s="460">
        <f t="shared" si="87"/>
        <v>357.73148999999995</v>
      </c>
      <c r="J206" s="460">
        <f t="shared" si="87"/>
        <v>125.13344410242058</v>
      </c>
      <c r="K206" s="410"/>
      <c r="L206" s="410"/>
      <c r="M206" s="410"/>
      <c r="N206" s="410"/>
      <c r="O206" s="410"/>
      <c r="P206" s="410"/>
      <c r="Q206" s="410"/>
      <c r="R206" s="410"/>
      <c r="S206" s="410"/>
      <c r="T206" s="410"/>
      <c r="U206" s="410"/>
      <c r="V206" s="410"/>
      <c r="W206" s="410"/>
      <c r="X206" s="410"/>
      <c r="Y206" s="410"/>
      <c r="Z206" s="410"/>
      <c r="AA206" s="410"/>
      <c r="AB206" s="410"/>
      <c r="AC206" s="410"/>
      <c r="AD206" s="410"/>
      <c r="AE206" s="410"/>
      <c r="AF206" s="410"/>
      <c r="AG206" s="410"/>
      <c r="AH206" s="410"/>
      <c r="AI206" s="410"/>
      <c r="AJ206" s="410"/>
      <c r="AK206" s="410"/>
      <c r="AL206" s="410"/>
      <c r="AM206" s="410"/>
      <c r="AN206" s="410"/>
      <c r="AO206" s="410"/>
      <c r="AP206" s="410"/>
      <c r="AQ206" s="410"/>
      <c r="AR206" s="410"/>
      <c r="AS206" s="410"/>
      <c r="AT206" s="410"/>
      <c r="AU206" s="410"/>
      <c r="AV206" s="410"/>
      <c r="AW206" s="410"/>
      <c r="AX206" s="410"/>
      <c r="AY206" s="410"/>
      <c r="AZ206" s="410"/>
      <c r="BA206" s="410"/>
      <c r="BB206" s="410"/>
      <c r="BC206" s="410"/>
      <c r="BD206" s="410"/>
      <c r="BE206" s="410"/>
      <c r="BF206" s="410"/>
      <c r="BG206" s="410"/>
      <c r="BH206" s="410"/>
      <c r="BI206" s="410"/>
      <c r="BJ206" s="410"/>
      <c r="BK206" s="410"/>
      <c r="BL206" s="410"/>
      <c r="BM206" s="410"/>
      <c r="BN206" s="410"/>
      <c r="BO206" s="410"/>
      <c r="BP206" s="410"/>
      <c r="BQ206" s="410"/>
      <c r="BR206" s="410"/>
      <c r="BS206" s="410"/>
      <c r="BT206" s="410"/>
      <c r="BU206" s="410"/>
      <c r="BV206" s="410"/>
      <c r="BW206" s="410"/>
      <c r="BX206" s="410"/>
      <c r="BY206" s="410"/>
      <c r="BZ206" s="410"/>
      <c r="CA206" s="410"/>
      <c r="CB206" s="410"/>
      <c r="CC206" s="410"/>
      <c r="CD206" s="410"/>
      <c r="CE206" s="410"/>
      <c r="CF206" s="410"/>
      <c r="CG206" s="410"/>
      <c r="CH206" s="410"/>
      <c r="CI206" s="410"/>
      <c r="CJ206" s="410"/>
      <c r="CK206" s="410"/>
      <c r="CL206" s="410"/>
      <c r="CM206" s="410"/>
      <c r="CN206" s="410"/>
      <c r="CO206" s="410"/>
      <c r="CP206" s="410"/>
      <c r="CQ206" s="410"/>
      <c r="CR206" s="410"/>
      <c r="CS206" s="410"/>
      <c r="CT206" s="410"/>
      <c r="CU206" s="410"/>
      <c r="CV206" s="410"/>
      <c r="CW206" s="410"/>
      <c r="CX206" s="410"/>
      <c r="CY206" s="410"/>
      <c r="CZ206" s="410"/>
      <c r="DA206" s="410"/>
      <c r="DB206" s="410"/>
      <c r="DC206" s="410"/>
      <c r="DD206" s="410"/>
      <c r="DE206" s="410"/>
      <c r="DF206" s="410"/>
      <c r="DG206" s="410"/>
      <c r="DH206" s="410"/>
      <c r="DI206" s="410"/>
      <c r="DJ206" s="410"/>
      <c r="DK206" s="410"/>
      <c r="DL206" s="410"/>
      <c r="DM206" s="410"/>
      <c r="DN206" s="410"/>
      <c r="DO206" s="410"/>
      <c r="DP206" s="410"/>
      <c r="DQ206" s="410"/>
      <c r="DR206" s="410"/>
      <c r="DS206" s="410"/>
      <c r="DT206" s="410"/>
      <c r="DU206" s="410"/>
      <c r="DV206" s="410"/>
      <c r="DW206" s="410"/>
      <c r="DX206" s="410"/>
      <c r="DY206" s="410"/>
      <c r="DZ206" s="410"/>
      <c r="EA206" s="410"/>
      <c r="EB206" s="410"/>
      <c r="EC206" s="410"/>
      <c r="ED206" s="410"/>
      <c r="EE206" s="410"/>
      <c r="EF206" s="410"/>
      <c r="EG206" s="410"/>
      <c r="EH206" s="410"/>
      <c r="EI206" s="410"/>
      <c r="EJ206" s="410"/>
      <c r="EK206" s="410"/>
      <c r="EL206" s="410"/>
      <c r="EM206" s="410"/>
      <c r="EN206" s="410"/>
      <c r="EO206" s="410"/>
      <c r="EP206" s="410"/>
      <c r="EQ206" s="410"/>
      <c r="ER206" s="410"/>
      <c r="ES206" s="410"/>
      <c r="ET206" s="410"/>
      <c r="EU206" s="410"/>
      <c r="EV206" s="410"/>
      <c r="EW206" s="410"/>
      <c r="EX206" s="410"/>
      <c r="EY206" s="410"/>
      <c r="EZ206" s="410"/>
      <c r="FA206" s="410"/>
      <c r="FB206" s="410"/>
      <c r="FC206" s="410"/>
      <c r="FD206" s="410"/>
      <c r="FE206" s="410"/>
      <c r="FF206" s="410"/>
      <c r="FG206" s="410"/>
      <c r="FH206" s="410"/>
      <c r="FI206" s="410"/>
      <c r="FJ206" s="410"/>
      <c r="FK206" s="410"/>
      <c r="FL206" s="410"/>
      <c r="FM206" s="410"/>
      <c r="FN206" s="410"/>
      <c r="FO206" s="410"/>
      <c r="FP206" s="410"/>
      <c r="FQ206" s="410"/>
      <c r="FR206" s="410"/>
      <c r="FS206" s="410"/>
      <c r="FT206" s="410"/>
      <c r="FU206" s="410"/>
      <c r="FV206" s="410"/>
      <c r="FW206" s="410"/>
      <c r="FX206" s="410"/>
      <c r="FY206" s="410"/>
      <c r="FZ206" s="410"/>
      <c r="GA206" s="410"/>
      <c r="GB206" s="410"/>
      <c r="GC206" s="410"/>
      <c r="GD206" s="410"/>
      <c r="GE206" s="410"/>
      <c r="GF206" s="410"/>
      <c r="GG206" s="410"/>
      <c r="GH206" s="410"/>
      <c r="GI206" s="410"/>
      <c r="GJ206" s="410"/>
      <c r="GK206" s="410"/>
      <c r="GL206" s="410"/>
      <c r="GM206" s="410"/>
      <c r="GN206" s="410"/>
      <c r="GO206" s="410"/>
      <c r="GP206" s="410"/>
      <c r="GQ206" s="410"/>
      <c r="GR206" s="410"/>
      <c r="GS206" s="410"/>
      <c r="GT206" s="410"/>
      <c r="GU206" s="410"/>
      <c r="GV206" s="410"/>
      <c r="GW206" s="410"/>
      <c r="GX206" s="410"/>
      <c r="GY206" s="410"/>
      <c r="GZ206" s="410"/>
      <c r="HA206" s="410"/>
      <c r="HB206" s="410"/>
      <c r="HC206" s="410"/>
      <c r="HD206" s="410"/>
      <c r="HE206" s="410"/>
      <c r="HF206" s="410"/>
      <c r="HG206" s="410"/>
      <c r="HH206" s="410"/>
      <c r="HI206" s="410"/>
      <c r="HJ206" s="410"/>
      <c r="HK206" s="410"/>
      <c r="HL206" s="410"/>
      <c r="HM206" s="410"/>
      <c r="HN206" s="410"/>
      <c r="HO206" s="410"/>
      <c r="HP206" s="410"/>
      <c r="HQ206" s="410"/>
      <c r="HR206" s="410"/>
      <c r="HS206" s="410"/>
      <c r="HT206" s="410"/>
      <c r="HU206" s="410"/>
      <c r="HV206" s="410"/>
      <c r="HW206" s="410"/>
      <c r="HX206" s="410"/>
      <c r="HY206" s="410"/>
      <c r="HZ206" s="410"/>
      <c r="IA206" s="410"/>
      <c r="IB206" s="410"/>
      <c r="IC206" s="410"/>
      <c r="ID206" s="410"/>
      <c r="IE206" s="410"/>
      <c r="IF206" s="410"/>
      <c r="IG206" s="410"/>
      <c r="IH206" s="410"/>
      <c r="II206" s="410"/>
      <c r="IJ206" s="410"/>
      <c r="IK206" s="410"/>
      <c r="IL206" s="410"/>
      <c r="IM206" s="410"/>
    </row>
    <row r="207" spans="1:247" s="415" customFormat="1" ht="30" x14ac:dyDescent="0.25">
      <c r="A207" s="99"/>
      <c r="B207" s="146" t="s">
        <v>123</v>
      </c>
      <c r="C207" s="461">
        <f t="shared" ref="C207:J208" si="88">SUM(C194)</f>
        <v>6950</v>
      </c>
      <c r="D207" s="461">
        <f t="shared" si="88"/>
        <v>2896</v>
      </c>
      <c r="E207" s="461">
        <f t="shared" si="88"/>
        <v>3283</v>
      </c>
      <c r="F207" s="461">
        <f t="shared" si="88"/>
        <v>113.36325966850829</v>
      </c>
      <c r="G207" s="461">
        <f t="shared" si="88"/>
        <v>6763.8789999999999</v>
      </c>
      <c r="H207" s="461">
        <f t="shared" si="88"/>
        <v>2818.28</v>
      </c>
      <c r="I207" s="461">
        <f t="shared" si="88"/>
        <v>3169.71047</v>
      </c>
      <c r="J207" s="461">
        <f t="shared" si="88"/>
        <v>112.46967902408559</v>
      </c>
      <c r="K207" s="410"/>
      <c r="L207" s="410"/>
      <c r="M207" s="410"/>
      <c r="N207" s="410"/>
      <c r="O207" s="410"/>
      <c r="P207" s="410"/>
      <c r="Q207" s="410"/>
      <c r="R207" s="410"/>
      <c r="S207" s="410"/>
      <c r="T207" s="410"/>
      <c r="U207" s="410"/>
      <c r="V207" s="410"/>
      <c r="W207" s="410"/>
      <c r="X207" s="410"/>
      <c r="Y207" s="410"/>
      <c r="Z207" s="410"/>
      <c r="AA207" s="410"/>
      <c r="AB207" s="410"/>
      <c r="AC207" s="410"/>
      <c r="AD207" s="410"/>
      <c r="AE207" s="410"/>
      <c r="AF207" s="410"/>
      <c r="AG207" s="410"/>
      <c r="AH207" s="410"/>
      <c r="AI207" s="410"/>
      <c r="AJ207" s="410"/>
      <c r="AK207" s="410"/>
      <c r="AL207" s="410"/>
      <c r="AM207" s="410"/>
      <c r="AN207" s="410"/>
      <c r="AO207" s="410"/>
      <c r="AP207" s="410"/>
      <c r="AQ207" s="410"/>
      <c r="AR207" s="410"/>
      <c r="AS207" s="410"/>
      <c r="AT207" s="410"/>
      <c r="AU207" s="410"/>
      <c r="AV207" s="410"/>
      <c r="AW207" s="410"/>
      <c r="AX207" s="410"/>
      <c r="AY207" s="410"/>
      <c r="AZ207" s="410"/>
      <c r="BA207" s="410"/>
      <c r="BB207" s="410"/>
      <c r="BC207" s="410"/>
      <c r="BD207" s="410"/>
      <c r="BE207" s="410"/>
      <c r="BF207" s="410"/>
      <c r="BG207" s="410"/>
      <c r="BH207" s="410"/>
      <c r="BI207" s="410"/>
      <c r="BJ207" s="410"/>
      <c r="BK207" s="410"/>
      <c r="BL207" s="410"/>
      <c r="BM207" s="410"/>
      <c r="BN207" s="410"/>
      <c r="BO207" s="410"/>
      <c r="BP207" s="410"/>
      <c r="BQ207" s="410"/>
      <c r="BR207" s="410"/>
      <c r="BS207" s="410"/>
      <c r="BT207" s="410"/>
      <c r="BU207" s="410"/>
      <c r="BV207" s="410"/>
      <c r="BW207" s="410"/>
      <c r="BX207" s="410"/>
      <c r="BY207" s="410"/>
      <c r="BZ207" s="410"/>
      <c r="CA207" s="410"/>
      <c r="CB207" s="410"/>
      <c r="CC207" s="410"/>
      <c r="CD207" s="410"/>
      <c r="CE207" s="410"/>
      <c r="CF207" s="410"/>
      <c r="CG207" s="410"/>
      <c r="CH207" s="410"/>
      <c r="CI207" s="410"/>
      <c r="CJ207" s="410"/>
      <c r="CK207" s="410"/>
      <c r="CL207" s="410"/>
      <c r="CM207" s="410"/>
      <c r="CN207" s="410"/>
      <c r="CO207" s="410"/>
      <c r="CP207" s="410"/>
      <c r="CQ207" s="410"/>
      <c r="CR207" s="410"/>
      <c r="CS207" s="410"/>
      <c r="CT207" s="410"/>
      <c r="CU207" s="410"/>
      <c r="CV207" s="410"/>
      <c r="CW207" s="410"/>
      <c r="CX207" s="410"/>
      <c r="CY207" s="410"/>
      <c r="CZ207" s="410"/>
      <c r="DA207" s="410"/>
      <c r="DB207" s="410"/>
      <c r="DC207" s="410"/>
      <c r="DD207" s="410"/>
      <c r="DE207" s="410"/>
      <c r="DF207" s="410"/>
      <c r="DG207" s="410"/>
      <c r="DH207" s="410"/>
      <c r="DI207" s="410"/>
      <c r="DJ207" s="410"/>
      <c r="DK207" s="410"/>
      <c r="DL207" s="410"/>
      <c r="DM207" s="410"/>
      <c r="DN207" s="410"/>
      <c r="DO207" s="410"/>
      <c r="DP207" s="410"/>
      <c r="DQ207" s="410"/>
      <c r="DR207" s="410"/>
      <c r="DS207" s="410"/>
      <c r="DT207" s="410"/>
      <c r="DU207" s="410"/>
      <c r="DV207" s="410"/>
      <c r="DW207" s="410"/>
      <c r="DX207" s="410"/>
      <c r="DY207" s="410"/>
      <c r="DZ207" s="410"/>
      <c r="EA207" s="410"/>
      <c r="EB207" s="410"/>
      <c r="EC207" s="410"/>
      <c r="ED207" s="410"/>
      <c r="EE207" s="410"/>
      <c r="EF207" s="410"/>
      <c r="EG207" s="410"/>
      <c r="EH207" s="410"/>
      <c r="EI207" s="410"/>
      <c r="EJ207" s="410"/>
      <c r="EK207" s="410"/>
      <c r="EL207" s="410"/>
      <c r="EM207" s="410"/>
      <c r="EN207" s="410"/>
      <c r="EO207" s="410"/>
      <c r="EP207" s="410"/>
      <c r="EQ207" s="410"/>
      <c r="ER207" s="410"/>
      <c r="ES207" s="410"/>
      <c r="ET207" s="410"/>
      <c r="EU207" s="410"/>
      <c r="EV207" s="410"/>
      <c r="EW207" s="410"/>
      <c r="EX207" s="410"/>
      <c r="EY207" s="410"/>
      <c r="EZ207" s="410"/>
      <c r="FA207" s="410"/>
      <c r="FB207" s="410"/>
      <c r="FC207" s="410"/>
      <c r="FD207" s="410"/>
      <c r="FE207" s="410"/>
      <c r="FF207" s="410"/>
      <c r="FG207" s="410"/>
      <c r="FH207" s="410"/>
      <c r="FI207" s="410"/>
      <c r="FJ207" s="410"/>
      <c r="FK207" s="410"/>
      <c r="FL207" s="410"/>
      <c r="FM207" s="410"/>
      <c r="FN207" s="410"/>
      <c r="FO207" s="410"/>
      <c r="FP207" s="410"/>
      <c r="FQ207" s="410"/>
      <c r="FR207" s="410"/>
      <c r="FS207" s="410"/>
      <c r="FT207" s="410"/>
      <c r="FU207" s="410"/>
      <c r="FV207" s="410"/>
      <c r="FW207" s="410"/>
      <c r="FX207" s="410"/>
      <c r="FY207" s="410"/>
      <c r="FZ207" s="410"/>
      <c r="GA207" s="410"/>
      <c r="GB207" s="410"/>
      <c r="GC207" s="410"/>
      <c r="GD207" s="410"/>
      <c r="GE207" s="410"/>
      <c r="GF207" s="410"/>
      <c r="GG207" s="410"/>
      <c r="GH207" s="410"/>
      <c r="GI207" s="410"/>
      <c r="GJ207" s="410"/>
      <c r="GK207" s="410"/>
      <c r="GL207" s="410"/>
      <c r="GM207" s="410"/>
      <c r="GN207" s="410"/>
      <c r="GO207" s="410"/>
      <c r="GP207" s="410"/>
      <c r="GQ207" s="410"/>
      <c r="GR207" s="410"/>
      <c r="GS207" s="410"/>
      <c r="GT207" s="410"/>
      <c r="GU207" s="410"/>
      <c r="GV207" s="410"/>
      <c r="GW207" s="410"/>
      <c r="GX207" s="410"/>
      <c r="GY207" s="410"/>
      <c r="GZ207" s="410"/>
      <c r="HA207" s="410"/>
      <c r="HB207" s="410"/>
      <c r="HC207" s="410"/>
      <c r="HD207" s="410"/>
      <c r="HE207" s="410"/>
      <c r="HF207" s="410"/>
      <c r="HG207" s="410"/>
      <c r="HH207" s="410"/>
      <c r="HI207" s="410"/>
      <c r="HJ207" s="410"/>
      <c r="HK207" s="410"/>
      <c r="HL207" s="410"/>
      <c r="HM207" s="410"/>
      <c r="HN207" s="410"/>
      <c r="HO207" s="410"/>
      <c r="HP207" s="410"/>
      <c r="HQ207" s="410"/>
      <c r="HR207" s="410"/>
      <c r="HS207" s="410"/>
      <c r="HT207" s="410"/>
      <c r="HU207" s="410"/>
      <c r="HV207" s="410"/>
      <c r="HW207" s="410"/>
      <c r="HX207" s="410"/>
      <c r="HY207" s="410"/>
      <c r="HZ207" s="410"/>
      <c r="IA207" s="410"/>
      <c r="IB207" s="410"/>
      <c r="IC207" s="410"/>
      <c r="ID207" s="410"/>
      <c r="IE207" s="410"/>
      <c r="IF207" s="410"/>
      <c r="IG207" s="410"/>
      <c r="IH207" s="410"/>
      <c r="II207" s="410"/>
      <c r="IJ207" s="410"/>
      <c r="IK207" s="410"/>
      <c r="IL207" s="410"/>
      <c r="IM207" s="410"/>
    </row>
    <row r="208" spans="1:247" s="415" customFormat="1" x14ac:dyDescent="0.25">
      <c r="A208" s="99"/>
      <c r="B208" s="146" t="s">
        <v>125</v>
      </c>
      <c r="C208" s="461">
        <f t="shared" si="88"/>
        <v>1850</v>
      </c>
      <c r="D208" s="461">
        <f t="shared" si="88"/>
        <v>771</v>
      </c>
      <c r="E208" s="461">
        <f t="shared" si="88"/>
        <v>890</v>
      </c>
      <c r="F208" s="461">
        <f t="shared" si="88"/>
        <v>115.43450064850842</v>
      </c>
      <c r="G208" s="461">
        <f t="shared" si="88"/>
        <v>1800.4569999999999</v>
      </c>
      <c r="H208" s="461">
        <f t="shared" si="88"/>
        <v>750.19</v>
      </c>
      <c r="I208" s="461">
        <f t="shared" si="88"/>
        <v>858.15811000000008</v>
      </c>
      <c r="J208" s="461">
        <f t="shared" si="88"/>
        <v>114.39210200082645</v>
      </c>
      <c r="K208" s="410"/>
      <c r="L208" s="410"/>
      <c r="M208" s="410"/>
      <c r="N208" s="410"/>
      <c r="O208" s="410"/>
      <c r="P208" s="410"/>
      <c r="Q208" s="410"/>
      <c r="R208" s="410"/>
      <c r="S208" s="410"/>
      <c r="T208" s="410"/>
      <c r="U208" s="410"/>
      <c r="V208" s="410"/>
      <c r="W208" s="410"/>
      <c r="X208" s="410"/>
      <c r="Y208" s="410"/>
      <c r="Z208" s="410"/>
      <c r="AA208" s="410"/>
      <c r="AB208" s="410"/>
      <c r="AC208" s="410"/>
      <c r="AD208" s="410"/>
      <c r="AE208" s="410"/>
      <c r="AF208" s="410"/>
      <c r="AG208" s="410"/>
      <c r="AH208" s="410"/>
      <c r="AI208" s="410"/>
      <c r="AJ208" s="410"/>
      <c r="AK208" s="410"/>
      <c r="AL208" s="410"/>
      <c r="AM208" s="410"/>
      <c r="AN208" s="410"/>
      <c r="AO208" s="410"/>
      <c r="AP208" s="410"/>
      <c r="AQ208" s="410"/>
      <c r="AR208" s="410"/>
      <c r="AS208" s="410"/>
      <c r="AT208" s="410"/>
      <c r="AU208" s="410"/>
      <c r="AV208" s="410"/>
      <c r="AW208" s="410"/>
      <c r="AX208" s="410"/>
      <c r="AY208" s="410"/>
      <c r="AZ208" s="410"/>
      <c r="BA208" s="410"/>
      <c r="BB208" s="410"/>
      <c r="BC208" s="410"/>
      <c r="BD208" s="410"/>
      <c r="BE208" s="410"/>
      <c r="BF208" s="410"/>
      <c r="BG208" s="410"/>
      <c r="BH208" s="410"/>
      <c r="BI208" s="410"/>
      <c r="BJ208" s="410"/>
      <c r="BK208" s="410"/>
      <c r="BL208" s="410"/>
      <c r="BM208" s="410"/>
      <c r="BN208" s="410"/>
      <c r="BO208" s="410"/>
      <c r="BP208" s="410"/>
      <c r="BQ208" s="410"/>
      <c r="BR208" s="410"/>
      <c r="BS208" s="410"/>
      <c r="BT208" s="410"/>
      <c r="BU208" s="410"/>
      <c r="BV208" s="410"/>
      <c r="BW208" s="410"/>
      <c r="BX208" s="410"/>
      <c r="BY208" s="410"/>
      <c r="BZ208" s="410"/>
      <c r="CA208" s="410"/>
      <c r="CB208" s="410"/>
      <c r="CC208" s="410"/>
      <c r="CD208" s="410"/>
      <c r="CE208" s="410"/>
      <c r="CF208" s="410"/>
      <c r="CG208" s="410"/>
      <c r="CH208" s="410"/>
      <c r="CI208" s="410"/>
      <c r="CJ208" s="410"/>
      <c r="CK208" s="410"/>
      <c r="CL208" s="410"/>
      <c r="CM208" s="410"/>
      <c r="CN208" s="410"/>
      <c r="CO208" s="410"/>
      <c r="CP208" s="410"/>
      <c r="CQ208" s="410"/>
      <c r="CR208" s="410"/>
      <c r="CS208" s="410"/>
      <c r="CT208" s="410"/>
      <c r="CU208" s="410"/>
      <c r="CV208" s="410"/>
      <c r="CW208" s="410"/>
      <c r="CX208" s="410"/>
      <c r="CY208" s="410"/>
      <c r="CZ208" s="410"/>
      <c r="DA208" s="410"/>
      <c r="DB208" s="410"/>
      <c r="DC208" s="410"/>
      <c r="DD208" s="410"/>
      <c r="DE208" s="410"/>
      <c r="DF208" s="410"/>
      <c r="DG208" s="410"/>
      <c r="DH208" s="410"/>
      <c r="DI208" s="410"/>
      <c r="DJ208" s="410"/>
      <c r="DK208" s="410"/>
      <c r="DL208" s="410"/>
      <c r="DM208" s="410"/>
      <c r="DN208" s="410"/>
      <c r="DO208" s="410"/>
      <c r="DP208" s="410"/>
      <c r="DQ208" s="410"/>
      <c r="DR208" s="410"/>
      <c r="DS208" s="410"/>
      <c r="DT208" s="410"/>
      <c r="DU208" s="410"/>
      <c r="DV208" s="410"/>
      <c r="DW208" s="410"/>
      <c r="DX208" s="410"/>
      <c r="DY208" s="410"/>
      <c r="DZ208" s="410"/>
      <c r="EA208" s="410"/>
      <c r="EB208" s="410"/>
      <c r="EC208" s="410"/>
      <c r="ED208" s="410"/>
      <c r="EE208" s="410"/>
      <c r="EF208" s="410"/>
      <c r="EG208" s="410"/>
      <c r="EH208" s="410"/>
      <c r="EI208" s="410"/>
      <c r="EJ208" s="410"/>
      <c r="EK208" s="410"/>
      <c r="EL208" s="410"/>
      <c r="EM208" s="410"/>
      <c r="EN208" s="410"/>
      <c r="EO208" s="410"/>
      <c r="EP208" s="410"/>
      <c r="EQ208" s="410"/>
      <c r="ER208" s="410"/>
      <c r="ES208" s="410"/>
      <c r="ET208" s="410"/>
      <c r="EU208" s="410"/>
      <c r="EV208" s="410"/>
      <c r="EW208" s="410"/>
      <c r="EX208" s="410"/>
      <c r="EY208" s="410"/>
      <c r="EZ208" s="410"/>
      <c r="FA208" s="410"/>
      <c r="FB208" s="410"/>
      <c r="FC208" s="410"/>
      <c r="FD208" s="410"/>
      <c r="FE208" s="410"/>
      <c r="FF208" s="410"/>
      <c r="FG208" s="410"/>
      <c r="FH208" s="410"/>
      <c r="FI208" s="410"/>
      <c r="FJ208" s="410"/>
      <c r="FK208" s="410"/>
      <c r="FL208" s="410"/>
      <c r="FM208" s="410"/>
      <c r="FN208" s="410"/>
      <c r="FO208" s="410"/>
      <c r="FP208" s="410"/>
      <c r="FQ208" s="410"/>
      <c r="FR208" s="410"/>
      <c r="FS208" s="410"/>
      <c r="FT208" s="410"/>
      <c r="FU208" s="410"/>
      <c r="FV208" s="410"/>
      <c r="FW208" s="410"/>
      <c r="FX208" s="410"/>
      <c r="FY208" s="410"/>
      <c r="FZ208" s="410"/>
      <c r="GA208" s="410"/>
      <c r="GB208" s="410"/>
      <c r="GC208" s="410"/>
      <c r="GD208" s="410"/>
      <c r="GE208" s="410"/>
      <c r="GF208" s="410"/>
      <c r="GG208" s="410"/>
      <c r="GH208" s="410"/>
      <c r="GI208" s="410"/>
      <c r="GJ208" s="410"/>
      <c r="GK208" s="410"/>
      <c r="GL208" s="410"/>
      <c r="GM208" s="410"/>
      <c r="GN208" s="410"/>
      <c r="GO208" s="410"/>
      <c r="GP208" s="410"/>
      <c r="GQ208" s="410"/>
      <c r="GR208" s="410"/>
      <c r="GS208" s="410"/>
      <c r="GT208" s="410"/>
      <c r="GU208" s="410"/>
      <c r="GV208" s="410"/>
      <c r="GW208" s="410"/>
      <c r="GX208" s="410"/>
      <c r="GY208" s="410"/>
      <c r="GZ208" s="410"/>
      <c r="HA208" s="410"/>
      <c r="HB208" s="410"/>
      <c r="HC208" s="410"/>
      <c r="HD208" s="410"/>
      <c r="HE208" s="410"/>
      <c r="HF208" s="410"/>
      <c r="HG208" s="410"/>
      <c r="HH208" s="410"/>
      <c r="HI208" s="410"/>
      <c r="HJ208" s="410"/>
      <c r="HK208" s="410"/>
      <c r="HL208" s="410"/>
      <c r="HM208" s="410"/>
      <c r="HN208" s="410"/>
      <c r="HO208" s="410"/>
      <c r="HP208" s="410"/>
      <c r="HQ208" s="410"/>
      <c r="HR208" s="410"/>
      <c r="HS208" s="410"/>
      <c r="HT208" s="410"/>
      <c r="HU208" s="410"/>
      <c r="HV208" s="410"/>
      <c r="HW208" s="410"/>
      <c r="HX208" s="410"/>
      <c r="HY208" s="410"/>
      <c r="HZ208" s="410"/>
      <c r="IA208" s="410"/>
      <c r="IB208" s="410"/>
      <c r="IC208" s="410"/>
      <c r="ID208" s="410"/>
      <c r="IE208" s="410"/>
      <c r="IF208" s="410"/>
      <c r="IG208" s="410"/>
      <c r="IH208" s="410"/>
      <c r="II208" s="410"/>
      <c r="IJ208" s="410"/>
      <c r="IK208" s="410"/>
      <c r="IL208" s="410"/>
      <c r="IM208" s="410"/>
    </row>
    <row r="209" spans="1:10" ht="15.75" thickBot="1" x14ac:dyDescent="0.3">
      <c r="A209" s="99">
        <v>1</v>
      </c>
      <c r="B209" s="276" t="s">
        <v>107</v>
      </c>
      <c r="C209" s="462">
        <f t="shared" ref="C209:J209" si="89">C196</f>
        <v>0</v>
      </c>
      <c r="D209" s="462">
        <f t="shared" si="89"/>
        <v>0</v>
      </c>
      <c r="E209" s="462">
        <f t="shared" si="89"/>
        <v>0</v>
      </c>
      <c r="F209" s="462">
        <f t="shared" si="89"/>
        <v>0</v>
      </c>
      <c r="G209" s="463">
        <f t="shared" si="89"/>
        <v>24409.422749999998</v>
      </c>
      <c r="H209" s="463">
        <f t="shared" si="89"/>
        <v>10170.58</v>
      </c>
      <c r="I209" s="463">
        <f t="shared" si="89"/>
        <v>5313.8723099999997</v>
      </c>
      <c r="J209" s="463">
        <f t="shared" si="89"/>
        <v>52.247485492469458</v>
      </c>
    </row>
    <row r="210" spans="1:10" ht="15.75" thickBot="1" x14ac:dyDescent="0.3">
      <c r="A210" s="99">
        <v>1</v>
      </c>
      <c r="B210" s="443" t="s">
        <v>7</v>
      </c>
      <c r="C210" s="138"/>
      <c r="D210" s="138"/>
      <c r="E210" s="138"/>
      <c r="F210" s="138"/>
      <c r="G210" s="220"/>
      <c r="H210" s="220"/>
      <c r="I210" s="220"/>
      <c r="J210" s="220"/>
    </row>
    <row r="211" spans="1:10" ht="34.5" customHeight="1" x14ac:dyDescent="0.25">
      <c r="A211" s="99">
        <v>1</v>
      </c>
      <c r="B211" s="433" t="s">
        <v>126</v>
      </c>
      <c r="C211" s="63"/>
      <c r="D211" s="63"/>
      <c r="E211" s="63"/>
      <c r="F211" s="63"/>
      <c r="G211" s="198"/>
      <c r="H211" s="198"/>
      <c r="I211" s="198"/>
      <c r="J211" s="198"/>
    </row>
    <row r="212" spans="1:10" s="49" customFormat="1" ht="30" x14ac:dyDescent="0.25">
      <c r="A212" s="99">
        <v>1</v>
      </c>
      <c r="B212" s="57" t="s">
        <v>120</v>
      </c>
      <c r="C212" s="54">
        <f>SUM(C213:C216)</f>
        <v>5336</v>
      </c>
      <c r="D212" s="54">
        <f>SUM(D213:D216)</f>
        <v>2224</v>
      </c>
      <c r="E212" s="54">
        <f>SUM(E213:E216)</f>
        <v>2780</v>
      </c>
      <c r="F212" s="54">
        <f>E212/D212*100</f>
        <v>125</v>
      </c>
      <c r="G212" s="205">
        <f>SUM(G213:G216)</f>
        <v>10257.084710000001</v>
      </c>
      <c r="H212" s="205">
        <f>SUM(H213:H216)</f>
        <v>4273.79</v>
      </c>
      <c r="I212" s="205">
        <f>SUM(I213:I216)</f>
        <v>5711.2745300000006</v>
      </c>
      <c r="J212" s="205">
        <f>I212/H212*100</f>
        <v>133.63488917330989</v>
      </c>
    </row>
    <row r="213" spans="1:10" s="49" customFormat="1" ht="30" x14ac:dyDescent="0.25">
      <c r="A213" s="99">
        <v>1</v>
      </c>
      <c r="B213" s="57" t="s">
        <v>79</v>
      </c>
      <c r="C213" s="54">
        <v>3917</v>
      </c>
      <c r="D213" s="50">
        <f t="shared" ref="D213:D220" si="90">ROUND(C213/12*$B$3,0)</f>
        <v>1632</v>
      </c>
      <c r="E213" s="54">
        <v>2242</v>
      </c>
      <c r="F213" s="54">
        <f>E213/D213*100</f>
        <v>137.37745098039215</v>
      </c>
      <c r="G213" s="205">
        <v>6449.5396000000001</v>
      </c>
      <c r="H213" s="323">
        <f t="shared" ref="H213:H216" si="91">ROUND(G213/12*$B$3,2)</f>
        <v>2687.31</v>
      </c>
      <c r="I213" s="205">
        <v>3622.2108699999999</v>
      </c>
      <c r="J213" s="205">
        <f t="shared" ref="J213:J222" si="92">I213/H213*100</f>
        <v>134.78946865080695</v>
      </c>
    </row>
    <row r="214" spans="1:10" s="49" customFormat="1" ht="30" x14ac:dyDescent="0.25">
      <c r="A214" s="99">
        <v>1</v>
      </c>
      <c r="B214" s="57" t="s">
        <v>80</v>
      </c>
      <c r="C214" s="54">
        <v>1175</v>
      </c>
      <c r="D214" s="50">
        <f t="shared" si="90"/>
        <v>490</v>
      </c>
      <c r="E214" s="54">
        <v>304</v>
      </c>
      <c r="F214" s="54">
        <f>E214/D214*100</f>
        <v>62.04081632653061</v>
      </c>
      <c r="G214" s="205">
        <v>2206.39759</v>
      </c>
      <c r="H214" s="323">
        <f t="shared" si="91"/>
        <v>919.33</v>
      </c>
      <c r="I214" s="205">
        <v>553.53693999999996</v>
      </c>
      <c r="J214" s="205">
        <f t="shared" si="92"/>
        <v>60.210907943828651</v>
      </c>
    </row>
    <row r="215" spans="1:10" s="49" customFormat="1" ht="45" x14ac:dyDescent="0.25">
      <c r="A215" s="99">
        <v>1</v>
      </c>
      <c r="B215" s="57" t="s">
        <v>114</v>
      </c>
      <c r="C215" s="54">
        <v>52</v>
      </c>
      <c r="D215" s="50">
        <f t="shared" si="90"/>
        <v>22</v>
      </c>
      <c r="E215" s="54">
        <v>56</v>
      </c>
      <c r="F215" s="54">
        <f>E215/D215*100</f>
        <v>254.54545454545453</v>
      </c>
      <c r="G215" s="205">
        <v>341.22816</v>
      </c>
      <c r="H215" s="323">
        <f t="shared" si="91"/>
        <v>142.18</v>
      </c>
      <c r="I215" s="205">
        <v>367.47647999999998</v>
      </c>
      <c r="J215" s="205">
        <f t="shared" si="92"/>
        <v>258.45862990575324</v>
      </c>
    </row>
    <row r="216" spans="1:10" s="49" customFormat="1" ht="30" x14ac:dyDescent="0.25">
      <c r="A216" s="99">
        <v>1</v>
      </c>
      <c r="B216" s="57" t="s">
        <v>115</v>
      </c>
      <c r="C216" s="54">
        <v>192</v>
      </c>
      <c r="D216" s="50">
        <f t="shared" si="90"/>
        <v>80</v>
      </c>
      <c r="E216" s="54">
        <v>178</v>
      </c>
      <c r="F216" s="54">
        <f t="shared" ref="F216:F220" si="93">E216/D216*100</f>
        <v>222.5</v>
      </c>
      <c r="G216" s="205">
        <v>1259.9193599999999</v>
      </c>
      <c r="H216" s="323">
        <f t="shared" si="91"/>
        <v>524.97</v>
      </c>
      <c r="I216" s="205">
        <v>1168.05024</v>
      </c>
      <c r="J216" s="205">
        <f t="shared" si="92"/>
        <v>222.49847419852563</v>
      </c>
    </row>
    <row r="217" spans="1:10" s="49" customFormat="1" ht="30" x14ac:dyDescent="0.25">
      <c r="A217" s="99">
        <v>1</v>
      </c>
      <c r="B217" s="57" t="s">
        <v>112</v>
      </c>
      <c r="C217" s="54">
        <f>SUM(C218:C220)</f>
        <v>8769</v>
      </c>
      <c r="D217" s="54">
        <f>SUM(D218:D220)</f>
        <v>3654</v>
      </c>
      <c r="E217" s="54">
        <f>SUM(E218:E220)</f>
        <v>3506</v>
      </c>
      <c r="F217" s="54">
        <f t="shared" si="93"/>
        <v>95.94964422550629</v>
      </c>
      <c r="G217" s="199">
        <f>SUM(G218:G220)</f>
        <v>22940.131579999997</v>
      </c>
      <c r="H217" s="199">
        <f>SUM(H218:H220)</f>
        <v>9558.3900000000012</v>
      </c>
      <c r="I217" s="199">
        <f>SUM(I218:I220)</f>
        <v>8664.4876199999981</v>
      </c>
      <c r="J217" s="205">
        <f t="shared" si="92"/>
        <v>90.647981720770929</v>
      </c>
    </row>
    <row r="218" spans="1:10" s="49" customFormat="1" ht="30" x14ac:dyDescent="0.25">
      <c r="A218" s="99">
        <v>1</v>
      </c>
      <c r="B218" s="57" t="s">
        <v>108</v>
      </c>
      <c r="C218" s="54">
        <v>2900</v>
      </c>
      <c r="D218" s="50">
        <f t="shared" si="90"/>
        <v>1208</v>
      </c>
      <c r="E218" s="54">
        <v>1056</v>
      </c>
      <c r="F218" s="54">
        <f t="shared" si="93"/>
        <v>87.41721854304636</v>
      </c>
      <c r="G218" s="205">
        <f>6149479/1000</f>
        <v>6149.4790000000003</v>
      </c>
      <c r="H218" s="323">
        <f t="shared" ref="H218:H221" si="94">ROUND(G218/12*$B$3,2)</f>
        <v>2562.2800000000002</v>
      </c>
      <c r="I218" s="205">
        <v>2232.0937599999997</v>
      </c>
      <c r="J218" s="205">
        <f t="shared" si="92"/>
        <v>87.113576970510621</v>
      </c>
    </row>
    <row r="219" spans="1:10" s="49" customFormat="1" ht="60" x14ac:dyDescent="0.25">
      <c r="A219" s="99">
        <v>1</v>
      </c>
      <c r="B219" s="57" t="s">
        <v>119</v>
      </c>
      <c r="C219" s="54">
        <v>5154</v>
      </c>
      <c r="D219" s="50">
        <f t="shared" si="90"/>
        <v>2148</v>
      </c>
      <c r="E219" s="54">
        <v>2200</v>
      </c>
      <c r="F219" s="54">
        <f t="shared" si="93"/>
        <v>102.42085661080074</v>
      </c>
      <c r="G219" s="205">
        <f>16089838.18/1000</f>
        <v>16089.838179999999</v>
      </c>
      <c r="H219" s="323">
        <f t="shared" si="94"/>
        <v>6704.1</v>
      </c>
      <c r="I219" s="205">
        <v>6222.8753499999993</v>
      </c>
      <c r="J219" s="205">
        <f t="shared" si="92"/>
        <v>92.821935084500524</v>
      </c>
    </row>
    <row r="220" spans="1:10" s="49" customFormat="1" ht="45" x14ac:dyDescent="0.25">
      <c r="A220" s="99">
        <v>1</v>
      </c>
      <c r="B220" s="57" t="s">
        <v>109</v>
      </c>
      <c r="C220" s="54">
        <v>715</v>
      </c>
      <c r="D220" s="50">
        <f t="shared" si="90"/>
        <v>298</v>
      </c>
      <c r="E220" s="54">
        <v>250</v>
      </c>
      <c r="F220" s="54">
        <f t="shared" si="93"/>
        <v>83.892617449664428</v>
      </c>
      <c r="G220" s="205">
        <f>700814.4/1000</f>
        <v>700.81439999999998</v>
      </c>
      <c r="H220" s="323">
        <f t="shared" si="94"/>
        <v>292.01</v>
      </c>
      <c r="I220" s="205">
        <v>209.51850999999996</v>
      </c>
      <c r="J220" s="205">
        <f t="shared" si="92"/>
        <v>71.750457176124087</v>
      </c>
    </row>
    <row r="221" spans="1:10" s="49" customFormat="1" ht="30" x14ac:dyDescent="0.25">
      <c r="A221" s="99"/>
      <c r="B221" s="408" t="s">
        <v>123</v>
      </c>
      <c r="C221" s="54">
        <v>12000</v>
      </c>
      <c r="D221" s="50">
        <f>ROUND(C221/12*$B$3,0)</f>
        <v>5000</v>
      </c>
      <c r="E221" s="54">
        <v>4317</v>
      </c>
      <c r="F221" s="54">
        <f>E221/D221*100</f>
        <v>86.339999999999989</v>
      </c>
      <c r="G221" s="205">
        <v>11678.64</v>
      </c>
      <c r="H221" s="323">
        <f t="shared" si="94"/>
        <v>4866.1000000000004</v>
      </c>
      <c r="I221" s="205">
        <v>4168.1000599999998</v>
      </c>
      <c r="J221" s="205">
        <f>I221/H221*100</f>
        <v>85.655865271983714</v>
      </c>
    </row>
    <row r="222" spans="1:10" s="49" customFormat="1" ht="15.75" thickBot="1" x14ac:dyDescent="0.3">
      <c r="A222" s="99">
        <v>1</v>
      </c>
      <c r="B222" s="420" t="s">
        <v>3</v>
      </c>
      <c r="C222" s="56"/>
      <c r="D222" s="56"/>
      <c r="E222" s="56"/>
      <c r="F222" s="56"/>
      <c r="G222" s="209">
        <f>G217+G212+G221</f>
        <v>44875.856289999996</v>
      </c>
      <c r="H222" s="209">
        <f>H217+H212+H221</f>
        <v>18698.28</v>
      </c>
      <c r="I222" s="209">
        <f>I217+I212+I221</f>
        <v>18543.862209999999</v>
      </c>
      <c r="J222" s="209">
        <f t="shared" si="92"/>
        <v>99.174160457539415</v>
      </c>
    </row>
    <row r="223" spans="1:10" ht="29.25" x14ac:dyDescent="0.25">
      <c r="A223" s="99">
        <v>1</v>
      </c>
      <c r="B223" s="457" t="s">
        <v>97</v>
      </c>
      <c r="C223" s="464"/>
      <c r="D223" s="464"/>
      <c r="E223" s="464"/>
      <c r="F223" s="464"/>
      <c r="G223" s="465"/>
      <c r="H223" s="465"/>
      <c r="I223" s="465"/>
      <c r="J223" s="465"/>
    </row>
    <row r="224" spans="1:10" ht="30" x14ac:dyDescent="0.25">
      <c r="A224" s="99">
        <v>1</v>
      </c>
      <c r="B224" s="121" t="s">
        <v>120</v>
      </c>
      <c r="C224" s="58">
        <f t="shared" ref="C224:J232" si="95">C212</f>
        <v>5336</v>
      </c>
      <c r="D224" s="58">
        <f t="shared" si="95"/>
        <v>2224</v>
      </c>
      <c r="E224" s="58">
        <f t="shared" si="95"/>
        <v>2780</v>
      </c>
      <c r="F224" s="58">
        <f t="shared" si="95"/>
        <v>125</v>
      </c>
      <c r="G224" s="198">
        <f t="shared" si="95"/>
        <v>10257.084710000001</v>
      </c>
      <c r="H224" s="198">
        <f t="shared" si="95"/>
        <v>4273.79</v>
      </c>
      <c r="I224" s="198">
        <f t="shared" si="95"/>
        <v>5711.2745300000006</v>
      </c>
      <c r="J224" s="198">
        <f t="shared" si="95"/>
        <v>133.63488917330989</v>
      </c>
    </row>
    <row r="225" spans="1:10" ht="30" x14ac:dyDescent="0.25">
      <c r="A225" s="99">
        <v>1</v>
      </c>
      <c r="B225" s="57" t="s">
        <v>79</v>
      </c>
      <c r="C225" s="58">
        <f t="shared" si="95"/>
        <v>3917</v>
      </c>
      <c r="D225" s="58">
        <f t="shared" si="95"/>
        <v>1632</v>
      </c>
      <c r="E225" s="58">
        <f t="shared" si="95"/>
        <v>2242</v>
      </c>
      <c r="F225" s="58">
        <f t="shared" si="95"/>
        <v>137.37745098039215</v>
      </c>
      <c r="G225" s="198">
        <f t="shared" si="95"/>
        <v>6449.5396000000001</v>
      </c>
      <c r="H225" s="198">
        <f t="shared" si="95"/>
        <v>2687.31</v>
      </c>
      <c r="I225" s="198">
        <f t="shared" si="95"/>
        <v>3622.2108699999999</v>
      </c>
      <c r="J225" s="198">
        <f t="shared" si="95"/>
        <v>134.78946865080695</v>
      </c>
    </row>
    <row r="226" spans="1:10" ht="30" x14ac:dyDescent="0.25">
      <c r="A226" s="99">
        <v>1</v>
      </c>
      <c r="B226" s="57" t="s">
        <v>80</v>
      </c>
      <c r="C226" s="58">
        <f t="shared" si="95"/>
        <v>1175</v>
      </c>
      <c r="D226" s="58">
        <f t="shared" si="95"/>
        <v>490</v>
      </c>
      <c r="E226" s="58">
        <f t="shared" si="95"/>
        <v>304</v>
      </c>
      <c r="F226" s="58">
        <f t="shared" si="95"/>
        <v>62.04081632653061</v>
      </c>
      <c r="G226" s="198">
        <f t="shared" si="95"/>
        <v>2206.39759</v>
      </c>
      <c r="H226" s="198">
        <f t="shared" si="95"/>
        <v>919.33</v>
      </c>
      <c r="I226" s="198">
        <f t="shared" si="95"/>
        <v>553.53693999999996</v>
      </c>
      <c r="J226" s="198">
        <f t="shared" si="95"/>
        <v>60.210907943828651</v>
      </c>
    </row>
    <row r="227" spans="1:10" ht="45" x14ac:dyDescent="0.25">
      <c r="A227" s="99">
        <v>1</v>
      </c>
      <c r="B227" s="57" t="s">
        <v>114</v>
      </c>
      <c r="C227" s="58">
        <f t="shared" si="95"/>
        <v>52</v>
      </c>
      <c r="D227" s="58">
        <f t="shared" si="95"/>
        <v>22</v>
      </c>
      <c r="E227" s="58">
        <f t="shared" si="95"/>
        <v>56</v>
      </c>
      <c r="F227" s="58">
        <f t="shared" si="95"/>
        <v>254.54545454545453</v>
      </c>
      <c r="G227" s="198">
        <f t="shared" si="95"/>
        <v>341.22816</v>
      </c>
      <c r="H227" s="198">
        <f t="shared" si="95"/>
        <v>142.18</v>
      </c>
      <c r="I227" s="198">
        <f t="shared" si="95"/>
        <v>367.47647999999998</v>
      </c>
      <c r="J227" s="198">
        <f t="shared" si="95"/>
        <v>258.45862990575324</v>
      </c>
    </row>
    <row r="228" spans="1:10" ht="30" x14ac:dyDescent="0.25">
      <c r="A228" s="99">
        <v>1</v>
      </c>
      <c r="B228" s="57" t="s">
        <v>115</v>
      </c>
      <c r="C228" s="58">
        <f t="shared" si="95"/>
        <v>192</v>
      </c>
      <c r="D228" s="58">
        <f t="shared" si="95"/>
        <v>80</v>
      </c>
      <c r="E228" s="58">
        <f t="shared" si="95"/>
        <v>178</v>
      </c>
      <c r="F228" s="58">
        <f t="shared" si="95"/>
        <v>222.5</v>
      </c>
      <c r="G228" s="198">
        <f t="shared" si="95"/>
        <v>1259.9193599999999</v>
      </c>
      <c r="H228" s="198">
        <f t="shared" si="95"/>
        <v>524.97</v>
      </c>
      <c r="I228" s="198">
        <f t="shared" si="95"/>
        <v>1168.05024</v>
      </c>
      <c r="J228" s="198">
        <f t="shared" si="95"/>
        <v>222.49847419852563</v>
      </c>
    </row>
    <row r="229" spans="1:10" ht="30" x14ac:dyDescent="0.25">
      <c r="A229" s="99">
        <v>1</v>
      </c>
      <c r="B229" s="121" t="s">
        <v>112</v>
      </c>
      <c r="C229" s="58">
        <f t="shared" si="95"/>
        <v>8769</v>
      </c>
      <c r="D229" s="58">
        <f t="shared" si="95"/>
        <v>3654</v>
      </c>
      <c r="E229" s="58">
        <f t="shared" si="95"/>
        <v>3506</v>
      </c>
      <c r="F229" s="58">
        <f t="shared" si="95"/>
        <v>95.94964422550629</v>
      </c>
      <c r="G229" s="198">
        <f t="shared" si="95"/>
        <v>22940.131579999997</v>
      </c>
      <c r="H229" s="198">
        <f t="shared" si="95"/>
        <v>9558.3900000000012</v>
      </c>
      <c r="I229" s="198">
        <f t="shared" si="95"/>
        <v>8664.4876199999981</v>
      </c>
      <c r="J229" s="198">
        <f t="shared" si="95"/>
        <v>90.647981720770929</v>
      </c>
    </row>
    <row r="230" spans="1:10" ht="30" x14ac:dyDescent="0.25">
      <c r="A230" s="99">
        <v>1</v>
      </c>
      <c r="B230" s="57" t="s">
        <v>108</v>
      </c>
      <c r="C230" s="58">
        <f t="shared" si="95"/>
        <v>2900</v>
      </c>
      <c r="D230" s="58">
        <f t="shared" si="95"/>
        <v>1208</v>
      </c>
      <c r="E230" s="58">
        <f t="shared" si="95"/>
        <v>1056</v>
      </c>
      <c r="F230" s="58">
        <f t="shared" si="95"/>
        <v>87.41721854304636</v>
      </c>
      <c r="G230" s="198">
        <f t="shared" si="95"/>
        <v>6149.4790000000003</v>
      </c>
      <c r="H230" s="198">
        <f t="shared" si="95"/>
        <v>2562.2800000000002</v>
      </c>
      <c r="I230" s="198">
        <f t="shared" si="95"/>
        <v>2232.0937599999997</v>
      </c>
      <c r="J230" s="198">
        <f t="shared" si="95"/>
        <v>87.113576970510621</v>
      </c>
    </row>
    <row r="231" spans="1:10" ht="60" x14ac:dyDescent="0.25">
      <c r="A231" s="99">
        <v>1</v>
      </c>
      <c r="B231" s="57" t="s">
        <v>81</v>
      </c>
      <c r="C231" s="58">
        <f t="shared" si="95"/>
        <v>5154</v>
      </c>
      <c r="D231" s="58">
        <f t="shared" si="95"/>
        <v>2148</v>
      </c>
      <c r="E231" s="58">
        <f t="shared" si="95"/>
        <v>2200</v>
      </c>
      <c r="F231" s="58">
        <f t="shared" si="95"/>
        <v>102.42085661080074</v>
      </c>
      <c r="G231" s="198">
        <f t="shared" si="95"/>
        <v>16089.838179999999</v>
      </c>
      <c r="H231" s="198">
        <f t="shared" si="95"/>
        <v>6704.1</v>
      </c>
      <c r="I231" s="198">
        <f t="shared" si="95"/>
        <v>6222.8753499999993</v>
      </c>
      <c r="J231" s="198">
        <f t="shared" si="95"/>
        <v>92.821935084500524</v>
      </c>
    </row>
    <row r="232" spans="1:10" ht="45" x14ac:dyDescent="0.25">
      <c r="A232" s="99">
        <v>1</v>
      </c>
      <c r="B232" s="57" t="s">
        <v>109</v>
      </c>
      <c r="C232" s="58">
        <f t="shared" si="95"/>
        <v>715</v>
      </c>
      <c r="D232" s="58">
        <f t="shared" si="95"/>
        <v>298</v>
      </c>
      <c r="E232" s="58">
        <f t="shared" si="95"/>
        <v>250</v>
      </c>
      <c r="F232" s="58">
        <f t="shared" si="95"/>
        <v>83.892617449664428</v>
      </c>
      <c r="G232" s="198">
        <f t="shared" si="95"/>
        <v>700.81439999999998</v>
      </c>
      <c r="H232" s="198">
        <f t="shared" si="95"/>
        <v>292.01</v>
      </c>
      <c r="I232" s="198">
        <f t="shared" si="95"/>
        <v>209.51850999999996</v>
      </c>
      <c r="J232" s="198">
        <f t="shared" si="95"/>
        <v>71.750457176124087</v>
      </c>
    </row>
    <row r="233" spans="1:10" ht="30" x14ac:dyDescent="0.25">
      <c r="A233" s="99"/>
      <c r="B233" s="57" t="s">
        <v>123</v>
      </c>
      <c r="C233" s="58">
        <f t="shared" ref="C233:J233" si="96">SUM(C221)</f>
        <v>12000</v>
      </c>
      <c r="D233" s="58">
        <f t="shared" si="96"/>
        <v>5000</v>
      </c>
      <c r="E233" s="58">
        <f t="shared" si="96"/>
        <v>4317</v>
      </c>
      <c r="F233" s="58">
        <f t="shared" si="96"/>
        <v>86.339999999999989</v>
      </c>
      <c r="G233" s="58">
        <f t="shared" si="96"/>
        <v>11678.64</v>
      </c>
      <c r="H233" s="58">
        <f t="shared" si="96"/>
        <v>4866.1000000000004</v>
      </c>
      <c r="I233" s="58">
        <f t="shared" si="96"/>
        <v>4168.1000599999998</v>
      </c>
      <c r="J233" s="58">
        <f t="shared" si="96"/>
        <v>85.655865271983714</v>
      </c>
    </row>
    <row r="234" spans="1:10" x14ac:dyDescent="0.25">
      <c r="A234" s="99">
        <v>1</v>
      </c>
      <c r="B234" s="53" t="s">
        <v>4</v>
      </c>
      <c r="C234" s="60">
        <f t="shared" ref="C234:J234" si="97">C222</f>
        <v>0</v>
      </c>
      <c r="D234" s="60">
        <f t="shared" si="97"/>
        <v>0</v>
      </c>
      <c r="E234" s="60">
        <f t="shared" si="97"/>
        <v>0</v>
      </c>
      <c r="F234" s="60">
        <f t="shared" si="97"/>
        <v>0</v>
      </c>
      <c r="G234" s="466">
        <f t="shared" si="97"/>
        <v>44875.856289999996</v>
      </c>
      <c r="H234" s="466">
        <f t="shared" si="97"/>
        <v>18698.28</v>
      </c>
      <c r="I234" s="466">
        <f t="shared" si="97"/>
        <v>18543.862209999999</v>
      </c>
      <c r="J234" s="466">
        <f t="shared" si="97"/>
        <v>99.174160457539415</v>
      </c>
    </row>
    <row r="235" spans="1:10" ht="15.75" thickBot="1" x14ac:dyDescent="0.3">
      <c r="A235" s="99">
        <v>1</v>
      </c>
      <c r="B235" s="443" t="s">
        <v>8</v>
      </c>
      <c r="C235" s="138"/>
      <c r="D235" s="138"/>
      <c r="E235" s="138"/>
      <c r="F235" s="138"/>
      <c r="G235" s="220"/>
      <c r="H235" s="220"/>
      <c r="I235" s="220"/>
      <c r="J235" s="220"/>
    </row>
    <row r="236" spans="1:10" ht="45.75" customHeight="1" x14ac:dyDescent="0.25">
      <c r="A236" s="99">
        <v>1</v>
      </c>
      <c r="B236" s="433" t="s">
        <v>52</v>
      </c>
      <c r="C236" s="95"/>
      <c r="D236" s="95"/>
      <c r="E236" s="95"/>
      <c r="F236" s="95"/>
      <c r="G236" s="221"/>
      <c r="H236" s="221"/>
      <c r="I236" s="221"/>
      <c r="J236" s="221"/>
    </row>
    <row r="237" spans="1:10" s="49" customFormat="1" ht="30" x14ac:dyDescent="0.25">
      <c r="A237" s="99">
        <v>1</v>
      </c>
      <c r="B237" s="57" t="s">
        <v>120</v>
      </c>
      <c r="C237" s="54">
        <f>SUM(C238:C241)</f>
        <v>4546</v>
      </c>
      <c r="D237" s="54">
        <f>SUM(D238:D241)</f>
        <v>1894</v>
      </c>
      <c r="E237" s="54">
        <f>SUM(E238:E241)</f>
        <v>2408</v>
      </c>
      <c r="F237" s="54">
        <f t="shared" ref="F237:F247" si="98">E237/D237*100</f>
        <v>127.13833157338965</v>
      </c>
      <c r="G237" s="221">
        <f>SUM(G238:G241)</f>
        <v>7810.0555000000004</v>
      </c>
      <c r="H237" s="221">
        <f>SUM(H238:H241)</f>
        <v>3254.19</v>
      </c>
      <c r="I237" s="221">
        <f>SUM(I238:I241)</f>
        <v>4332.7002300000004</v>
      </c>
      <c r="J237" s="205">
        <f t="shared" ref="J237:J249" si="99">I237/H237*100</f>
        <v>133.14220220700085</v>
      </c>
    </row>
    <row r="238" spans="1:10" s="49" customFormat="1" ht="30" x14ac:dyDescent="0.25">
      <c r="A238" s="99">
        <v>1</v>
      </c>
      <c r="B238" s="57" t="s">
        <v>79</v>
      </c>
      <c r="C238" s="54">
        <v>3338</v>
      </c>
      <c r="D238" s="50">
        <f t="shared" ref="D238:D245" si="100">ROUND(C238/12*$B$3,0)</f>
        <v>1391</v>
      </c>
      <c r="E238" s="54">
        <v>1745</v>
      </c>
      <c r="F238" s="54">
        <f t="shared" si="98"/>
        <v>125.44931703810209</v>
      </c>
      <c r="G238" s="221">
        <v>4656.8214000000007</v>
      </c>
      <c r="H238" s="323">
        <f t="shared" ref="H238:H241" si="101">ROUND(G238/12*$B$3,2)</f>
        <v>1940.34</v>
      </c>
      <c r="I238" s="221">
        <v>2585.1436599999997</v>
      </c>
      <c r="J238" s="205">
        <f t="shared" si="99"/>
        <v>133.23147798839378</v>
      </c>
    </row>
    <row r="239" spans="1:10" s="49" customFormat="1" ht="30" x14ac:dyDescent="0.25">
      <c r="A239" s="99">
        <v>1</v>
      </c>
      <c r="B239" s="57" t="s">
        <v>80</v>
      </c>
      <c r="C239" s="54">
        <v>1001</v>
      </c>
      <c r="D239" s="50">
        <f t="shared" si="100"/>
        <v>417</v>
      </c>
      <c r="E239" s="54">
        <v>535</v>
      </c>
      <c r="F239" s="54">
        <f t="shared" si="98"/>
        <v>128.29736211031175</v>
      </c>
      <c r="G239" s="221">
        <v>1794.88354</v>
      </c>
      <c r="H239" s="323">
        <f t="shared" si="101"/>
        <v>747.87</v>
      </c>
      <c r="I239" s="221">
        <v>907.6103300000002</v>
      </c>
      <c r="J239" s="205">
        <f t="shared" si="99"/>
        <v>121.35937128110503</v>
      </c>
    </row>
    <row r="240" spans="1:10" s="49" customFormat="1" ht="45" x14ac:dyDescent="0.25">
      <c r="A240" s="99">
        <v>1</v>
      </c>
      <c r="B240" s="57" t="s">
        <v>114</v>
      </c>
      <c r="C240" s="54">
        <v>67</v>
      </c>
      <c r="D240" s="50">
        <f t="shared" si="100"/>
        <v>28</v>
      </c>
      <c r="E240" s="54">
        <v>16</v>
      </c>
      <c r="F240" s="54">
        <f t="shared" si="98"/>
        <v>57.142857142857139</v>
      </c>
      <c r="G240" s="221">
        <v>439.65935999999999</v>
      </c>
      <c r="H240" s="323">
        <f t="shared" si="101"/>
        <v>183.19</v>
      </c>
      <c r="I240" s="221">
        <v>104.99328</v>
      </c>
      <c r="J240" s="205">
        <f t="shared" si="99"/>
        <v>57.313870844478409</v>
      </c>
    </row>
    <row r="241" spans="1:247" s="49" customFormat="1" ht="30" x14ac:dyDescent="0.25">
      <c r="A241" s="99">
        <v>1</v>
      </c>
      <c r="B241" s="57" t="s">
        <v>115</v>
      </c>
      <c r="C241" s="54">
        <v>140</v>
      </c>
      <c r="D241" s="50">
        <f t="shared" si="100"/>
        <v>58</v>
      </c>
      <c r="E241" s="54">
        <v>112</v>
      </c>
      <c r="F241" s="54">
        <f t="shared" si="98"/>
        <v>193.10344827586206</v>
      </c>
      <c r="G241" s="221">
        <v>918.69119999999998</v>
      </c>
      <c r="H241" s="323">
        <f t="shared" si="101"/>
        <v>382.79</v>
      </c>
      <c r="I241" s="221">
        <v>734.95296000000008</v>
      </c>
      <c r="J241" s="205">
        <f t="shared" si="99"/>
        <v>191.9989968389979</v>
      </c>
    </row>
    <row r="242" spans="1:247" s="49" customFormat="1" ht="30" x14ac:dyDescent="0.25">
      <c r="A242" s="99">
        <v>1</v>
      </c>
      <c r="B242" s="57" t="s">
        <v>112</v>
      </c>
      <c r="C242" s="54">
        <f>SUM(C243:C245)</f>
        <v>8964</v>
      </c>
      <c r="D242" s="54">
        <f>SUM(D243:D245)</f>
        <v>3735</v>
      </c>
      <c r="E242" s="54">
        <f>SUM(E243:E245)</f>
        <v>4218</v>
      </c>
      <c r="F242" s="54">
        <f t="shared" si="98"/>
        <v>112.93172690763052</v>
      </c>
      <c r="G242" s="199">
        <f>SUM(G243:G245)</f>
        <v>20554.01211</v>
      </c>
      <c r="H242" s="199">
        <f>SUM(H243:H245)</f>
        <v>8564.17</v>
      </c>
      <c r="I242" s="199">
        <f>SUM(I243:I245)</f>
        <v>11653.230510000001</v>
      </c>
      <c r="J242" s="205">
        <f t="shared" si="99"/>
        <v>136.06958420956147</v>
      </c>
    </row>
    <row r="243" spans="1:247" s="49" customFormat="1" ht="30" x14ac:dyDescent="0.25">
      <c r="A243" s="99">
        <v>1</v>
      </c>
      <c r="B243" s="57" t="s">
        <v>108</v>
      </c>
      <c r="C243" s="54">
        <v>700</v>
      </c>
      <c r="D243" s="50">
        <f t="shared" si="100"/>
        <v>292</v>
      </c>
      <c r="E243" s="54">
        <v>453</v>
      </c>
      <c r="F243" s="54">
        <f t="shared" si="98"/>
        <v>155.13698630136986</v>
      </c>
      <c r="G243" s="221">
        <f>1484357/1000</f>
        <v>1484.357</v>
      </c>
      <c r="H243" s="323">
        <f t="shared" ref="H243:H248" si="102">ROUND(G243/12*$B$3,2)</f>
        <v>618.48</v>
      </c>
      <c r="I243" s="221">
        <v>951.62666999999999</v>
      </c>
      <c r="J243" s="205">
        <f t="shared" si="99"/>
        <v>153.86539095847886</v>
      </c>
    </row>
    <row r="244" spans="1:247" s="49" customFormat="1" ht="60" x14ac:dyDescent="0.25">
      <c r="A244" s="99">
        <v>1</v>
      </c>
      <c r="B244" s="57" t="s">
        <v>119</v>
      </c>
      <c r="C244" s="54">
        <v>6187</v>
      </c>
      <c r="D244" s="50">
        <f t="shared" si="100"/>
        <v>2578</v>
      </c>
      <c r="E244" s="54">
        <v>2695</v>
      </c>
      <c r="F244" s="54">
        <f t="shared" si="98"/>
        <v>104.53840186190845</v>
      </c>
      <c r="G244" s="221">
        <f>17033862.79/1000</f>
        <v>17033.862789999999</v>
      </c>
      <c r="H244" s="323">
        <f t="shared" si="102"/>
        <v>7097.44</v>
      </c>
      <c r="I244" s="221">
        <v>9559.2649500000007</v>
      </c>
      <c r="J244" s="205">
        <f t="shared" si="99"/>
        <v>134.68609738159111</v>
      </c>
    </row>
    <row r="245" spans="1:247" s="49" customFormat="1" ht="45" x14ac:dyDescent="0.25">
      <c r="A245" s="99">
        <v>1</v>
      </c>
      <c r="B245" s="57" t="s">
        <v>109</v>
      </c>
      <c r="C245" s="54">
        <v>2077</v>
      </c>
      <c r="D245" s="50">
        <f t="shared" si="100"/>
        <v>865</v>
      </c>
      <c r="E245" s="54">
        <v>1070</v>
      </c>
      <c r="F245" s="54">
        <f t="shared" si="98"/>
        <v>123.69942196531791</v>
      </c>
      <c r="G245" s="221">
        <f>2035792.32/1000</f>
        <v>2035.79232</v>
      </c>
      <c r="H245" s="323">
        <f t="shared" si="102"/>
        <v>848.25</v>
      </c>
      <c r="I245" s="221">
        <v>1142.33889</v>
      </c>
      <c r="J245" s="205">
        <f t="shared" si="99"/>
        <v>134.67007250221045</v>
      </c>
    </row>
    <row r="246" spans="1:247" s="49" customFormat="1" ht="30" x14ac:dyDescent="0.25">
      <c r="A246" s="99"/>
      <c r="B246" s="408" t="s">
        <v>123</v>
      </c>
      <c r="C246" s="54">
        <v>9234</v>
      </c>
      <c r="D246" s="50">
        <f>ROUND(C246/12*$B$3,0)</f>
        <v>3848</v>
      </c>
      <c r="E246" s="54">
        <f>3248+E247</f>
        <v>4060</v>
      </c>
      <c r="F246" s="54">
        <f t="shared" si="98"/>
        <v>105.50935550935552</v>
      </c>
      <c r="G246" s="221">
        <v>8986.7134800000003</v>
      </c>
      <c r="H246" s="323">
        <f t="shared" si="102"/>
        <v>3744.46</v>
      </c>
      <c r="I246" s="221">
        <f>3132.9616+I247</f>
        <v>3911.7763300000001</v>
      </c>
      <c r="J246" s="205">
        <f>I246/H246*100</f>
        <v>104.46837007205312</v>
      </c>
    </row>
    <row r="247" spans="1:247" s="49" customFormat="1" ht="30" x14ac:dyDescent="0.25">
      <c r="A247" s="99"/>
      <c r="B247" s="467" t="s">
        <v>124</v>
      </c>
      <c r="C247" s="54">
        <v>910</v>
      </c>
      <c r="D247" s="50">
        <f>ROUND(C247/12*$B$3,0)</f>
        <v>379</v>
      </c>
      <c r="E247" s="54">
        <v>812</v>
      </c>
      <c r="F247" s="54">
        <f t="shared" si="98"/>
        <v>214.24802110817942</v>
      </c>
      <c r="G247" s="221">
        <v>885.63020000000006</v>
      </c>
      <c r="H247" s="323">
        <f t="shared" si="102"/>
        <v>369.01</v>
      </c>
      <c r="I247" s="221">
        <v>778.81473000000005</v>
      </c>
      <c r="J247" s="205">
        <f>I247/H247*100</f>
        <v>211.05518278637439</v>
      </c>
    </row>
    <row r="248" spans="1:247" s="49" customFormat="1" ht="18.75" customHeight="1" thickBot="1" x14ac:dyDescent="0.3">
      <c r="A248" s="99"/>
      <c r="B248" s="384" t="s">
        <v>125</v>
      </c>
      <c r="C248" s="98"/>
      <c r="D248" s="150">
        <f>ROUND(C248/12*$B$3,0)</f>
        <v>0</v>
      </c>
      <c r="E248" s="98"/>
      <c r="F248" s="98"/>
      <c r="G248" s="372"/>
      <c r="H248" s="324">
        <f t="shared" si="102"/>
        <v>0</v>
      </c>
      <c r="I248" s="372"/>
      <c r="J248" s="331"/>
    </row>
    <row r="249" spans="1:247" s="49" customFormat="1" ht="16.5" customHeight="1" thickBot="1" x14ac:dyDescent="0.3">
      <c r="A249" s="99">
        <v>1</v>
      </c>
      <c r="B249" s="445" t="s">
        <v>3</v>
      </c>
      <c r="C249" s="193"/>
      <c r="D249" s="193"/>
      <c r="E249" s="193"/>
      <c r="F249" s="193"/>
      <c r="G249" s="201">
        <f>G242+G237+G246</f>
        <v>37350.781089999997</v>
      </c>
      <c r="H249" s="201">
        <f>H242+H237+H246</f>
        <v>15562.82</v>
      </c>
      <c r="I249" s="201">
        <f>I242+I237+I246</f>
        <v>19897.70707</v>
      </c>
      <c r="J249" s="419">
        <f t="shared" si="99"/>
        <v>127.85412328870989</v>
      </c>
    </row>
    <row r="250" spans="1:247" x14ac:dyDescent="0.25">
      <c r="A250" s="99">
        <v>1</v>
      </c>
      <c r="B250" s="468" t="s">
        <v>98</v>
      </c>
      <c r="C250" s="469"/>
      <c r="D250" s="469"/>
      <c r="E250" s="469"/>
      <c r="F250" s="469"/>
      <c r="G250" s="470"/>
      <c r="H250" s="470"/>
      <c r="I250" s="470"/>
      <c r="J250" s="470"/>
    </row>
    <row r="251" spans="1:247" s="415" customFormat="1" ht="30" x14ac:dyDescent="0.25">
      <c r="A251" s="99">
        <v>1</v>
      </c>
      <c r="B251" s="121" t="s">
        <v>120</v>
      </c>
      <c r="C251" s="459">
        <f t="shared" ref="C251:J259" si="103">C237</f>
        <v>4546</v>
      </c>
      <c r="D251" s="459">
        <f t="shared" si="103"/>
        <v>1894</v>
      </c>
      <c r="E251" s="459">
        <f t="shared" si="103"/>
        <v>2408</v>
      </c>
      <c r="F251" s="459">
        <f t="shared" si="103"/>
        <v>127.13833157338965</v>
      </c>
      <c r="G251" s="460">
        <f t="shared" si="103"/>
        <v>7810.0555000000004</v>
      </c>
      <c r="H251" s="460">
        <f t="shared" si="103"/>
        <v>3254.19</v>
      </c>
      <c r="I251" s="460">
        <f t="shared" si="103"/>
        <v>4332.7002300000004</v>
      </c>
      <c r="J251" s="460">
        <f t="shared" si="103"/>
        <v>133.14220220700085</v>
      </c>
      <c r="K251" s="410"/>
      <c r="L251" s="410"/>
      <c r="M251" s="410"/>
      <c r="N251" s="410"/>
      <c r="O251" s="410"/>
      <c r="P251" s="410"/>
      <c r="Q251" s="410"/>
      <c r="R251" s="410"/>
      <c r="S251" s="410"/>
      <c r="T251" s="410"/>
      <c r="U251" s="410"/>
      <c r="V251" s="410"/>
      <c r="W251" s="410"/>
      <c r="X251" s="410"/>
      <c r="Y251" s="410"/>
      <c r="Z251" s="410"/>
      <c r="AA251" s="410"/>
      <c r="AB251" s="410"/>
      <c r="AC251" s="410"/>
      <c r="AD251" s="410"/>
      <c r="AE251" s="410"/>
      <c r="AF251" s="410"/>
      <c r="AG251" s="410"/>
      <c r="AH251" s="410"/>
      <c r="AI251" s="410"/>
      <c r="AJ251" s="410"/>
      <c r="AK251" s="410"/>
      <c r="AL251" s="410"/>
      <c r="AM251" s="410"/>
      <c r="AN251" s="410"/>
      <c r="AO251" s="410"/>
      <c r="AP251" s="410"/>
      <c r="AQ251" s="410"/>
      <c r="AR251" s="410"/>
      <c r="AS251" s="410"/>
      <c r="AT251" s="410"/>
      <c r="AU251" s="410"/>
      <c r="AV251" s="410"/>
      <c r="AW251" s="410"/>
      <c r="AX251" s="410"/>
      <c r="AY251" s="410"/>
      <c r="AZ251" s="410"/>
      <c r="BA251" s="410"/>
      <c r="BB251" s="410"/>
      <c r="BC251" s="410"/>
      <c r="BD251" s="410"/>
      <c r="BE251" s="410"/>
      <c r="BF251" s="410"/>
      <c r="BG251" s="410"/>
      <c r="BH251" s="410"/>
      <c r="BI251" s="410"/>
      <c r="BJ251" s="410"/>
      <c r="BK251" s="410"/>
      <c r="BL251" s="410"/>
      <c r="BM251" s="410"/>
      <c r="BN251" s="410"/>
      <c r="BO251" s="410"/>
      <c r="BP251" s="410"/>
      <c r="BQ251" s="410"/>
      <c r="BR251" s="410"/>
      <c r="BS251" s="410"/>
      <c r="BT251" s="410"/>
      <c r="BU251" s="410"/>
      <c r="BV251" s="410"/>
      <c r="BW251" s="410"/>
      <c r="BX251" s="410"/>
      <c r="BY251" s="410"/>
      <c r="BZ251" s="410"/>
      <c r="CA251" s="410"/>
      <c r="CB251" s="410"/>
      <c r="CC251" s="410"/>
      <c r="CD251" s="410"/>
      <c r="CE251" s="410"/>
      <c r="CF251" s="410"/>
      <c r="CG251" s="410"/>
      <c r="CH251" s="410"/>
      <c r="CI251" s="410"/>
      <c r="CJ251" s="410"/>
      <c r="CK251" s="410"/>
      <c r="CL251" s="410"/>
      <c r="CM251" s="410"/>
      <c r="CN251" s="410"/>
      <c r="CO251" s="410"/>
      <c r="CP251" s="410"/>
      <c r="CQ251" s="410"/>
      <c r="CR251" s="410"/>
      <c r="CS251" s="410"/>
      <c r="CT251" s="410"/>
      <c r="CU251" s="410"/>
      <c r="CV251" s="410"/>
      <c r="CW251" s="410"/>
      <c r="CX251" s="410"/>
      <c r="CY251" s="410"/>
      <c r="CZ251" s="410"/>
      <c r="DA251" s="410"/>
      <c r="DB251" s="410"/>
      <c r="DC251" s="410"/>
      <c r="DD251" s="410"/>
      <c r="DE251" s="410"/>
      <c r="DF251" s="410"/>
      <c r="DG251" s="410"/>
      <c r="DH251" s="410"/>
      <c r="DI251" s="410"/>
      <c r="DJ251" s="410"/>
      <c r="DK251" s="410"/>
      <c r="DL251" s="410"/>
      <c r="DM251" s="410"/>
      <c r="DN251" s="410"/>
      <c r="DO251" s="410"/>
      <c r="DP251" s="410"/>
      <c r="DQ251" s="410"/>
      <c r="DR251" s="410"/>
      <c r="DS251" s="410"/>
      <c r="DT251" s="410"/>
      <c r="DU251" s="410"/>
      <c r="DV251" s="410"/>
      <c r="DW251" s="410"/>
      <c r="DX251" s="410"/>
      <c r="DY251" s="410"/>
      <c r="DZ251" s="410"/>
      <c r="EA251" s="410"/>
      <c r="EB251" s="410"/>
      <c r="EC251" s="410"/>
      <c r="ED251" s="410"/>
      <c r="EE251" s="410"/>
      <c r="EF251" s="410"/>
      <c r="EG251" s="410"/>
      <c r="EH251" s="410"/>
      <c r="EI251" s="410"/>
      <c r="EJ251" s="410"/>
      <c r="EK251" s="410"/>
      <c r="EL251" s="410"/>
      <c r="EM251" s="410"/>
      <c r="EN251" s="410"/>
      <c r="EO251" s="410"/>
      <c r="EP251" s="410"/>
      <c r="EQ251" s="410"/>
      <c r="ER251" s="410"/>
      <c r="ES251" s="410"/>
      <c r="ET251" s="410"/>
      <c r="EU251" s="410"/>
      <c r="EV251" s="410"/>
      <c r="EW251" s="410"/>
      <c r="EX251" s="410"/>
      <c r="EY251" s="410"/>
      <c r="EZ251" s="410"/>
      <c r="FA251" s="410"/>
      <c r="FB251" s="410"/>
      <c r="FC251" s="410"/>
      <c r="FD251" s="410"/>
      <c r="FE251" s="410"/>
      <c r="FF251" s="410"/>
      <c r="FG251" s="410"/>
      <c r="FH251" s="410"/>
      <c r="FI251" s="410"/>
      <c r="FJ251" s="410"/>
      <c r="FK251" s="410"/>
      <c r="FL251" s="410"/>
      <c r="FM251" s="410"/>
      <c r="FN251" s="410"/>
      <c r="FO251" s="410"/>
      <c r="FP251" s="410"/>
      <c r="FQ251" s="410"/>
      <c r="FR251" s="410"/>
      <c r="FS251" s="410"/>
      <c r="FT251" s="410"/>
      <c r="FU251" s="410"/>
      <c r="FV251" s="410"/>
      <c r="FW251" s="410"/>
      <c r="FX251" s="410"/>
      <c r="FY251" s="410"/>
      <c r="FZ251" s="410"/>
      <c r="GA251" s="410"/>
      <c r="GB251" s="410"/>
      <c r="GC251" s="410"/>
      <c r="GD251" s="410"/>
      <c r="GE251" s="410"/>
      <c r="GF251" s="410"/>
      <c r="GG251" s="410"/>
      <c r="GH251" s="410"/>
      <c r="GI251" s="410"/>
      <c r="GJ251" s="410"/>
      <c r="GK251" s="410"/>
      <c r="GL251" s="410"/>
      <c r="GM251" s="410"/>
      <c r="GN251" s="410"/>
      <c r="GO251" s="410"/>
      <c r="GP251" s="410"/>
      <c r="GQ251" s="410"/>
      <c r="GR251" s="410"/>
      <c r="GS251" s="410"/>
      <c r="GT251" s="410"/>
      <c r="GU251" s="410"/>
      <c r="GV251" s="410"/>
      <c r="GW251" s="410"/>
      <c r="GX251" s="410"/>
      <c r="GY251" s="410"/>
      <c r="GZ251" s="410"/>
      <c r="HA251" s="410"/>
      <c r="HB251" s="410"/>
      <c r="HC251" s="410"/>
      <c r="HD251" s="410"/>
      <c r="HE251" s="410"/>
      <c r="HF251" s="410"/>
      <c r="HG251" s="410"/>
      <c r="HH251" s="410"/>
      <c r="HI251" s="410"/>
      <c r="HJ251" s="410"/>
      <c r="HK251" s="410"/>
      <c r="HL251" s="410"/>
      <c r="HM251" s="410"/>
      <c r="HN251" s="410"/>
      <c r="HO251" s="410"/>
      <c r="HP251" s="410"/>
      <c r="HQ251" s="410"/>
      <c r="HR251" s="410"/>
      <c r="HS251" s="410"/>
      <c r="HT251" s="410"/>
      <c r="HU251" s="410"/>
      <c r="HV251" s="410"/>
      <c r="HW251" s="410"/>
      <c r="HX251" s="410"/>
      <c r="HY251" s="410"/>
      <c r="HZ251" s="410"/>
      <c r="IA251" s="410"/>
      <c r="IB251" s="410"/>
      <c r="IC251" s="410"/>
      <c r="ID251" s="410"/>
      <c r="IE251" s="410"/>
      <c r="IF251" s="410"/>
      <c r="IG251" s="410"/>
      <c r="IH251" s="410"/>
      <c r="II251" s="410"/>
      <c r="IJ251" s="410"/>
      <c r="IK251" s="410"/>
      <c r="IL251" s="410"/>
      <c r="IM251" s="410"/>
    </row>
    <row r="252" spans="1:247" s="415" customFormat="1" ht="30" x14ac:dyDescent="0.25">
      <c r="A252" s="99">
        <v>1</v>
      </c>
      <c r="B252" s="57" t="s">
        <v>79</v>
      </c>
      <c r="C252" s="459">
        <f t="shared" si="103"/>
        <v>3338</v>
      </c>
      <c r="D252" s="459">
        <f t="shared" si="103"/>
        <v>1391</v>
      </c>
      <c r="E252" s="459">
        <f t="shared" si="103"/>
        <v>1745</v>
      </c>
      <c r="F252" s="459">
        <f t="shared" si="103"/>
        <v>125.44931703810209</v>
      </c>
      <c r="G252" s="460">
        <f t="shared" si="103"/>
        <v>4656.8214000000007</v>
      </c>
      <c r="H252" s="460">
        <f t="shared" si="103"/>
        <v>1940.34</v>
      </c>
      <c r="I252" s="460">
        <f t="shared" si="103"/>
        <v>2585.1436599999997</v>
      </c>
      <c r="J252" s="460">
        <f t="shared" si="103"/>
        <v>133.23147798839378</v>
      </c>
      <c r="K252" s="410"/>
      <c r="L252" s="410"/>
      <c r="M252" s="410"/>
      <c r="N252" s="410"/>
      <c r="O252" s="410"/>
      <c r="P252" s="410"/>
      <c r="Q252" s="410"/>
      <c r="R252" s="410"/>
      <c r="S252" s="410"/>
      <c r="T252" s="410"/>
      <c r="U252" s="410"/>
      <c r="V252" s="410"/>
      <c r="W252" s="410"/>
      <c r="X252" s="410"/>
      <c r="Y252" s="410"/>
      <c r="Z252" s="410"/>
      <c r="AA252" s="410"/>
      <c r="AB252" s="410"/>
      <c r="AC252" s="410"/>
      <c r="AD252" s="410"/>
      <c r="AE252" s="410"/>
      <c r="AF252" s="410"/>
      <c r="AG252" s="410"/>
      <c r="AH252" s="410"/>
      <c r="AI252" s="410"/>
      <c r="AJ252" s="410"/>
      <c r="AK252" s="410"/>
      <c r="AL252" s="410"/>
      <c r="AM252" s="410"/>
      <c r="AN252" s="410"/>
      <c r="AO252" s="410"/>
      <c r="AP252" s="410"/>
      <c r="AQ252" s="410"/>
      <c r="AR252" s="410"/>
      <c r="AS252" s="410"/>
      <c r="AT252" s="410"/>
      <c r="AU252" s="410"/>
      <c r="AV252" s="410"/>
      <c r="AW252" s="410"/>
      <c r="AX252" s="410"/>
      <c r="AY252" s="410"/>
      <c r="AZ252" s="410"/>
      <c r="BA252" s="410"/>
      <c r="BB252" s="410"/>
      <c r="BC252" s="410"/>
      <c r="BD252" s="410"/>
      <c r="BE252" s="410"/>
      <c r="BF252" s="410"/>
      <c r="BG252" s="410"/>
      <c r="BH252" s="410"/>
      <c r="BI252" s="410"/>
      <c r="BJ252" s="410"/>
      <c r="BK252" s="410"/>
      <c r="BL252" s="410"/>
      <c r="BM252" s="410"/>
      <c r="BN252" s="410"/>
      <c r="BO252" s="410"/>
      <c r="BP252" s="410"/>
      <c r="BQ252" s="410"/>
      <c r="BR252" s="410"/>
      <c r="BS252" s="410"/>
      <c r="BT252" s="410"/>
      <c r="BU252" s="410"/>
      <c r="BV252" s="410"/>
      <c r="BW252" s="410"/>
      <c r="BX252" s="410"/>
      <c r="BY252" s="410"/>
      <c r="BZ252" s="410"/>
      <c r="CA252" s="410"/>
      <c r="CB252" s="410"/>
      <c r="CC252" s="410"/>
      <c r="CD252" s="410"/>
      <c r="CE252" s="410"/>
      <c r="CF252" s="410"/>
      <c r="CG252" s="410"/>
      <c r="CH252" s="410"/>
      <c r="CI252" s="410"/>
      <c r="CJ252" s="410"/>
      <c r="CK252" s="410"/>
      <c r="CL252" s="410"/>
      <c r="CM252" s="410"/>
      <c r="CN252" s="410"/>
      <c r="CO252" s="410"/>
      <c r="CP252" s="410"/>
      <c r="CQ252" s="410"/>
      <c r="CR252" s="410"/>
      <c r="CS252" s="410"/>
      <c r="CT252" s="410"/>
      <c r="CU252" s="410"/>
      <c r="CV252" s="410"/>
      <c r="CW252" s="410"/>
      <c r="CX252" s="410"/>
      <c r="CY252" s="410"/>
      <c r="CZ252" s="410"/>
      <c r="DA252" s="410"/>
      <c r="DB252" s="410"/>
      <c r="DC252" s="410"/>
      <c r="DD252" s="410"/>
      <c r="DE252" s="410"/>
      <c r="DF252" s="410"/>
      <c r="DG252" s="410"/>
      <c r="DH252" s="410"/>
      <c r="DI252" s="410"/>
      <c r="DJ252" s="410"/>
      <c r="DK252" s="410"/>
      <c r="DL252" s="410"/>
      <c r="DM252" s="410"/>
      <c r="DN252" s="410"/>
      <c r="DO252" s="410"/>
      <c r="DP252" s="410"/>
      <c r="DQ252" s="410"/>
      <c r="DR252" s="410"/>
      <c r="DS252" s="410"/>
      <c r="DT252" s="410"/>
      <c r="DU252" s="410"/>
      <c r="DV252" s="410"/>
      <c r="DW252" s="410"/>
      <c r="DX252" s="410"/>
      <c r="DY252" s="410"/>
      <c r="DZ252" s="410"/>
      <c r="EA252" s="410"/>
      <c r="EB252" s="410"/>
      <c r="EC252" s="410"/>
      <c r="ED252" s="410"/>
      <c r="EE252" s="410"/>
      <c r="EF252" s="410"/>
      <c r="EG252" s="410"/>
      <c r="EH252" s="410"/>
      <c r="EI252" s="410"/>
      <c r="EJ252" s="410"/>
      <c r="EK252" s="410"/>
      <c r="EL252" s="410"/>
      <c r="EM252" s="410"/>
      <c r="EN252" s="410"/>
      <c r="EO252" s="410"/>
      <c r="EP252" s="410"/>
      <c r="EQ252" s="410"/>
      <c r="ER252" s="410"/>
      <c r="ES252" s="410"/>
      <c r="ET252" s="410"/>
      <c r="EU252" s="410"/>
      <c r="EV252" s="410"/>
      <c r="EW252" s="410"/>
      <c r="EX252" s="410"/>
      <c r="EY252" s="410"/>
      <c r="EZ252" s="410"/>
      <c r="FA252" s="410"/>
      <c r="FB252" s="410"/>
      <c r="FC252" s="410"/>
      <c r="FD252" s="410"/>
      <c r="FE252" s="410"/>
      <c r="FF252" s="410"/>
      <c r="FG252" s="410"/>
      <c r="FH252" s="410"/>
      <c r="FI252" s="410"/>
      <c r="FJ252" s="410"/>
      <c r="FK252" s="410"/>
      <c r="FL252" s="410"/>
      <c r="FM252" s="410"/>
      <c r="FN252" s="410"/>
      <c r="FO252" s="410"/>
      <c r="FP252" s="410"/>
      <c r="FQ252" s="410"/>
      <c r="FR252" s="410"/>
      <c r="FS252" s="410"/>
      <c r="FT252" s="410"/>
      <c r="FU252" s="410"/>
      <c r="FV252" s="410"/>
      <c r="FW252" s="410"/>
      <c r="FX252" s="410"/>
      <c r="FY252" s="410"/>
      <c r="FZ252" s="410"/>
      <c r="GA252" s="410"/>
      <c r="GB252" s="410"/>
      <c r="GC252" s="410"/>
      <c r="GD252" s="410"/>
      <c r="GE252" s="410"/>
      <c r="GF252" s="410"/>
      <c r="GG252" s="410"/>
      <c r="GH252" s="410"/>
      <c r="GI252" s="410"/>
      <c r="GJ252" s="410"/>
      <c r="GK252" s="410"/>
      <c r="GL252" s="410"/>
      <c r="GM252" s="410"/>
      <c r="GN252" s="410"/>
      <c r="GO252" s="410"/>
      <c r="GP252" s="410"/>
      <c r="GQ252" s="410"/>
      <c r="GR252" s="410"/>
      <c r="GS252" s="410"/>
      <c r="GT252" s="410"/>
      <c r="GU252" s="410"/>
      <c r="GV252" s="410"/>
      <c r="GW252" s="410"/>
      <c r="GX252" s="410"/>
      <c r="GY252" s="410"/>
      <c r="GZ252" s="410"/>
      <c r="HA252" s="410"/>
      <c r="HB252" s="410"/>
      <c r="HC252" s="410"/>
      <c r="HD252" s="410"/>
      <c r="HE252" s="410"/>
      <c r="HF252" s="410"/>
      <c r="HG252" s="410"/>
      <c r="HH252" s="410"/>
      <c r="HI252" s="410"/>
      <c r="HJ252" s="410"/>
      <c r="HK252" s="410"/>
      <c r="HL252" s="410"/>
      <c r="HM252" s="410"/>
      <c r="HN252" s="410"/>
      <c r="HO252" s="410"/>
      <c r="HP252" s="410"/>
      <c r="HQ252" s="410"/>
      <c r="HR252" s="410"/>
      <c r="HS252" s="410"/>
      <c r="HT252" s="410"/>
      <c r="HU252" s="410"/>
      <c r="HV252" s="410"/>
      <c r="HW252" s="410"/>
      <c r="HX252" s="410"/>
      <c r="HY252" s="410"/>
      <c r="HZ252" s="410"/>
      <c r="IA252" s="410"/>
      <c r="IB252" s="410"/>
      <c r="IC252" s="410"/>
      <c r="ID252" s="410"/>
      <c r="IE252" s="410"/>
      <c r="IF252" s="410"/>
      <c r="IG252" s="410"/>
      <c r="IH252" s="410"/>
      <c r="II252" s="410"/>
      <c r="IJ252" s="410"/>
      <c r="IK252" s="410"/>
      <c r="IL252" s="410"/>
      <c r="IM252" s="410"/>
    </row>
    <row r="253" spans="1:247" s="415" customFormat="1" ht="30" x14ac:dyDescent="0.25">
      <c r="A253" s="99">
        <v>1</v>
      </c>
      <c r="B253" s="57" t="s">
        <v>80</v>
      </c>
      <c r="C253" s="459">
        <f t="shared" si="103"/>
        <v>1001</v>
      </c>
      <c r="D253" s="459">
        <f t="shared" si="103"/>
        <v>417</v>
      </c>
      <c r="E253" s="459">
        <f t="shared" si="103"/>
        <v>535</v>
      </c>
      <c r="F253" s="459">
        <f t="shared" si="103"/>
        <v>128.29736211031175</v>
      </c>
      <c r="G253" s="460">
        <f t="shared" si="103"/>
        <v>1794.88354</v>
      </c>
      <c r="H253" s="460">
        <f t="shared" si="103"/>
        <v>747.87</v>
      </c>
      <c r="I253" s="460">
        <f t="shared" si="103"/>
        <v>907.6103300000002</v>
      </c>
      <c r="J253" s="460">
        <f t="shared" si="103"/>
        <v>121.35937128110503</v>
      </c>
      <c r="K253" s="410"/>
      <c r="L253" s="410"/>
      <c r="M253" s="410"/>
      <c r="N253" s="410"/>
      <c r="O253" s="410"/>
      <c r="P253" s="410"/>
      <c r="Q253" s="410"/>
      <c r="R253" s="410"/>
      <c r="S253" s="410"/>
      <c r="T253" s="410"/>
      <c r="U253" s="410"/>
      <c r="V253" s="410"/>
      <c r="W253" s="410"/>
      <c r="X253" s="410"/>
      <c r="Y253" s="410"/>
      <c r="Z253" s="410"/>
      <c r="AA253" s="410"/>
      <c r="AB253" s="410"/>
      <c r="AC253" s="410"/>
      <c r="AD253" s="410"/>
      <c r="AE253" s="410"/>
      <c r="AF253" s="410"/>
      <c r="AG253" s="410"/>
      <c r="AH253" s="410"/>
      <c r="AI253" s="410"/>
      <c r="AJ253" s="410"/>
      <c r="AK253" s="410"/>
      <c r="AL253" s="410"/>
      <c r="AM253" s="410"/>
      <c r="AN253" s="410"/>
      <c r="AO253" s="410"/>
      <c r="AP253" s="410"/>
      <c r="AQ253" s="410"/>
      <c r="AR253" s="410"/>
      <c r="AS253" s="410"/>
      <c r="AT253" s="410"/>
      <c r="AU253" s="410"/>
      <c r="AV253" s="410"/>
      <c r="AW253" s="410"/>
      <c r="AX253" s="410"/>
      <c r="AY253" s="410"/>
      <c r="AZ253" s="410"/>
      <c r="BA253" s="410"/>
      <c r="BB253" s="410"/>
      <c r="BC253" s="410"/>
      <c r="BD253" s="410"/>
      <c r="BE253" s="410"/>
      <c r="BF253" s="410"/>
      <c r="BG253" s="410"/>
      <c r="BH253" s="410"/>
      <c r="BI253" s="410"/>
      <c r="BJ253" s="410"/>
      <c r="BK253" s="410"/>
      <c r="BL253" s="410"/>
      <c r="BM253" s="410"/>
      <c r="BN253" s="410"/>
      <c r="BO253" s="410"/>
      <c r="BP253" s="410"/>
      <c r="BQ253" s="410"/>
      <c r="BR253" s="410"/>
      <c r="BS253" s="410"/>
      <c r="BT253" s="410"/>
      <c r="BU253" s="410"/>
      <c r="BV253" s="410"/>
      <c r="BW253" s="410"/>
      <c r="BX253" s="410"/>
      <c r="BY253" s="410"/>
      <c r="BZ253" s="410"/>
      <c r="CA253" s="410"/>
      <c r="CB253" s="410"/>
      <c r="CC253" s="410"/>
      <c r="CD253" s="410"/>
      <c r="CE253" s="410"/>
      <c r="CF253" s="410"/>
      <c r="CG253" s="410"/>
      <c r="CH253" s="410"/>
      <c r="CI253" s="410"/>
      <c r="CJ253" s="410"/>
      <c r="CK253" s="410"/>
      <c r="CL253" s="410"/>
      <c r="CM253" s="410"/>
      <c r="CN253" s="410"/>
      <c r="CO253" s="410"/>
      <c r="CP253" s="410"/>
      <c r="CQ253" s="410"/>
      <c r="CR253" s="410"/>
      <c r="CS253" s="410"/>
      <c r="CT253" s="410"/>
      <c r="CU253" s="410"/>
      <c r="CV253" s="410"/>
      <c r="CW253" s="410"/>
      <c r="CX253" s="410"/>
      <c r="CY253" s="410"/>
      <c r="CZ253" s="410"/>
      <c r="DA253" s="410"/>
      <c r="DB253" s="410"/>
      <c r="DC253" s="410"/>
      <c r="DD253" s="410"/>
      <c r="DE253" s="410"/>
      <c r="DF253" s="410"/>
      <c r="DG253" s="410"/>
      <c r="DH253" s="410"/>
      <c r="DI253" s="410"/>
      <c r="DJ253" s="410"/>
      <c r="DK253" s="410"/>
      <c r="DL253" s="410"/>
      <c r="DM253" s="410"/>
      <c r="DN253" s="410"/>
      <c r="DO253" s="410"/>
      <c r="DP253" s="410"/>
      <c r="DQ253" s="410"/>
      <c r="DR253" s="410"/>
      <c r="DS253" s="410"/>
      <c r="DT253" s="410"/>
      <c r="DU253" s="410"/>
      <c r="DV253" s="410"/>
      <c r="DW253" s="410"/>
      <c r="DX253" s="410"/>
      <c r="DY253" s="410"/>
      <c r="DZ253" s="410"/>
      <c r="EA253" s="410"/>
      <c r="EB253" s="410"/>
      <c r="EC253" s="410"/>
      <c r="ED253" s="410"/>
      <c r="EE253" s="410"/>
      <c r="EF253" s="410"/>
      <c r="EG253" s="410"/>
      <c r="EH253" s="410"/>
      <c r="EI253" s="410"/>
      <c r="EJ253" s="410"/>
      <c r="EK253" s="410"/>
      <c r="EL253" s="410"/>
      <c r="EM253" s="410"/>
      <c r="EN253" s="410"/>
      <c r="EO253" s="410"/>
      <c r="EP253" s="410"/>
      <c r="EQ253" s="410"/>
      <c r="ER253" s="410"/>
      <c r="ES253" s="410"/>
      <c r="ET253" s="410"/>
      <c r="EU253" s="410"/>
      <c r="EV253" s="410"/>
      <c r="EW253" s="410"/>
      <c r="EX253" s="410"/>
      <c r="EY253" s="410"/>
      <c r="EZ253" s="410"/>
      <c r="FA253" s="410"/>
      <c r="FB253" s="410"/>
      <c r="FC253" s="410"/>
      <c r="FD253" s="410"/>
      <c r="FE253" s="410"/>
      <c r="FF253" s="410"/>
      <c r="FG253" s="410"/>
      <c r="FH253" s="410"/>
      <c r="FI253" s="410"/>
      <c r="FJ253" s="410"/>
      <c r="FK253" s="410"/>
      <c r="FL253" s="410"/>
      <c r="FM253" s="410"/>
      <c r="FN253" s="410"/>
      <c r="FO253" s="410"/>
      <c r="FP253" s="410"/>
      <c r="FQ253" s="410"/>
      <c r="FR253" s="410"/>
      <c r="FS253" s="410"/>
      <c r="FT253" s="410"/>
      <c r="FU253" s="410"/>
      <c r="FV253" s="410"/>
      <c r="FW253" s="410"/>
      <c r="FX253" s="410"/>
      <c r="FY253" s="410"/>
      <c r="FZ253" s="410"/>
      <c r="GA253" s="410"/>
      <c r="GB253" s="410"/>
      <c r="GC253" s="410"/>
      <c r="GD253" s="410"/>
      <c r="GE253" s="410"/>
      <c r="GF253" s="410"/>
      <c r="GG253" s="410"/>
      <c r="GH253" s="410"/>
      <c r="GI253" s="410"/>
      <c r="GJ253" s="410"/>
      <c r="GK253" s="410"/>
      <c r="GL253" s="410"/>
      <c r="GM253" s="410"/>
      <c r="GN253" s="410"/>
      <c r="GO253" s="410"/>
      <c r="GP253" s="410"/>
      <c r="GQ253" s="410"/>
      <c r="GR253" s="410"/>
      <c r="GS253" s="410"/>
      <c r="GT253" s="410"/>
      <c r="GU253" s="410"/>
      <c r="GV253" s="410"/>
      <c r="GW253" s="410"/>
      <c r="GX253" s="410"/>
      <c r="GY253" s="410"/>
      <c r="GZ253" s="410"/>
      <c r="HA253" s="410"/>
      <c r="HB253" s="410"/>
      <c r="HC253" s="410"/>
      <c r="HD253" s="410"/>
      <c r="HE253" s="410"/>
      <c r="HF253" s="410"/>
      <c r="HG253" s="410"/>
      <c r="HH253" s="410"/>
      <c r="HI253" s="410"/>
      <c r="HJ253" s="410"/>
      <c r="HK253" s="410"/>
      <c r="HL253" s="410"/>
      <c r="HM253" s="410"/>
      <c r="HN253" s="410"/>
      <c r="HO253" s="410"/>
      <c r="HP253" s="410"/>
      <c r="HQ253" s="410"/>
      <c r="HR253" s="410"/>
      <c r="HS253" s="410"/>
      <c r="HT253" s="410"/>
      <c r="HU253" s="410"/>
      <c r="HV253" s="410"/>
      <c r="HW253" s="410"/>
      <c r="HX253" s="410"/>
      <c r="HY253" s="410"/>
      <c r="HZ253" s="410"/>
      <c r="IA253" s="410"/>
      <c r="IB253" s="410"/>
      <c r="IC253" s="410"/>
      <c r="ID253" s="410"/>
      <c r="IE253" s="410"/>
      <c r="IF253" s="410"/>
      <c r="IG253" s="410"/>
      <c r="IH253" s="410"/>
      <c r="II253" s="410"/>
      <c r="IJ253" s="410"/>
      <c r="IK253" s="410"/>
      <c r="IL253" s="410"/>
      <c r="IM253" s="410"/>
    </row>
    <row r="254" spans="1:247" s="415" customFormat="1" ht="45" x14ac:dyDescent="0.25">
      <c r="A254" s="99">
        <v>1</v>
      </c>
      <c r="B254" s="57" t="s">
        <v>114</v>
      </c>
      <c r="C254" s="459">
        <f t="shared" si="103"/>
        <v>67</v>
      </c>
      <c r="D254" s="459">
        <f t="shared" si="103"/>
        <v>28</v>
      </c>
      <c r="E254" s="459">
        <f t="shared" si="103"/>
        <v>16</v>
      </c>
      <c r="F254" s="459">
        <f t="shared" si="103"/>
        <v>57.142857142857139</v>
      </c>
      <c r="G254" s="460">
        <f t="shared" si="103"/>
        <v>439.65935999999999</v>
      </c>
      <c r="H254" s="460">
        <f t="shared" si="103"/>
        <v>183.19</v>
      </c>
      <c r="I254" s="460">
        <f t="shared" si="103"/>
        <v>104.99328</v>
      </c>
      <c r="J254" s="460">
        <f t="shared" si="103"/>
        <v>57.313870844478409</v>
      </c>
      <c r="K254" s="410"/>
      <c r="L254" s="410"/>
      <c r="M254" s="410"/>
      <c r="N254" s="410"/>
      <c r="O254" s="410"/>
      <c r="P254" s="410"/>
      <c r="Q254" s="410"/>
      <c r="R254" s="410"/>
      <c r="S254" s="410"/>
      <c r="T254" s="410"/>
      <c r="U254" s="410"/>
      <c r="V254" s="410"/>
      <c r="W254" s="410"/>
      <c r="X254" s="410"/>
      <c r="Y254" s="410"/>
      <c r="Z254" s="410"/>
      <c r="AA254" s="410"/>
      <c r="AB254" s="410"/>
      <c r="AC254" s="410"/>
      <c r="AD254" s="410"/>
      <c r="AE254" s="410"/>
      <c r="AF254" s="410"/>
      <c r="AG254" s="410"/>
      <c r="AH254" s="410"/>
      <c r="AI254" s="410"/>
      <c r="AJ254" s="410"/>
      <c r="AK254" s="410"/>
      <c r="AL254" s="410"/>
      <c r="AM254" s="410"/>
      <c r="AN254" s="410"/>
      <c r="AO254" s="410"/>
      <c r="AP254" s="410"/>
      <c r="AQ254" s="410"/>
      <c r="AR254" s="410"/>
      <c r="AS254" s="410"/>
      <c r="AT254" s="410"/>
      <c r="AU254" s="410"/>
      <c r="AV254" s="410"/>
      <c r="AW254" s="410"/>
      <c r="AX254" s="410"/>
      <c r="AY254" s="410"/>
      <c r="AZ254" s="410"/>
      <c r="BA254" s="410"/>
      <c r="BB254" s="410"/>
      <c r="BC254" s="410"/>
      <c r="BD254" s="410"/>
      <c r="BE254" s="410"/>
      <c r="BF254" s="410"/>
      <c r="BG254" s="410"/>
      <c r="BH254" s="410"/>
      <c r="BI254" s="410"/>
      <c r="BJ254" s="410"/>
      <c r="BK254" s="410"/>
      <c r="BL254" s="410"/>
      <c r="BM254" s="410"/>
      <c r="BN254" s="410"/>
      <c r="BO254" s="410"/>
      <c r="BP254" s="410"/>
      <c r="BQ254" s="410"/>
      <c r="BR254" s="410"/>
      <c r="BS254" s="410"/>
      <c r="BT254" s="410"/>
      <c r="BU254" s="410"/>
      <c r="BV254" s="410"/>
      <c r="BW254" s="410"/>
      <c r="BX254" s="410"/>
      <c r="BY254" s="410"/>
      <c r="BZ254" s="410"/>
      <c r="CA254" s="410"/>
      <c r="CB254" s="410"/>
      <c r="CC254" s="410"/>
      <c r="CD254" s="410"/>
      <c r="CE254" s="410"/>
      <c r="CF254" s="410"/>
      <c r="CG254" s="410"/>
      <c r="CH254" s="410"/>
      <c r="CI254" s="410"/>
      <c r="CJ254" s="410"/>
      <c r="CK254" s="410"/>
      <c r="CL254" s="410"/>
      <c r="CM254" s="410"/>
      <c r="CN254" s="410"/>
      <c r="CO254" s="410"/>
      <c r="CP254" s="410"/>
      <c r="CQ254" s="410"/>
      <c r="CR254" s="410"/>
      <c r="CS254" s="410"/>
      <c r="CT254" s="410"/>
      <c r="CU254" s="410"/>
      <c r="CV254" s="410"/>
      <c r="CW254" s="410"/>
      <c r="CX254" s="410"/>
      <c r="CY254" s="410"/>
      <c r="CZ254" s="410"/>
      <c r="DA254" s="410"/>
      <c r="DB254" s="410"/>
      <c r="DC254" s="410"/>
      <c r="DD254" s="410"/>
      <c r="DE254" s="410"/>
      <c r="DF254" s="410"/>
      <c r="DG254" s="410"/>
      <c r="DH254" s="410"/>
      <c r="DI254" s="410"/>
      <c r="DJ254" s="410"/>
      <c r="DK254" s="410"/>
      <c r="DL254" s="410"/>
      <c r="DM254" s="410"/>
      <c r="DN254" s="410"/>
      <c r="DO254" s="410"/>
      <c r="DP254" s="410"/>
      <c r="DQ254" s="410"/>
      <c r="DR254" s="410"/>
      <c r="DS254" s="410"/>
      <c r="DT254" s="410"/>
      <c r="DU254" s="410"/>
      <c r="DV254" s="410"/>
      <c r="DW254" s="410"/>
      <c r="DX254" s="410"/>
      <c r="DY254" s="410"/>
      <c r="DZ254" s="410"/>
      <c r="EA254" s="410"/>
      <c r="EB254" s="410"/>
      <c r="EC254" s="410"/>
      <c r="ED254" s="410"/>
      <c r="EE254" s="410"/>
      <c r="EF254" s="410"/>
      <c r="EG254" s="410"/>
      <c r="EH254" s="410"/>
      <c r="EI254" s="410"/>
      <c r="EJ254" s="410"/>
      <c r="EK254" s="410"/>
      <c r="EL254" s="410"/>
      <c r="EM254" s="410"/>
      <c r="EN254" s="410"/>
      <c r="EO254" s="410"/>
      <c r="EP254" s="410"/>
      <c r="EQ254" s="410"/>
      <c r="ER254" s="410"/>
      <c r="ES254" s="410"/>
      <c r="ET254" s="410"/>
      <c r="EU254" s="410"/>
      <c r="EV254" s="410"/>
      <c r="EW254" s="410"/>
      <c r="EX254" s="410"/>
      <c r="EY254" s="410"/>
      <c r="EZ254" s="410"/>
      <c r="FA254" s="410"/>
      <c r="FB254" s="410"/>
      <c r="FC254" s="410"/>
      <c r="FD254" s="410"/>
      <c r="FE254" s="410"/>
      <c r="FF254" s="410"/>
      <c r="FG254" s="410"/>
      <c r="FH254" s="410"/>
      <c r="FI254" s="410"/>
      <c r="FJ254" s="410"/>
      <c r="FK254" s="410"/>
      <c r="FL254" s="410"/>
      <c r="FM254" s="410"/>
      <c r="FN254" s="410"/>
      <c r="FO254" s="410"/>
      <c r="FP254" s="410"/>
      <c r="FQ254" s="410"/>
      <c r="FR254" s="410"/>
      <c r="FS254" s="410"/>
      <c r="FT254" s="410"/>
      <c r="FU254" s="410"/>
      <c r="FV254" s="410"/>
      <c r="FW254" s="410"/>
      <c r="FX254" s="410"/>
      <c r="FY254" s="410"/>
      <c r="FZ254" s="410"/>
      <c r="GA254" s="410"/>
      <c r="GB254" s="410"/>
      <c r="GC254" s="410"/>
      <c r="GD254" s="410"/>
      <c r="GE254" s="410"/>
      <c r="GF254" s="410"/>
      <c r="GG254" s="410"/>
      <c r="GH254" s="410"/>
      <c r="GI254" s="410"/>
      <c r="GJ254" s="410"/>
      <c r="GK254" s="410"/>
      <c r="GL254" s="410"/>
      <c r="GM254" s="410"/>
      <c r="GN254" s="410"/>
      <c r="GO254" s="410"/>
      <c r="GP254" s="410"/>
      <c r="GQ254" s="410"/>
      <c r="GR254" s="410"/>
      <c r="GS254" s="410"/>
      <c r="GT254" s="410"/>
      <c r="GU254" s="410"/>
      <c r="GV254" s="410"/>
      <c r="GW254" s="410"/>
      <c r="GX254" s="410"/>
      <c r="GY254" s="410"/>
      <c r="GZ254" s="410"/>
      <c r="HA254" s="410"/>
      <c r="HB254" s="410"/>
      <c r="HC254" s="410"/>
      <c r="HD254" s="410"/>
      <c r="HE254" s="410"/>
      <c r="HF254" s="410"/>
      <c r="HG254" s="410"/>
      <c r="HH254" s="410"/>
      <c r="HI254" s="410"/>
      <c r="HJ254" s="410"/>
      <c r="HK254" s="410"/>
      <c r="HL254" s="410"/>
      <c r="HM254" s="410"/>
      <c r="HN254" s="410"/>
      <c r="HO254" s="410"/>
      <c r="HP254" s="410"/>
      <c r="HQ254" s="410"/>
      <c r="HR254" s="410"/>
      <c r="HS254" s="410"/>
      <c r="HT254" s="410"/>
      <c r="HU254" s="410"/>
      <c r="HV254" s="410"/>
      <c r="HW254" s="410"/>
      <c r="HX254" s="410"/>
      <c r="HY254" s="410"/>
      <c r="HZ254" s="410"/>
      <c r="IA254" s="410"/>
      <c r="IB254" s="410"/>
      <c r="IC254" s="410"/>
      <c r="ID254" s="410"/>
      <c r="IE254" s="410"/>
      <c r="IF254" s="410"/>
      <c r="IG254" s="410"/>
      <c r="IH254" s="410"/>
      <c r="II254" s="410"/>
      <c r="IJ254" s="410"/>
      <c r="IK254" s="410"/>
      <c r="IL254" s="410"/>
      <c r="IM254" s="410"/>
    </row>
    <row r="255" spans="1:247" s="415" customFormat="1" ht="30" x14ac:dyDescent="0.25">
      <c r="A255" s="99">
        <v>1</v>
      </c>
      <c r="B255" s="57" t="s">
        <v>115</v>
      </c>
      <c r="C255" s="459">
        <f t="shared" si="103"/>
        <v>140</v>
      </c>
      <c r="D255" s="459">
        <f t="shared" si="103"/>
        <v>58</v>
      </c>
      <c r="E255" s="459">
        <f t="shared" si="103"/>
        <v>112</v>
      </c>
      <c r="F255" s="459">
        <f t="shared" si="103"/>
        <v>193.10344827586206</v>
      </c>
      <c r="G255" s="460">
        <f t="shared" si="103"/>
        <v>918.69119999999998</v>
      </c>
      <c r="H255" s="460">
        <f t="shared" si="103"/>
        <v>382.79</v>
      </c>
      <c r="I255" s="460">
        <f t="shared" si="103"/>
        <v>734.95296000000008</v>
      </c>
      <c r="J255" s="460">
        <f t="shared" si="103"/>
        <v>191.9989968389979</v>
      </c>
      <c r="K255" s="410"/>
      <c r="L255" s="410"/>
      <c r="M255" s="410"/>
      <c r="N255" s="410"/>
      <c r="O255" s="410"/>
      <c r="P255" s="410"/>
      <c r="Q255" s="410"/>
      <c r="R255" s="410"/>
      <c r="S255" s="410"/>
      <c r="T255" s="410"/>
      <c r="U255" s="410"/>
      <c r="V255" s="410"/>
      <c r="W255" s="410"/>
      <c r="X255" s="410"/>
      <c r="Y255" s="410"/>
      <c r="Z255" s="410"/>
      <c r="AA255" s="410"/>
      <c r="AB255" s="410"/>
      <c r="AC255" s="410"/>
      <c r="AD255" s="410"/>
      <c r="AE255" s="410"/>
      <c r="AF255" s="410"/>
      <c r="AG255" s="410"/>
      <c r="AH255" s="410"/>
      <c r="AI255" s="410"/>
      <c r="AJ255" s="410"/>
      <c r="AK255" s="410"/>
      <c r="AL255" s="410"/>
      <c r="AM255" s="410"/>
      <c r="AN255" s="410"/>
      <c r="AO255" s="410"/>
      <c r="AP255" s="410"/>
      <c r="AQ255" s="410"/>
      <c r="AR255" s="410"/>
      <c r="AS255" s="410"/>
      <c r="AT255" s="410"/>
      <c r="AU255" s="410"/>
      <c r="AV255" s="410"/>
      <c r="AW255" s="410"/>
      <c r="AX255" s="410"/>
      <c r="AY255" s="410"/>
      <c r="AZ255" s="410"/>
      <c r="BA255" s="410"/>
      <c r="BB255" s="410"/>
      <c r="BC255" s="410"/>
      <c r="BD255" s="410"/>
      <c r="BE255" s="410"/>
      <c r="BF255" s="410"/>
      <c r="BG255" s="410"/>
      <c r="BH255" s="410"/>
      <c r="BI255" s="410"/>
      <c r="BJ255" s="410"/>
      <c r="BK255" s="410"/>
      <c r="BL255" s="410"/>
      <c r="BM255" s="410"/>
      <c r="BN255" s="410"/>
      <c r="BO255" s="410"/>
      <c r="BP255" s="410"/>
      <c r="BQ255" s="410"/>
      <c r="BR255" s="410"/>
      <c r="BS255" s="410"/>
      <c r="BT255" s="410"/>
      <c r="BU255" s="410"/>
      <c r="BV255" s="410"/>
      <c r="BW255" s="410"/>
      <c r="BX255" s="410"/>
      <c r="BY255" s="410"/>
      <c r="BZ255" s="410"/>
      <c r="CA255" s="410"/>
      <c r="CB255" s="410"/>
      <c r="CC255" s="410"/>
      <c r="CD255" s="410"/>
      <c r="CE255" s="410"/>
      <c r="CF255" s="410"/>
      <c r="CG255" s="410"/>
      <c r="CH255" s="410"/>
      <c r="CI255" s="410"/>
      <c r="CJ255" s="410"/>
      <c r="CK255" s="410"/>
      <c r="CL255" s="410"/>
      <c r="CM255" s="410"/>
      <c r="CN255" s="410"/>
      <c r="CO255" s="410"/>
      <c r="CP255" s="410"/>
      <c r="CQ255" s="410"/>
      <c r="CR255" s="410"/>
      <c r="CS255" s="410"/>
      <c r="CT255" s="410"/>
      <c r="CU255" s="410"/>
      <c r="CV255" s="410"/>
      <c r="CW255" s="410"/>
      <c r="CX255" s="410"/>
      <c r="CY255" s="410"/>
      <c r="CZ255" s="410"/>
      <c r="DA255" s="410"/>
      <c r="DB255" s="410"/>
      <c r="DC255" s="410"/>
      <c r="DD255" s="410"/>
      <c r="DE255" s="410"/>
      <c r="DF255" s="410"/>
      <c r="DG255" s="410"/>
      <c r="DH255" s="410"/>
      <c r="DI255" s="410"/>
      <c r="DJ255" s="410"/>
      <c r="DK255" s="410"/>
      <c r="DL255" s="410"/>
      <c r="DM255" s="410"/>
      <c r="DN255" s="410"/>
      <c r="DO255" s="410"/>
      <c r="DP255" s="410"/>
      <c r="DQ255" s="410"/>
      <c r="DR255" s="410"/>
      <c r="DS255" s="410"/>
      <c r="DT255" s="410"/>
      <c r="DU255" s="410"/>
      <c r="DV255" s="410"/>
      <c r="DW255" s="410"/>
      <c r="DX255" s="410"/>
      <c r="DY255" s="410"/>
      <c r="DZ255" s="410"/>
      <c r="EA255" s="410"/>
      <c r="EB255" s="410"/>
      <c r="EC255" s="410"/>
      <c r="ED255" s="410"/>
      <c r="EE255" s="410"/>
      <c r="EF255" s="410"/>
      <c r="EG255" s="410"/>
      <c r="EH255" s="410"/>
      <c r="EI255" s="410"/>
      <c r="EJ255" s="410"/>
      <c r="EK255" s="410"/>
      <c r="EL255" s="410"/>
      <c r="EM255" s="410"/>
      <c r="EN255" s="410"/>
      <c r="EO255" s="410"/>
      <c r="EP255" s="410"/>
      <c r="EQ255" s="410"/>
      <c r="ER255" s="410"/>
      <c r="ES255" s="410"/>
      <c r="ET255" s="410"/>
      <c r="EU255" s="410"/>
      <c r="EV255" s="410"/>
      <c r="EW255" s="410"/>
      <c r="EX255" s="410"/>
      <c r="EY255" s="410"/>
      <c r="EZ255" s="410"/>
      <c r="FA255" s="410"/>
      <c r="FB255" s="410"/>
      <c r="FC255" s="410"/>
      <c r="FD255" s="410"/>
      <c r="FE255" s="410"/>
      <c r="FF255" s="410"/>
      <c r="FG255" s="410"/>
      <c r="FH255" s="410"/>
      <c r="FI255" s="410"/>
      <c r="FJ255" s="410"/>
      <c r="FK255" s="410"/>
      <c r="FL255" s="410"/>
      <c r="FM255" s="410"/>
      <c r="FN255" s="410"/>
      <c r="FO255" s="410"/>
      <c r="FP255" s="410"/>
      <c r="FQ255" s="410"/>
      <c r="FR255" s="410"/>
      <c r="FS255" s="410"/>
      <c r="FT255" s="410"/>
      <c r="FU255" s="410"/>
      <c r="FV255" s="410"/>
      <c r="FW255" s="410"/>
      <c r="FX255" s="410"/>
      <c r="FY255" s="410"/>
      <c r="FZ255" s="410"/>
      <c r="GA255" s="410"/>
      <c r="GB255" s="410"/>
      <c r="GC255" s="410"/>
      <c r="GD255" s="410"/>
      <c r="GE255" s="410"/>
      <c r="GF255" s="410"/>
      <c r="GG255" s="410"/>
      <c r="GH255" s="410"/>
      <c r="GI255" s="410"/>
      <c r="GJ255" s="410"/>
      <c r="GK255" s="410"/>
      <c r="GL255" s="410"/>
      <c r="GM255" s="410"/>
      <c r="GN255" s="410"/>
      <c r="GO255" s="410"/>
      <c r="GP255" s="410"/>
      <c r="GQ255" s="410"/>
      <c r="GR255" s="410"/>
      <c r="GS255" s="410"/>
      <c r="GT255" s="410"/>
      <c r="GU255" s="410"/>
      <c r="GV255" s="410"/>
      <c r="GW255" s="410"/>
      <c r="GX255" s="410"/>
      <c r="GY255" s="410"/>
      <c r="GZ255" s="410"/>
      <c r="HA255" s="410"/>
      <c r="HB255" s="410"/>
      <c r="HC255" s="410"/>
      <c r="HD255" s="410"/>
      <c r="HE255" s="410"/>
      <c r="HF255" s="410"/>
      <c r="HG255" s="410"/>
      <c r="HH255" s="410"/>
      <c r="HI255" s="410"/>
      <c r="HJ255" s="410"/>
      <c r="HK255" s="410"/>
      <c r="HL255" s="410"/>
      <c r="HM255" s="410"/>
      <c r="HN255" s="410"/>
      <c r="HO255" s="410"/>
      <c r="HP255" s="410"/>
      <c r="HQ255" s="410"/>
      <c r="HR255" s="410"/>
      <c r="HS255" s="410"/>
      <c r="HT255" s="410"/>
      <c r="HU255" s="410"/>
      <c r="HV255" s="410"/>
      <c r="HW255" s="410"/>
      <c r="HX255" s="410"/>
      <c r="HY255" s="410"/>
      <c r="HZ255" s="410"/>
      <c r="IA255" s="410"/>
      <c r="IB255" s="410"/>
      <c r="IC255" s="410"/>
      <c r="ID255" s="410"/>
      <c r="IE255" s="410"/>
      <c r="IF255" s="410"/>
      <c r="IG255" s="410"/>
      <c r="IH255" s="410"/>
      <c r="II255" s="410"/>
      <c r="IJ255" s="410"/>
      <c r="IK255" s="410"/>
      <c r="IL255" s="410"/>
      <c r="IM255" s="410"/>
    </row>
    <row r="256" spans="1:247" s="415" customFormat="1" ht="30" x14ac:dyDescent="0.25">
      <c r="A256" s="99">
        <v>1</v>
      </c>
      <c r="B256" s="121" t="s">
        <v>112</v>
      </c>
      <c r="C256" s="459">
        <f t="shared" si="103"/>
        <v>8964</v>
      </c>
      <c r="D256" s="459">
        <f t="shared" si="103"/>
        <v>3735</v>
      </c>
      <c r="E256" s="459">
        <f t="shared" si="103"/>
        <v>4218</v>
      </c>
      <c r="F256" s="459">
        <f t="shared" si="103"/>
        <v>112.93172690763052</v>
      </c>
      <c r="G256" s="460">
        <f t="shared" si="103"/>
        <v>20554.01211</v>
      </c>
      <c r="H256" s="460">
        <f t="shared" si="103"/>
        <v>8564.17</v>
      </c>
      <c r="I256" s="460">
        <f t="shared" si="103"/>
        <v>11653.230510000001</v>
      </c>
      <c r="J256" s="460">
        <f t="shared" si="103"/>
        <v>136.06958420956147</v>
      </c>
      <c r="K256" s="410"/>
      <c r="L256" s="410"/>
      <c r="M256" s="410"/>
      <c r="N256" s="410"/>
      <c r="O256" s="410"/>
      <c r="P256" s="410"/>
      <c r="Q256" s="410"/>
      <c r="R256" s="410"/>
      <c r="S256" s="410"/>
      <c r="T256" s="410"/>
      <c r="U256" s="410"/>
      <c r="V256" s="410"/>
      <c r="W256" s="410"/>
      <c r="X256" s="410"/>
      <c r="Y256" s="410"/>
      <c r="Z256" s="410"/>
      <c r="AA256" s="410"/>
      <c r="AB256" s="410"/>
      <c r="AC256" s="410"/>
      <c r="AD256" s="410"/>
      <c r="AE256" s="410"/>
      <c r="AF256" s="410"/>
      <c r="AG256" s="410"/>
      <c r="AH256" s="410"/>
      <c r="AI256" s="410"/>
      <c r="AJ256" s="410"/>
      <c r="AK256" s="410"/>
      <c r="AL256" s="410"/>
      <c r="AM256" s="410"/>
      <c r="AN256" s="410"/>
      <c r="AO256" s="410"/>
      <c r="AP256" s="410"/>
      <c r="AQ256" s="410"/>
      <c r="AR256" s="410"/>
      <c r="AS256" s="410"/>
      <c r="AT256" s="410"/>
      <c r="AU256" s="410"/>
      <c r="AV256" s="410"/>
      <c r="AW256" s="410"/>
      <c r="AX256" s="410"/>
      <c r="AY256" s="410"/>
      <c r="AZ256" s="410"/>
      <c r="BA256" s="410"/>
      <c r="BB256" s="410"/>
      <c r="BC256" s="410"/>
      <c r="BD256" s="410"/>
      <c r="BE256" s="410"/>
      <c r="BF256" s="410"/>
      <c r="BG256" s="410"/>
      <c r="BH256" s="410"/>
      <c r="BI256" s="410"/>
      <c r="BJ256" s="410"/>
      <c r="BK256" s="410"/>
      <c r="BL256" s="410"/>
      <c r="BM256" s="410"/>
      <c r="BN256" s="410"/>
      <c r="BO256" s="410"/>
      <c r="BP256" s="410"/>
      <c r="BQ256" s="410"/>
      <c r="BR256" s="410"/>
      <c r="BS256" s="410"/>
      <c r="BT256" s="410"/>
      <c r="BU256" s="410"/>
      <c r="BV256" s="410"/>
      <c r="BW256" s="410"/>
      <c r="BX256" s="410"/>
      <c r="BY256" s="410"/>
      <c r="BZ256" s="410"/>
      <c r="CA256" s="410"/>
      <c r="CB256" s="410"/>
      <c r="CC256" s="410"/>
      <c r="CD256" s="410"/>
      <c r="CE256" s="410"/>
      <c r="CF256" s="410"/>
      <c r="CG256" s="410"/>
      <c r="CH256" s="410"/>
      <c r="CI256" s="410"/>
      <c r="CJ256" s="410"/>
      <c r="CK256" s="410"/>
      <c r="CL256" s="410"/>
      <c r="CM256" s="410"/>
      <c r="CN256" s="410"/>
      <c r="CO256" s="410"/>
      <c r="CP256" s="410"/>
      <c r="CQ256" s="410"/>
      <c r="CR256" s="410"/>
      <c r="CS256" s="410"/>
      <c r="CT256" s="410"/>
      <c r="CU256" s="410"/>
      <c r="CV256" s="410"/>
      <c r="CW256" s="410"/>
      <c r="CX256" s="410"/>
      <c r="CY256" s="410"/>
      <c r="CZ256" s="410"/>
      <c r="DA256" s="410"/>
      <c r="DB256" s="410"/>
      <c r="DC256" s="410"/>
      <c r="DD256" s="410"/>
      <c r="DE256" s="410"/>
      <c r="DF256" s="410"/>
      <c r="DG256" s="410"/>
      <c r="DH256" s="410"/>
      <c r="DI256" s="410"/>
      <c r="DJ256" s="410"/>
      <c r="DK256" s="410"/>
      <c r="DL256" s="410"/>
      <c r="DM256" s="410"/>
      <c r="DN256" s="410"/>
      <c r="DO256" s="410"/>
      <c r="DP256" s="410"/>
      <c r="DQ256" s="410"/>
      <c r="DR256" s="410"/>
      <c r="DS256" s="410"/>
      <c r="DT256" s="410"/>
      <c r="DU256" s="410"/>
      <c r="DV256" s="410"/>
      <c r="DW256" s="410"/>
      <c r="DX256" s="410"/>
      <c r="DY256" s="410"/>
      <c r="DZ256" s="410"/>
      <c r="EA256" s="410"/>
      <c r="EB256" s="410"/>
      <c r="EC256" s="410"/>
      <c r="ED256" s="410"/>
      <c r="EE256" s="410"/>
      <c r="EF256" s="410"/>
      <c r="EG256" s="410"/>
      <c r="EH256" s="410"/>
      <c r="EI256" s="410"/>
      <c r="EJ256" s="410"/>
      <c r="EK256" s="410"/>
      <c r="EL256" s="410"/>
      <c r="EM256" s="410"/>
      <c r="EN256" s="410"/>
      <c r="EO256" s="410"/>
      <c r="EP256" s="410"/>
      <c r="EQ256" s="410"/>
      <c r="ER256" s="410"/>
      <c r="ES256" s="410"/>
      <c r="ET256" s="410"/>
      <c r="EU256" s="410"/>
      <c r="EV256" s="410"/>
      <c r="EW256" s="410"/>
      <c r="EX256" s="410"/>
      <c r="EY256" s="410"/>
      <c r="EZ256" s="410"/>
      <c r="FA256" s="410"/>
      <c r="FB256" s="410"/>
      <c r="FC256" s="410"/>
      <c r="FD256" s="410"/>
      <c r="FE256" s="410"/>
      <c r="FF256" s="410"/>
      <c r="FG256" s="410"/>
      <c r="FH256" s="410"/>
      <c r="FI256" s="410"/>
      <c r="FJ256" s="410"/>
      <c r="FK256" s="410"/>
      <c r="FL256" s="410"/>
      <c r="FM256" s="410"/>
      <c r="FN256" s="410"/>
      <c r="FO256" s="410"/>
      <c r="FP256" s="410"/>
      <c r="FQ256" s="410"/>
      <c r="FR256" s="410"/>
      <c r="FS256" s="410"/>
      <c r="FT256" s="410"/>
      <c r="FU256" s="410"/>
      <c r="FV256" s="410"/>
      <c r="FW256" s="410"/>
      <c r="FX256" s="410"/>
      <c r="FY256" s="410"/>
      <c r="FZ256" s="410"/>
      <c r="GA256" s="410"/>
      <c r="GB256" s="410"/>
      <c r="GC256" s="410"/>
      <c r="GD256" s="410"/>
      <c r="GE256" s="410"/>
      <c r="GF256" s="410"/>
      <c r="GG256" s="410"/>
      <c r="GH256" s="410"/>
      <c r="GI256" s="410"/>
      <c r="GJ256" s="410"/>
      <c r="GK256" s="410"/>
      <c r="GL256" s="410"/>
      <c r="GM256" s="410"/>
      <c r="GN256" s="410"/>
      <c r="GO256" s="410"/>
      <c r="GP256" s="410"/>
      <c r="GQ256" s="410"/>
      <c r="GR256" s="410"/>
      <c r="GS256" s="410"/>
      <c r="GT256" s="410"/>
      <c r="GU256" s="410"/>
      <c r="GV256" s="410"/>
      <c r="GW256" s="410"/>
      <c r="GX256" s="410"/>
      <c r="GY256" s="410"/>
      <c r="GZ256" s="410"/>
      <c r="HA256" s="410"/>
      <c r="HB256" s="410"/>
      <c r="HC256" s="410"/>
      <c r="HD256" s="410"/>
      <c r="HE256" s="410"/>
      <c r="HF256" s="410"/>
      <c r="HG256" s="410"/>
      <c r="HH256" s="410"/>
      <c r="HI256" s="410"/>
      <c r="HJ256" s="410"/>
      <c r="HK256" s="410"/>
      <c r="HL256" s="410"/>
      <c r="HM256" s="410"/>
      <c r="HN256" s="410"/>
      <c r="HO256" s="410"/>
      <c r="HP256" s="410"/>
      <c r="HQ256" s="410"/>
      <c r="HR256" s="410"/>
      <c r="HS256" s="410"/>
      <c r="HT256" s="410"/>
      <c r="HU256" s="410"/>
      <c r="HV256" s="410"/>
      <c r="HW256" s="410"/>
      <c r="HX256" s="410"/>
      <c r="HY256" s="410"/>
      <c r="HZ256" s="410"/>
      <c r="IA256" s="410"/>
      <c r="IB256" s="410"/>
      <c r="IC256" s="410"/>
      <c r="ID256" s="410"/>
      <c r="IE256" s="410"/>
      <c r="IF256" s="410"/>
      <c r="IG256" s="410"/>
      <c r="IH256" s="410"/>
      <c r="II256" s="410"/>
      <c r="IJ256" s="410"/>
      <c r="IK256" s="410"/>
      <c r="IL256" s="410"/>
      <c r="IM256" s="410"/>
    </row>
    <row r="257" spans="1:247" s="415" customFormat="1" ht="30" x14ac:dyDescent="0.25">
      <c r="A257" s="99">
        <v>1</v>
      </c>
      <c r="B257" s="57" t="s">
        <v>108</v>
      </c>
      <c r="C257" s="459">
        <f t="shared" si="103"/>
        <v>700</v>
      </c>
      <c r="D257" s="459">
        <f t="shared" si="103"/>
        <v>292</v>
      </c>
      <c r="E257" s="459">
        <f t="shared" si="103"/>
        <v>453</v>
      </c>
      <c r="F257" s="459">
        <f t="shared" si="103"/>
        <v>155.13698630136986</v>
      </c>
      <c r="G257" s="460">
        <f t="shared" si="103"/>
        <v>1484.357</v>
      </c>
      <c r="H257" s="460">
        <f t="shared" si="103"/>
        <v>618.48</v>
      </c>
      <c r="I257" s="460">
        <f t="shared" si="103"/>
        <v>951.62666999999999</v>
      </c>
      <c r="J257" s="460">
        <f t="shared" si="103"/>
        <v>153.86539095847886</v>
      </c>
      <c r="K257" s="410"/>
      <c r="L257" s="410"/>
      <c r="M257" s="410"/>
      <c r="N257" s="410"/>
      <c r="O257" s="410"/>
      <c r="P257" s="410"/>
      <c r="Q257" s="410"/>
      <c r="R257" s="410"/>
      <c r="S257" s="410"/>
      <c r="T257" s="410"/>
      <c r="U257" s="410"/>
      <c r="V257" s="410"/>
      <c r="W257" s="410"/>
      <c r="X257" s="410"/>
      <c r="Y257" s="410"/>
      <c r="Z257" s="410"/>
      <c r="AA257" s="410"/>
      <c r="AB257" s="410"/>
      <c r="AC257" s="410"/>
      <c r="AD257" s="410"/>
      <c r="AE257" s="410"/>
      <c r="AF257" s="410"/>
      <c r="AG257" s="410"/>
      <c r="AH257" s="410"/>
      <c r="AI257" s="410"/>
      <c r="AJ257" s="410"/>
      <c r="AK257" s="410"/>
      <c r="AL257" s="410"/>
      <c r="AM257" s="410"/>
      <c r="AN257" s="410"/>
      <c r="AO257" s="410"/>
      <c r="AP257" s="410"/>
      <c r="AQ257" s="410"/>
      <c r="AR257" s="410"/>
      <c r="AS257" s="410"/>
      <c r="AT257" s="410"/>
      <c r="AU257" s="410"/>
      <c r="AV257" s="410"/>
      <c r="AW257" s="410"/>
      <c r="AX257" s="410"/>
      <c r="AY257" s="410"/>
      <c r="AZ257" s="410"/>
      <c r="BA257" s="410"/>
      <c r="BB257" s="410"/>
      <c r="BC257" s="410"/>
      <c r="BD257" s="410"/>
      <c r="BE257" s="410"/>
      <c r="BF257" s="410"/>
      <c r="BG257" s="410"/>
      <c r="BH257" s="410"/>
      <c r="BI257" s="410"/>
      <c r="BJ257" s="410"/>
      <c r="BK257" s="410"/>
      <c r="BL257" s="410"/>
      <c r="BM257" s="410"/>
      <c r="BN257" s="410"/>
      <c r="BO257" s="410"/>
      <c r="BP257" s="410"/>
      <c r="BQ257" s="410"/>
      <c r="BR257" s="410"/>
      <c r="BS257" s="410"/>
      <c r="BT257" s="410"/>
      <c r="BU257" s="410"/>
      <c r="BV257" s="410"/>
      <c r="BW257" s="410"/>
      <c r="BX257" s="410"/>
      <c r="BY257" s="410"/>
      <c r="BZ257" s="410"/>
      <c r="CA257" s="410"/>
      <c r="CB257" s="410"/>
      <c r="CC257" s="410"/>
      <c r="CD257" s="410"/>
      <c r="CE257" s="410"/>
      <c r="CF257" s="410"/>
      <c r="CG257" s="410"/>
      <c r="CH257" s="410"/>
      <c r="CI257" s="410"/>
      <c r="CJ257" s="410"/>
      <c r="CK257" s="410"/>
      <c r="CL257" s="410"/>
      <c r="CM257" s="410"/>
      <c r="CN257" s="410"/>
      <c r="CO257" s="410"/>
      <c r="CP257" s="410"/>
      <c r="CQ257" s="410"/>
      <c r="CR257" s="410"/>
      <c r="CS257" s="410"/>
      <c r="CT257" s="410"/>
      <c r="CU257" s="410"/>
      <c r="CV257" s="410"/>
      <c r="CW257" s="410"/>
      <c r="CX257" s="410"/>
      <c r="CY257" s="410"/>
      <c r="CZ257" s="410"/>
      <c r="DA257" s="410"/>
      <c r="DB257" s="410"/>
      <c r="DC257" s="410"/>
      <c r="DD257" s="410"/>
      <c r="DE257" s="410"/>
      <c r="DF257" s="410"/>
      <c r="DG257" s="410"/>
      <c r="DH257" s="410"/>
      <c r="DI257" s="410"/>
      <c r="DJ257" s="410"/>
      <c r="DK257" s="410"/>
      <c r="DL257" s="410"/>
      <c r="DM257" s="410"/>
      <c r="DN257" s="410"/>
      <c r="DO257" s="410"/>
      <c r="DP257" s="410"/>
      <c r="DQ257" s="410"/>
      <c r="DR257" s="410"/>
      <c r="DS257" s="410"/>
      <c r="DT257" s="410"/>
      <c r="DU257" s="410"/>
      <c r="DV257" s="410"/>
      <c r="DW257" s="410"/>
      <c r="DX257" s="410"/>
      <c r="DY257" s="410"/>
      <c r="DZ257" s="410"/>
      <c r="EA257" s="410"/>
      <c r="EB257" s="410"/>
      <c r="EC257" s="410"/>
      <c r="ED257" s="410"/>
      <c r="EE257" s="410"/>
      <c r="EF257" s="410"/>
      <c r="EG257" s="410"/>
      <c r="EH257" s="410"/>
      <c r="EI257" s="410"/>
      <c r="EJ257" s="410"/>
      <c r="EK257" s="410"/>
      <c r="EL257" s="410"/>
      <c r="EM257" s="410"/>
      <c r="EN257" s="410"/>
      <c r="EO257" s="410"/>
      <c r="EP257" s="410"/>
      <c r="EQ257" s="410"/>
      <c r="ER257" s="410"/>
      <c r="ES257" s="410"/>
      <c r="ET257" s="410"/>
      <c r="EU257" s="410"/>
      <c r="EV257" s="410"/>
      <c r="EW257" s="410"/>
      <c r="EX257" s="410"/>
      <c r="EY257" s="410"/>
      <c r="EZ257" s="410"/>
      <c r="FA257" s="410"/>
      <c r="FB257" s="410"/>
      <c r="FC257" s="410"/>
      <c r="FD257" s="410"/>
      <c r="FE257" s="410"/>
      <c r="FF257" s="410"/>
      <c r="FG257" s="410"/>
      <c r="FH257" s="410"/>
      <c r="FI257" s="410"/>
      <c r="FJ257" s="410"/>
      <c r="FK257" s="410"/>
      <c r="FL257" s="410"/>
      <c r="FM257" s="410"/>
      <c r="FN257" s="410"/>
      <c r="FO257" s="410"/>
      <c r="FP257" s="410"/>
      <c r="FQ257" s="410"/>
      <c r="FR257" s="410"/>
      <c r="FS257" s="410"/>
      <c r="FT257" s="410"/>
      <c r="FU257" s="410"/>
      <c r="FV257" s="410"/>
      <c r="FW257" s="410"/>
      <c r="FX257" s="410"/>
      <c r="FY257" s="410"/>
      <c r="FZ257" s="410"/>
      <c r="GA257" s="410"/>
      <c r="GB257" s="410"/>
      <c r="GC257" s="410"/>
      <c r="GD257" s="410"/>
      <c r="GE257" s="410"/>
      <c r="GF257" s="410"/>
      <c r="GG257" s="410"/>
      <c r="GH257" s="410"/>
      <c r="GI257" s="410"/>
      <c r="GJ257" s="410"/>
      <c r="GK257" s="410"/>
      <c r="GL257" s="410"/>
      <c r="GM257" s="410"/>
      <c r="GN257" s="410"/>
      <c r="GO257" s="410"/>
      <c r="GP257" s="410"/>
      <c r="GQ257" s="410"/>
      <c r="GR257" s="410"/>
      <c r="GS257" s="410"/>
      <c r="GT257" s="410"/>
      <c r="GU257" s="410"/>
      <c r="GV257" s="410"/>
      <c r="GW257" s="410"/>
      <c r="GX257" s="410"/>
      <c r="GY257" s="410"/>
      <c r="GZ257" s="410"/>
      <c r="HA257" s="410"/>
      <c r="HB257" s="410"/>
      <c r="HC257" s="410"/>
      <c r="HD257" s="410"/>
      <c r="HE257" s="410"/>
      <c r="HF257" s="410"/>
      <c r="HG257" s="410"/>
      <c r="HH257" s="410"/>
      <c r="HI257" s="410"/>
      <c r="HJ257" s="410"/>
      <c r="HK257" s="410"/>
      <c r="HL257" s="410"/>
      <c r="HM257" s="410"/>
      <c r="HN257" s="410"/>
      <c r="HO257" s="410"/>
      <c r="HP257" s="410"/>
      <c r="HQ257" s="410"/>
      <c r="HR257" s="410"/>
      <c r="HS257" s="410"/>
      <c r="HT257" s="410"/>
      <c r="HU257" s="410"/>
      <c r="HV257" s="410"/>
      <c r="HW257" s="410"/>
      <c r="HX257" s="410"/>
      <c r="HY257" s="410"/>
      <c r="HZ257" s="410"/>
      <c r="IA257" s="410"/>
      <c r="IB257" s="410"/>
      <c r="IC257" s="410"/>
      <c r="ID257" s="410"/>
      <c r="IE257" s="410"/>
      <c r="IF257" s="410"/>
      <c r="IG257" s="410"/>
      <c r="IH257" s="410"/>
      <c r="II257" s="410"/>
      <c r="IJ257" s="410"/>
      <c r="IK257" s="410"/>
      <c r="IL257" s="410"/>
      <c r="IM257" s="410"/>
    </row>
    <row r="258" spans="1:247" s="415" customFormat="1" ht="45" customHeight="1" x14ac:dyDescent="0.25">
      <c r="A258" s="99">
        <v>1</v>
      </c>
      <c r="B258" s="57" t="s">
        <v>81</v>
      </c>
      <c r="C258" s="459">
        <f t="shared" si="103"/>
        <v>6187</v>
      </c>
      <c r="D258" s="459">
        <f t="shared" si="103"/>
        <v>2578</v>
      </c>
      <c r="E258" s="459">
        <f t="shared" si="103"/>
        <v>2695</v>
      </c>
      <c r="F258" s="459">
        <f t="shared" si="103"/>
        <v>104.53840186190845</v>
      </c>
      <c r="G258" s="460">
        <f t="shared" si="103"/>
        <v>17033.862789999999</v>
      </c>
      <c r="H258" s="460">
        <f t="shared" si="103"/>
        <v>7097.44</v>
      </c>
      <c r="I258" s="460">
        <f t="shared" si="103"/>
        <v>9559.2649500000007</v>
      </c>
      <c r="J258" s="460">
        <f t="shared" si="103"/>
        <v>134.68609738159111</v>
      </c>
      <c r="K258" s="410"/>
      <c r="L258" s="410"/>
      <c r="M258" s="410"/>
      <c r="N258" s="410"/>
      <c r="O258" s="410"/>
      <c r="P258" s="410"/>
      <c r="Q258" s="410"/>
      <c r="R258" s="410"/>
      <c r="S258" s="410"/>
      <c r="T258" s="410"/>
      <c r="U258" s="410"/>
      <c r="V258" s="410"/>
      <c r="W258" s="410"/>
      <c r="X258" s="410"/>
      <c r="Y258" s="410"/>
      <c r="Z258" s="410"/>
      <c r="AA258" s="410"/>
      <c r="AB258" s="410"/>
      <c r="AC258" s="410"/>
      <c r="AD258" s="410"/>
      <c r="AE258" s="410"/>
      <c r="AF258" s="410"/>
      <c r="AG258" s="410"/>
      <c r="AH258" s="410"/>
      <c r="AI258" s="410"/>
      <c r="AJ258" s="410"/>
      <c r="AK258" s="410"/>
      <c r="AL258" s="410"/>
      <c r="AM258" s="410"/>
      <c r="AN258" s="410"/>
      <c r="AO258" s="410"/>
      <c r="AP258" s="410"/>
      <c r="AQ258" s="410"/>
      <c r="AR258" s="410"/>
      <c r="AS258" s="410"/>
      <c r="AT258" s="410"/>
      <c r="AU258" s="410"/>
      <c r="AV258" s="410"/>
      <c r="AW258" s="410"/>
      <c r="AX258" s="410"/>
      <c r="AY258" s="410"/>
      <c r="AZ258" s="410"/>
      <c r="BA258" s="410"/>
      <c r="BB258" s="410"/>
      <c r="BC258" s="410"/>
      <c r="BD258" s="410"/>
      <c r="BE258" s="410"/>
      <c r="BF258" s="410"/>
      <c r="BG258" s="410"/>
      <c r="BH258" s="410"/>
      <c r="BI258" s="410"/>
      <c r="BJ258" s="410"/>
      <c r="BK258" s="410"/>
      <c r="BL258" s="410"/>
      <c r="BM258" s="410"/>
      <c r="BN258" s="410"/>
      <c r="BO258" s="410"/>
      <c r="BP258" s="410"/>
      <c r="BQ258" s="410"/>
      <c r="BR258" s="410"/>
      <c r="BS258" s="410"/>
      <c r="BT258" s="410"/>
      <c r="BU258" s="410"/>
      <c r="BV258" s="410"/>
      <c r="BW258" s="410"/>
      <c r="BX258" s="410"/>
      <c r="BY258" s="410"/>
      <c r="BZ258" s="410"/>
      <c r="CA258" s="410"/>
      <c r="CB258" s="410"/>
      <c r="CC258" s="410"/>
      <c r="CD258" s="410"/>
      <c r="CE258" s="410"/>
      <c r="CF258" s="410"/>
      <c r="CG258" s="410"/>
      <c r="CH258" s="410"/>
      <c r="CI258" s="410"/>
      <c r="CJ258" s="410"/>
      <c r="CK258" s="410"/>
      <c r="CL258" s="410"/>
      <c r="CM258" s="410"/>
      <c r="CN258" s="410"/>
      <c r="CO258" s="410"/>
      <c r="CP258" s="410"/>
      <c r="CQ258" s="410"/>
      <c r="CR258" s="410"/>
      <c r="CS258" s="410"/>
      <c r="CT258" s="410"/>
      <c r="CU258" s="410"/>
      <c r="CV258" s="410"/>
      <c r="CW258" s="410"/>
      <c r="CX258" s="410"/>
      <c r="CY258" s="410"/>
      <c r="CZ258" s="410"/>
      <c r="DA258" s="410"/>
      <c r="DB258" s="410"/>
      <c r="DC258" s="410"/>
      <c r="DD258" s="410"/>
      <c r="DE258" s="410"/>
      <c r="DF258" s="410"/>
      <c r="DG258" s="410"/>
      <c r="DH258" s="410"/>
      <c r="DI258" s="410"/>
      <c r="DJ258" s="410"/>
      <c r="DK258" s="410"/>
      <c r="DL258" s="410"/>
      <c r="DM258" s="410"/>
      <c r="DN258" s="410"/>
      <c r="DO258" s="410"/>
      <c r="DP258" s="410"/>
      <c r="DQ258" s="410"/>
      <c r="DR258" s="410"/>
      <c r="DS258" s="410"/>
      <c r="DT258" s="410"/>
      <c r="DU258" s="410"/>
      <c r="DV258" s="410"/>
      <c r="DW258" s="410"/>
      <c r="DX258" s="410"/>
      <c r="DY258" s="410"/>
      <c r="DZ258" s="410"/>
      <c r="EA258" s="410"/>
      <c r="EB258" s="410"/>
      <c r="EC258" s="410"/>
      <c r="ED258" s="410"/>
      <c r="EE258" s="410"/>
      <c r="EF258" s="410"/>
      <c r="EG258" s="410"/>
      <c r="EH258" s="410"/>
      <c r="EI258" s="410"/>
      <c r="EJ258" s="410"/>
      <c r="EK258" s="410"/>
      <c r="EL258" s="410"/>
      <c r="EM258" s="410"/>
      <c r="EN258" s="410"/>
      <c r="EO258" s="410"/>
      <c r="EP258" s="410"/>
      <c r="EQ258" s="410"/>
      <c r="ER258" s="410"/>
      <c r="ES258" s="410"/>
      <c r="ET258" s="410"/>
      <c r="EU258" s="410"/>
      <c r="EV258" s="410"/>
      <c r="EW258" s="410"/>
      <c r="EX258" s="410"/>
      <c r="EY258" s="410"/>
      <c r="EZ258" s="410"/>
      <c r="FA258" s="410"/>
      <c r="FB258" s="410"/>
      <c r="FC258" s="410"/>
      <c r="FD258" s="410"/>
      <c r="FE258" s="410"/>
      <c r="FF258" s="410"/>
      <c r="FG258" s="410"/>
      <c r="FH258" s="410"/>
      <c r="FI258" s="410"/>
      <c r="FJ258" s="410"/>
      <c r="FK258" s="410"/>
      <c r="FL258" s="410"/>
      <c r="FM258" s="410"/>
      <c r="FN258" s="410"/>
      <c r="FO258" s="410"/>
      <c r="FP258" s="410"/>
      <c r="FQ258" s="410"/>
      <c r="FR258" s="410"/>
      <c r="FS258" s="410"/>
      <c r="FT258" s="410"/>
      <c r="FU258" s="410"/>
      <c r="FV258" s="410"/>
      <c r="FW258" s="410"/>
      <c r="FX258" s="410"/>
      <c r="FY258" s="410"/>
      <c r="FZ258" s="410"/>
      <c r="GA258" s="410"/>
      <c r="GB258" s="410"/>
      <c r="GC258" s="410"/>
      <c r="GD258" s="410"/>
      <c r="GE258" s="410"/>
      <c r="GF258" s="410"/>
      <c r="GG258" s="410"/>
      <c r="GH258" s="410"/>
      <c r="GI258" s="410"/>
      <c r="GJ258" s="410"/>
      <c r="GK258" s="410"/>
      <c r="GL258" s="410"/>
      <c r="GM258" s="410"/>
      <c r="GN258" s="410"/>
      <c r="GO258" s="410"/>
      <c r="GP258" s="410"/>
      <c r="GQ258" s="410"/>
      <c r="GR258" s="410"/>
      <c r="GS258" s="410"/>
      <c r="GT258" s="410"/>
      <c r="GU258" s="410"/>
      <c r="GV258" s="410"/>
      <c r="GW258" s="410"/>
      <c r="GX258" s="410"/>
      <c r="GY258" s="410"/>
      <c r="GZ258" s="410"/>
      <c r="HA258" s="410"/>
      <c r="HB258" s="410"/>
      <c r="HC258" s="410"/>
      <c r="HD258" s="410"/>
      <c r="HE258" s="410"/>
      <c r="HF258" s="410"/>
      <c r="HG258" s="410"/>
      <c r="HH258" s="410"/>
      <c r="HI258" s="410"/>
      <c r="HJ258" s="410"/>
      <c r="HK258" s="410"/>
      <c r="HL258" s="410"/>
      <c r="HM258" s="410"/>
      <c r="HN258" s="410"/>
      <c r="HO258" s="410"/>
      <c r="HP258" s="410"/>
      <c r="HQ258" s="410"/>
      <c r="HR258" s="410"/>
      <c r="HS258" s="410"/>
      <c r="HT258" s="410"/>
      <c r="HU258" s="410"/>
      <c r="HV258" s="410"/>
      <c r="HW258" s="410"/>
      <c r="HX258" s="410"/>
      <c r="HY258" s="410"/>
      <c r="HZ258" s="410"/>
      <c r="IA258" s="410"/>
      <c r="IB258" s="410"/>
      <c r="IC258" s="410"/>
      <c r="ID258" s="410"/>
      <c r="IE258" s="410"/>
      <c r="IF258" s="410"/>
      <c r="IG258" s="410"/>
      <c r="IH258" s="410"/>
      <c r="II258" s="410"/>
      <c r="IJ258" s="410"/>
      <c r="IK258" s="410"/>
      <c r="IL258" s="410"/>
      <c r="IM258" s="410"/>
    </row>
    <row r="259" spans="1:247" s="415" customFormat="1" ht="45" customHeight="1" x14ac:dyDescent="0.25">
      <c r="A259" s="99">
        <v>1</v>
      </c>
      <c r="B259" s="57" t="s">
        <v>109</v>
      </c>
      <c r="C259" s="459">
        <f t="shared" si="103"/>
        <v>2077</v>
      </c>
      <c r="D259" s="459">
        <f t="shared" si="103"/>
        <v>865</v>
      </c>
      <c r="E259" s="459">
        <f t="shared" si="103"/>
        <v>1070</v>
      </c>
      <c r="F259" s="459">
        <f t="shared" si="103"/>
        <v>123.69942196531791</v>
      </c>
      <c r="G259" s="460">
        <f t="shared" si="103"/>
        <v>2035.79232</v>
      </c>
      <c r="H259" s="460">
        <f t="shared" si="103"/>
        <v>848.25</v>
      </c>
      <c r="I259" s="460">
        <f t="shared" si="103"/>
        <v>1142.33889</v>
      </c>
      <c r="J259" s="460">
        <f t="shared" si="103"/>
        <v>134.67007250221045</v>
      </c>
      <c r="K259" s="410"/>
      <c r="L259" s="410"/>
      <c r="M259" s="410"/>
      <c r="N259" s="410"/>
      <c r="O259" s="410"/>
      <c r="P259" s="410"/>
      <c r="Q259" s="410"/>
      <c r="R259" s="410"/>
      <c r="S259" s="410"/>
      <c r="T259" s="410"/>
      <c r="U259" s="410"/>
      <c r="V259" s="410"/>
      <c r="W259" s="410"/>
      <c r="X259" s="410"/>
      <c r="Y259" s="410"/>
      <c r="Z259" s="410"/>
      <c r="AA259" s="410"/>
      <c r="AB259" s="410"/>
      <c r="AC259" s="410"/>
      <c r="AD259" s="410"/>
      <c r="AE259" s="410"/>
      <c r="AF259" s="410"/>
      <c r="AG259" s="410"/>
      <c r="AH259" s="410"/>
      <c r="AI259" s="410"/>
      <c r="AJ259" s="410"/>
      <c r="AK259" s="410"/>
      <c r="AL259" s="410"/>
      <c r="AM259" s="410"/>
      <c r="AN259" s="410"/>
      <c r="AO259" s="410"/>
      <c r="AP259" s="410"/>
      <c r="AQ259" s="410"/>
      <c r="AR259" s="410"/>
      <c r="AS259" s="410"/>
      <c r="AT259" s="410"/>
      <c r="AU259" s="410"/>
      <c r="AV259" s="410"/>
      <c r="AW259" s="410"/>
      <c r="AX259" s="410"/>
      <c r="AY259" s="410"/>
      <c r="AZ259" s="410"/>
      <c r="BA259" s="410"/>
      <c r="BB259" s="410"/>
      <c r="BC259" s="410"/>
      <c r="BD259" s="410"/>
      <c r="BE259" s="410"/>
      <c r="BF259" s="410"/>
      <c r="BG259" s="410"/>
      <c r="BH259" s="410"/>
      <c r="BI259" s="410"/>
      <c r="BJ259" s="410"/>
      <c r="BK259" s="410"/>
      <c r="BL259" s="410"/>
      <c r="BM259" s="410"/>
      <c r="BN259" s="410"/>
      <c r="BO259" s="410"/>
      <c r="BP259" s="410"/>
      <c r="BQ259" s="410"/>
      <c r="BR259" s="410"/>
      <c r="BS259" s="410"/>
      <c r="BT259" s="410"/>
      <c r="BU259" s="410"/>
      <c r="BV259" s="410"/>
      <c r="BW259" s="410"/>
      <c r="BX259" s="410"/>
      <c r="BY259" s="410"/>
      <c r="BZ259" s="410"/>
      <c r="CA259" s="410"/>
      <c r="CB259" s="410"/>
      <c r="CC259" s="410"/>
      <c r="CD259" s="410"/>
      <c r="CE259" s="410"/>
      <c r="CF259" s="410"/>
      <c r="CG259" s="410"/>
      <c r="CH259" s="410"/>
      <c r="CI259" s="410"/>
      <c r="CJ259" s="410"/>
      <c r="CK259" s="410"/>
      <c r="CL259" s="410"/>
      <c r="CM259" s="410"/>
      <c r="CN259" s="410"/>
      <c r="CO259" s="410"/>
      <c r="CP259" s="410"/>
      <c r="CQ259" s="410"/>
      <c r="CR259" s="410"/>
      <c r="CS259" s="410"/>
      <c r="CT259" s="410"/>
      <c r="CU259" s="410"/>
      <c r="CV259" s="410"/>
      <c r="CW259" s="410"/>
      <c r="CX259" s="410"/>
      <c r="CY259" s="410"/>
      <c r="CZ259" s="410"/>
      <c r="DA259" s="410"/>
      <c r="DB259" s="410"/>
      <c r="DC259" s="410"/>
      <c r="DD259" s="410"/>
      <c r="DE259" s="410"/>
      <c r="DF259" s="410"/>
      <c r="DG259" s="410"/>
      <c r="DH259" s="410"/>
      <c r="DI259" s="410"/>
      <c r="DJ259" s="410"/>
      <c r="DK259" s="410"/>
      <c r="DL259" s="410"/>
      <c r="DM259" s="410"/>
      <c r="DN259" s="410"/>
      <c r="DO259" s="410"/>
      <c r="DP259" s="410"/>
      <c r="DQ259" s="410"/>
      <c r="DR259" s="410"/>
      <c r="DS259" s="410"/>
      <c r="DT259" s="410"/>
      <c r="DU259" s="410"/>
      <c r="DV259" s="410"/>
      <c r="DW259" s="410"/>
      <c r="DX259" s="410"/>
      <c r="DY259" s="410"/>
      <c r="DZ259" s="410"/>
      <c r="EA259" s="410"/>
      <c r="EB259" s="410"/>
      <c r="EC259" s="410"/>
      <c r="ED259" s="410"/>
      <c r="EE259" s="410"/>
      <c r="EF259" s="410"/>
      <c r="EG259" s="410"/>
      <c r="EH259" s="410"/>
      <c r="EI259" s="410"/>
      <c r="EJ259" s="410"/>
      <c r="EK259" s="410"/>
      <c r="EL259" s="410"/>
      <c r="EM259" s="410"/>
      <c r="EN259" s="410"/>
      <c r="EO259" s="410"/>
      <c r="EP259" s="410"/>
      <c r="EQ259" s="410"/>
      <c r="ER259" s="410"/>
      <c r="ES259" s="410"/>
      <c r="ET259" s="410"/>
      <c r="EU259" s="410"/>
      <c r="EV259" s="410"/>
      <c r="EW259" s="410"/>
      <c r="EX259" s="410"/>
      <c r="EY259" s="410"/>
      <c r="EZ259" s="410"/>
      <c r="FA259" s="410"/>
      <c r="FB259" s="410"/>
      <c r="FC259" s="410"/>
      <c r="FD259" s="410"/>
      <c r="FE259" s="410"/>
      <c r="FF259" s="410"/>
      <c r="FG259" s="410"/>
      <c r="FH259" s="410"/>
      <c r="FI259" s="410"/>
      <c r="FJ259" s="410"/>
      <c r="FK259" s="410"/>
      <c r="FL259" s="410"/>
      <c r="FM259" s="410"/>
      <c r="FN259" s="410"/>
      <c r="FO259" s="410"/>
      <c r="FP259" s="410"/>
      <c r="FQ259" s="410"/>
      <c r="FR259" s="410"/>
      <c r="FS259" s="410"/>
      <c r="FT259" s="410"/>
      <c r="FU259" s="410"/>
      <c r="FV259" s="410"/>
      <c r="FW259" s="410"/>
      <c r="FX259" s="410"/>
      <c r="FY259" s="410"/>
      <c r="FZ259" s="410"/>
      <c r="GA259" s="410"/>
      <c r="GB259" s="410"/>
      <c r="GC259" s="410"/>
      <c r="GD259" s="410"/>
      <c r="GE259" s="410"/>
      <c r="GF259" s="410"/>
      <c r="GG259" s="410"/>
      <c r="GH259" s="410"/>
      <c r="GI259" s="410"/>
      <c r="GJ259" s="410"/>
      <c r="GK259" s="410"/>
      <c r="GL259" s="410"/>
      <c r="GM259" s="410"/>
      <c r="GN259" s="410"/>
      <c r="GO259" s="410"/>
      <c r="GP259" s="410"/>
      <c r="GQ259" s="410"/>
      <c r="GR259" s="410"/>
      <c r="GS259" s="410"/>
      <c r="GT259" s="410"/>
      <c r="GU259" s="410"/>
      <c r="GV259" s="410"/>
      <c r="GW259" s="410"/>
      <c r="GX259" s="410"/>
      <c r="GY259" s="410"/>
      <c r="GZ259" s="410"/>
      <c r="HA259" s="410"/>
      <c r="HB259" s="410"/>
      <c r="HC259" s="410"/>
      <c r="HD259" s="410"/>
      <c r="HE259" s="410"/>
      <c r="HF259" s="410"/>
      <c r="HG259" s="410"/>
      <c r="HH259" s="410"/>
      <c r="HI259" s="410"/>
      <c r="HJ259" s="410"/>
      <c r="HK259" s="410"/>
      <c r="HL259" s="410"/>
      <c r="HM259" s="410"/>
      <c r="HN259" s="410"/>
      <c r="HO259" s="410"/>
      <c r="HP259" s="410"/>
      <c r="HQ259" s="410"/>
      <c r="HR259" s="410"/>
      <c r="HS259" s="410"/>
      <c r="HT259" s="410"/>
      <c r="HU259" s="410"/>
      <c r="HV259" s="410"/>
      <c r="HW259" s="410"/>
      <c r="HX259" s="410"/>
      <c r="HY259" s="410"/>
      <c r="HZ259" s="410"/>
      <c r="IA259" s="410"/>
      <c r="IB259" s="410"/>
      <c r="IC259" s="410"/>
      <c r="ID259" s="410"/>
      <c r="IE259" s="410"/>
      <c r="IF259" s="410"/>
      <c r="IG259" s="410"/>
      <c r="IH259" s="410"/>
      <c r="II259" s="410"/>
      <c r="IJ259" s="410"/>
      <c r="IK259" s="410"/>
      <c r="IL259" s="410"/>
      <c r="IM259" s="410"/>
    </row>
    <row r="260" spans="1:247" s="415" customFormat="1" ht="38.1" customHeight="1" x14ac:dyDescent="0.25">
      <c r="A260" s="99"/>
      <c r="B260" s="57" t="s">
        <v>123</v>
      </c>
      <c r="C260" s="459">
        <f t="shared" ref="C260:J262" si="104">SUM(C246)</f>
        <v>9234</v>
      </c>
      <c r="D260" s="459">
        <f t="shared" si="104"/>
        <v>3848</v>
      </c>
      <c r="E260" s="459">
        <f t="shared" si="104"/>
        <v>4060</v>
      </c>
      <c r="F260" s="459">
        <f t="shared" si="104"/>
        <v>105.50935550935552</v>
      </c>
      <c r="G260" s="459">
        <f t="shared" si="104"/>
        <v>8986.7134800000003</v>
      </c>
      <c r="H260" s="459">
        <f t="shared" si="104"/>
        <v>3744.46</v>
      </c>
      <c r="I260" s="459">
        <f t="shared" si="104"/>
        <v>3911.7763300000001</v>
      </c>
      <c r="J260" s="459">
        <f t="shared" si="104"/>
        <v>104.46837007205312</v>
      </c>
      <c r="K260" s="410"/>
      <c r="L260" s="410"/>
      <c r="M260" s="410"/>
      <c r="N260" s="410"/>
      <c r="O260" s="410"/>
      <c r="P260" s="410"/>
      <c r="Q260" s="410"/>
      <c r="R260" s="410"/>
      <c r="S260" s="410"/>
      <c r="T260" s="410"/>
      <c r="U260" s="410"/>
      <c r="V260" s="410"/>
      <c r="W260" s="410"/>
      <c r="X260" s="410"/>
      <c r="Y260" s="410"/>
      <c r="Z260" s="410"/>
      <c r="AA260" s="410"/>
      <c r="AB260" s="410"/>
      <c r="AC260" s="410"/>
      <c r="AD260" s="410"/>
      <c r="AE260" s="410"/>
      <c r="AF260" s="410"/>
      <c r="AG260" s="410"/>
      <c r="AH260" s="410"/>
      <c r="AI260" s="410"/>
      <c r="AJ260" s="410"/>
      <c r="AK260" s="410"/>
      <c r="AL260" s="410"/>
      <c r="AM260" s="410"/>
      <c r="AN260" s="410"/>
      <c r="AO260" s="410"/>
      <c r="AP260" s="410"/>
      <c r="AQ260" s="410"/>
      <c r="AR260" s="410"/>
      <c r="AS260" s="410"/>
      <c r="AT260" s="410"/>
      <c r="AU260" s="410"/>
      <c r="AV260" s="410"/>
      <c r="AW260" s="410"/>
      <c r="AX260" s="410"/>
      <c r="AY260" s="410"/>
      <c r="AZ260" s="410"/>
      <c r="BA260" s="410"/>
      <c r="BB260" s="410"/>
      <c r="BC260" s="410"/>
      <c r="BD260" s="410"/>
      <c r="BE260" s="410"/>
      <c r="BF260" s="410"/>
      <c r="BG260" s="410"/>
      <c r="BH260" s="410"/>
      <c r="BI260" s="410"/>
      <c r="BJ260" s="410"/>
      <c r="BK260" s="410"/>
      <c r="BL260" s="410"/>
      <c r="BM260" s="410"/>
      <c r="BN260" s="410"/>
      <c r="BO260" s="410"/>
      <c r="BP260" s="410"/>
      <c r="BQ260" s="410"/>
      <c r="BR260" s="410"/>
      <c r="BS260" s="410"/>
      <c r="BT260" s="410"/>
      <c r="BU260" s="410"/>
      <c r="BV260" s="410"/>
      <c r="BW260" s="410"/>
      <c r="BX260" s="410"/>
      <c r="BY260" s="410"/>
      <c r="BZ260" s="410"/>
      <c r="CA260" s="410"/>
      <c r="CB260" s="410"/>
      <c r="CC260" s="410"/>
      <c r="CD260" s="410"/>
      <c r="CE260" s="410"/>
      <c r="CF260" s="410"/>
      <c r="CG260" s="410"/>
      <c r="CH260" s="410"/>
      <c r="CI260" s="410"/>
      <c r="CJ260" s="410"/>
      <c r="CK260" s="410"/>
      <c r="CL260" s="410"/>
      <c r="CM260" s="410"/>
      <c r="CN260" s="410"/>
      <c r="CO260" s="410"/>
      <c r="CP260" s="410"/>
      <c r="CQ260" s="410"/>
      <c r="CR260" s="410"/>
      <c r="CS260" s="410"/>
      <c r="CT260" s="410"/>
      <c r="CU260" s="410"/>
      <c r="CV260" s="410"/>
      <c r="CW260" s="410"/>
      <c r="CX260" s="410"/>
      <c r="CY260" s="410"/>
      <c r="CZ260" s="410"/>
      <c r="DA260" s="410"/>
      <c r="DB260" s="410"/>
      <c r="DC260" s="410"/>
      <c r="DD260" s="410"/>
      <c r="DE260" s="410"/>
      <c r="DF260" s="410"/>
      <c r="DG260" s="410"/>
      <c r="DH260" s="410"/>
      <c r="DI260" s="410"/>
      <c r="DJ260" s="410"/>
      <c r="DK260" s="410"/>
      <c r="DL260" s="410"/>
      <c r="DM260" s="410"/>
      <c r="DN260" s="410"/>
      <c r="DO260" s="410"/>
      <c r="DP260" s="410"/>
      <c r="DQ260" s="410"/>
      <c r="DR260" s="410"/>
      <c r="DS260" s="410"/>
      <c r="DT260" s="410"/>
      <c r="DU260" s="410"/>
      <c r="DV260" s="410"/>
      <c r="DW260" s="410"/>
      <c r="DX260" s="410"/>
      <c r="DY260" s="410"/>
      <c r="DZ260" s="410"/>
      <c r="EA260" s="410"/>
      <c r="EB260" s="410"/>
      <c r="EC260" s="410"/>
      <c r="ED260" s="410"/>
      <c r="EE260" s="410"/>
      <c r="EF260" s="410"/>
      <c r="EG260" s="410"/>
      <c r="EH260" s="410"/>
      <c r="EI260" s="410"/>
      <c r="EJ260" s="410"/>
      <c r="EK260" s="410"/>
      <c r="EL260" s="410"/>
      <c r="EM260" s="410"/>
      <c r="EN260" s="410"/>
      <c r="EO260" s="410"/>
      <c r="EP260" s="410"/>
      <c r="EQ260" s="410"/>
      <c r="ER260" s="410"/>
      <c r="ES260" s="410"/>
      <c r="ET260" s="410"/>
      <c r="EU260" s="410"/>
      <c r="EV260" s="410"/>
      <c r="EW260" s="410"/>
      <c r="EX260" s="410"/>
      <c r="EY260" s="410"/>
      <c r="EZ260" s="410"/>
      <c r="FA260" s="410"/>
      <c r="FB260" s="410"/>
      <c r="FC260" s="410"/>
      <c r="FD260" s="410"/>
      <c r="FE260" s="410"/>
      <c r="FF260" s="410"/>
      <c r="FG260" s="410"/>
      <c r="FH260" s="410"/>
      <c r="FI260" s="410"/>
      <c r="FJ260" s="410"/>
      <c r="FK260" s="410"/>
      <c r="FL260" s="410"/>
      <c r="FM260" s="410"/>
      <c r="FN260" s="410"/>
      <c r="FO260" s="410"/>
      <c r="FP260" s="410"/>
      <c r="FQ260" s="410"/>
      <c r="FR260" s="410"/>
      <c r="FS260" s="410"/>
      <c r="FT260" s="410"/>
      <c r="FU260" s="410"/>
      <c r="FV260" s="410"/>
      <c r="FW260" s="410"/>
      <c r="FX260" s="410"/>
      <c r="FY260" s="410"/>
      <c r="FZ260" s="410"/>
      <c r="GA260" s="410"/>
      <c r="GB260" s="410"/>
      <c r="GC260" s="410"/>
      <c r="GD260" s="410"/>
      <c r="GE260" s="410"/>
      <c r="GF260" s="410"/>
      <c r="GG260" s="410"/>
      <c r="GH260" s="410"/>
      <c r="GI260" s="410"/>
      <c r="GJ260" s="410"/>
      <c r="GK260" s="410"/>
      <c r="GL260" s="410"/>
      <c r="GM260" s="410"/>
      <c r="GN260" s="410"/>
      <c r="GO260" s="410"/>
      <c r="GP260" s="410"/>
      <c r="GQ260" s="410"/>
      <c r="GR260" s="410"/>
      <c r="GS260" s="410"/>
      <c r="GT260" s="410"/>
      <c r="GU260" s="410"/>
      <c r="GV260" s="410"/>
      <c r="GW260" s="410"/>
      <c r="GX260" s="410"/>
      <c r="GY260" s="410"/>
      <c r="GZ260" s="410"/>
      <c r="HA260" s="410"/>
      <c r="HB260" s="410"/>
      <c r="HC260" s="410"/>
      <c r="HD260" s="410"/>
      <c r="HE260" s="410"/>
      <c r="HF260" s="410"/>
      <c r="HG260" s="410"/>
      <c r="HH260" s="410"/>
      <c r="HI260" s="410"/>
      <c r="HJ260" s="410"/>
      <c r="HK260" s="410"/>
      <c r="HL260" s="410"/>
      <c r="HM260" s="410"/>
      <c r="HN260" s="410"/>
      <c r="HO260" s="410"/>
      <c r="HP260" s="410"/>
      <c r="HQ260" s="410"/>
      <c r="HR260" s="410"/>
      <c r="HS260" s="410"/>
      <c r="HT260" s="410"/>
      <c r="HU260" s="410"/>
      <c r="HV260" s="410"/>
      <c r="HW260" s="410"/>
      <c r="HX260" s="410"/>
      <c r="HY260" s="410"/>
      <c r="HZ260" s="410"/>
      <c r="IA260" s="410"/>
      <c r="IB260" s="410"/>
      <c r="IC260" s="410"/>
      <c r="ID260" s="410"/>
      <c r="IE260" s="410"/>
      <c r="IF260" s="410"/>
      <c r="IG260" s="410"/>
      <c r="IH260" s="410"/>
      <c r="II260" s="410"/>
      <c r="IJ260" s="410"/>
      <c r="IK260" s="410"/>
      <c r="IL260" s="410"/>
      <c r="IM260" s="410"/>
    </row>
    <row r="261" spans="1:247" s="415" customFormat="1" ht="38.1" customHeight="1" x14ac:dyDescent="0.25">
      <c r="A261" s="99"/>
      <c r="B261" s="57" t="s">
        <v>124</v>
      </c>
      <c r="C261" s="459">
        <f t="shared" si="104"/>
        <v>910</v>
      </c>
      <c r="D261" s="459">
        <f t="shared" si="104"/>
        <v>379</v>
      </c>
      <c r="E261" s="459">
        <f t="shared" si="104"/>
        <v>812</v>
      </c>
      <c r="F261" s="459">
        <f t="shared" si="104"/>
        <v>214.24802110817942</v>
      </c>
      <c r="G261" s="459">
        <f t="shared" si="104"/>
        <v>885.63020000000006</v>
      </c>
      <c r="H261" s="459">
        <f t="shared" si="104"/>
        <v>369.01</v>
      </c>
      <c r="I261" s="459">
        <f t="shared" si="104"/>
        <v>778.81473000000005</v>
      </c>
      <c r="J261" s="459">
        <f t="shared" si="104"/>
        <v>211.05518278637439</v>
      </c>
      <c r="K261" s="410"/>
      <c r="L261" s="410"/>
      <c r="M261" s="410"/>
      <c r="N261" s="410"/>
      <c r="O261" s="410"/>
      <c r="P261" s="410"/>
      <c r="Q261" s="410"/>
      <c r="R261" s="410"/>
      <c r="S261" s="410"/>
      <c r="T261" s="410"/>
      <c r="U261" s="410"/>
      <c r="V261" s="410"/>
      <c r="W261" s="410"/>
      <c r="X261" s="410"/>
      <c r="Y261" s="410"/>
      <c r="Z261" s="410"/>
      <c r="AA261" s="410"/>
      <c r="AB261" s="410"/>
      <c r="AC261" s="410"/>
      <c r="AD261" s="410"/>
      <c r="AE261" s="410"/>
      <c r="AF261" s="410"/>
      <c r="AG261" s="410"/>
      <c r="AH261" s="410"/>
      <c r="AI261" s="410"/>
      <c r="AJ261" s="410"/>
      <c r="AK261" s="410"/>
      <c r="AL261" s="410"/>
      <c r="AM261" s="410"/>
      <c r="AN261" s="410"/>
      <c r="AO261" s="410"/>
      <c r="AP261" s="410"/>
      <c r="AQ261" s="410"/>
      <c r="AR261" s="410"/>
      <c r="AS261" s="410"/>
      <c r="AT261" s="410"/>
      <c r="AU261" s="410"/>
      <c r="AV261" s="410"/>
      <c r="AW261" s="410"/>
      <c r="AX261" s="410"/>
      <c r="AY261" s="410"/>
      <c r="AZ261" s="410"/>
      <c r="BA261" s="410"/>
      <c r="BB261" s="410"/>
      <c r="BC261" s="410"/>
      <c r="BD261" s="410"/>
      <c r="BE261" s="410"/>
      <c r="BF261" s="410"/>
      <c r="BG261" s="410"/>
      <c r="BH261" s="410"/>
      <c r="BI261" s="410"/>
      <c r="BJ261" s="410"/>
      <c r="BK261" s="410"/>
      <c r="BL261" s="410"/>
      <c r="BM261" s="410"/>
      <c r="BN261" s="410"/>
      <c r="BO261" s="410"/>
      <c r="BP261" s="410"/>
      <c r="BQ261" s="410"/>
      <c r="BR261" s="410"/>
      <c r="BS261" s="410"/>
      <c r="BT261" s="410"/>
      <c r="BU261" s="410"/>
      <c r="BV261" s="410"/>
      <c r="BW261" s="410"/>
      <c r="BX261" s="410"/>
      <c r="BY261" s="410"/>
      <c r="BZ261" s="410"/>
      <c r="CA261" s="410"/>
      <c r="CB261" s="410"/>
      <c r="CC261" s="410"/>
      <c r="CD261" s="410"/>
      <c r="CE261" s="410"/>
      <c r="CF261" s="410"/>
      <c r="CG261" s="410"/>
      <c r="CH261" s="410"/>
      <c r="CI261" s="410"/>
      <c r="CJ261" s="410"/>
      <c r="CK261" s="410"/>
      <c r="CL261" s="410"/>
      <c r="CM261" s="410"/>
      <c r="CN261" s="410"/>
      <c r="CO261" s="410"/>
      <c r="CP261" s="410"/>
      <c r="CQ261" s="410"/>
      <c r="CR261" s="410"/>
      <c r="CS261" s="410"/>
      <c r="CT261" s="410"/>
      <c r="CU261" s="410"/>
      <c r="CV261" s="410"/>
      <c r="CW261" s="410"/>
      <c r="CX261" s="410"/>
      <c r="CY261" s="410"/>
      <c r="CZ261" s="410"/>
      <c r="DA261" s="410"/>
      <c r="DB261" s="410"/>
      <c r="DC261" s="410"/>
      <c r="DD261" s="410"/>
      <c r="DE261" s="410"/>
      <c r="DF261" s="410"/>
      <c r="DG261" s="410"/>
      <c r="DH261" s="410"/>
      <c r="DI261" s="410"/>
      <c r="DJ261" s="410"/>
      <c r="DK261" s="410"/>
      <c r="DL261" s="410"/>
      <c r="DM261" s="410"/>
      <c r="DN261" s="410"/>
      <c r="DO261" s="410"/>
      <c r="DP261" s="410"/>
      <c r="DQ261" s="410"/>
      <c r="DR261" s="410"/>
      <c r="DS261" s="410"/>
      <c r="DT261" s="410"/>
      <c r="DU261" s="410"/>
      <c r="DV261" s="410"/>
      <c r="DW261" s="410"/>
      <c r="DX261" s="410"/>
      <c r="DY261" s="410"/>
      <c r="DZ261" s="410"/>
      <c r="EA261" s="410"/>
      <c r="EB261" s="410"/>
      <c r="EC261" s="410"/>
      <c r="ED261" s="410"/>
      <c r="EE261" s="410"/>
      <c r="EF261" s="410"/>
      <c r="EG261" s="410"/>
      <c r="EH261" s="410"/>
      <c r="EI261" s="410"/>
      <c r="EJ261" s="410"/>
      <c r="EK261" s="410"/>
      <c r="EL261" s="410"/>
      <c r="EM261" s="410"/>
      <c r="EN261" s="410"/>
      <c r="EO261" s="410"/>
      <c r="EP261" s="410"/>
      <c r="EQ261" s="410"/>
      <c r="ER261" s="410"/>
      <c r="ES261" s="410"/>
      <c r="ET261" s="410"/>
      <c r="EU261" s="410"/>
      <c r="EV261" s="410"/>
      <c r="EW261" s="410"/>
      <c r="EX261" s="410"/>
      <c r="EY261" s="410"/>
      <c r="EZ261" s="410"/>
      <c r="FA261" s="410"/>
      <c r="FB261" s="410"/>
      <c r="FC261" s="410"/>
      <c r="FD261" s="410"/>
      <c r="FE261" s="410"/>
      <c r="FF261" s="410"/>
      <c r="FG261" s="410"/>
      <c r="FH261" s="410"/>
      <c r="FI261" s="410"/>
      <c r="FJ261" s="410"/>
      <c r="FK261" s="410"/>
      <c r="FL261" s="410"/>
      <c r="FM261" s="410"/>
      <c r="FN261" s="410"/>
      <c r="FO261" s="410"/>
      <c r="FP261" s="410"/>
      <c r="FQ261" s="410"/>
      <c r="FR261" s="410"/>
      <c r="FS261" s="410"/>
      <c r="FT261" s="410"/>
      <c r="FU261" s="410"/>
      <c r="FV261" s="410"/>
      <c r="FW261" s="410"/>
      <c r="FX261" s="410"/>
      <c r="FY261" s="410"/>
      <c r="FZ261" s="410"/>
      <c r="GA261" s="410"/>
      <c r="GB261" s="410"/>
      <c r="GC261" s="410"/>
      <c r="GD261" s="410"/>
      <c r="GE261" s="410"/>
      <c r="GF261" s="410"/>
      <c r="GG261" s="410"/>
      <c r="GH261" s="410"/>
      <c r="GI261" s="410"/>
      <c r="GJ261" s="410"/>
      <c r="GK261" s="410"/>
      <c r="GL261" s="410"/>
      <c r="GM261" s="410"/>
      <c r="GN261" s="410"/>
      <c r="GO261" s="410"/>
      <c r="GP261" s="410"/>
      <c r="GQ261" s="410"/>
      <c r="GR261" s="410"/>
      <c r="GS261" s="410"/>
      <c r="GT261" s="410"/>
      <c r="GU261" s="410"/>
      <c r="GV261" s="410"/>
      <c r="GW261" s="410"/>
      <c r="GX261" s="410"/>
      <c r="GY261" s="410"/>
      <c r="GZ261" s="410"/>
      <c r="HA261" s="410"/>
      <c r="HB261" s="410"/>
      <c r="HC261" s="410"/>
      <c r="HD261" s="410"/>
      <c r="HE261" s="410"/>
      <c r="HF261" s="410"/>
      <c r="HG261" s="410"/>
      <c r="HH261" s="410"/>
      <c r="HI261" s="410"/>
      <c r="HJ261" s="410"/>
      <c r="HK261" s="410"/>
      <c r="HL261" s="410"/>
      <c r="HM261" s="410"/>
      <c r="HN261" s="410"/>
      <c r="HO261" s="410"/>
      <c r="HP261" s="410"/>
      <c r="HQ261" s="410"/>
      <c r="HR261" s="410"/>
      <c r="HS261" s="410"/>
      <c r="HT261" s="410"/>
      <c r="HU261" s="410"/>
      <c r="HV261" s="410"/>
      <c r="HW261" s="410"/>
      <c r="HX261" s="410"/>
      <c r="HY261" s="410"/>
      <c r="HZ261" s="410"/>
      <c r="IA261" s="410"/>
      <c r="IB261" s="410"/>
      <c r="IC261" s="410"/>
      <c r="ID261" s="410"/>
      <c r="IE261" s="410"/>
      <c r="IF261" s="410"/>
      <c r="IG261" s="410"/>
      <c r="IH261" s="410"/>
      <c r="II261" s="410"/>
      <c r="IJ261" s="410"/>
      <c r="IK261" s="410"/>
      <c r="IL261" s="410"/>
      <c r="IM261" s="410"/>
    </row>
    <row r="262" spans="1:247" s="415" customFormat="1" ht="38.1" customHeight="1" x14ac:dyDescent="0.25">
      <c r="A262" s="99"/>
      <c r="B262" s="57" t="s">
        <v>125</v>
      </c>
      <c r="C262" s="459">
        <f t="shared" si="104"/>
        <v>0</v>
      </c>
      <c r="D262" s="459">
        <f t="shared" si="104"/>
        <v>0</v>
      </c>
      <c r="E262" s="459">
        <f t="shared" si="104"/>
        <v>0</v>
      </c>
      <c r="F262" s="459">
        <f t="shared" si="104"/>
        <v>0</v>
      </c>
      <c r="G262" s="459">
        <f t="shared" si="104"/>
        <v>0</v>
      </c>
      <c r="H262" s="459">
        <f t="shared" si="104"/>
        <v>0</v>
      </c>
      <c r="I262" s="459">
        <f t="shared" si="104"/>
        <v>0</v>
      </c>
      <c r="J262" s="459">
        <f t="shared" si="104"/>
        <v>0</v>
      </c>
      <c r="K262" s="410"/>
      <c r="L262" s="410"/>
      <c r="M262" s="410"/>
      <c r="N262" s="410"/>
      <c r="O262" s="410"/>
      <c r="P262" s="410"/>
      <c r="Q262" s="410"/>
      <c r="R262" s="410"/>
      <c r="S262" s="410"/>
      <c r="T262" s="410"/>
      <c r="U262" s="410"/>
      <c r="V262" s="410"/>
      <c r="W262" s="410"/>
      <c r="X262" s="410"/>
      <c r="Y262" s="410"/>
      <c r="Z262" s="410"/>
      <c r="AA262" s="410"/>
      <c r="AB262" s="410"/>
      <c r="AC262" s="410"/>
      <c r="AD262" s="410"/>
      <c r="AE262" s="410"/>
      <c r="AF262" s="410"/>
      <c r="AG262" s="410"/>
      <c r="AH262" s="410"/>
      <c r="AI262" s="410"/>
      <c r="AJ262" s="410"/>
      <c r="AK262" s="410"/>
      <c r="AL262" s="410"/>
      <c r="AM262" s="410"/>
      <c r="AN262" s="410"/>
      <c r="AO262" s="410"/>
      <c r="AP262" s="410"/>
      <c r="AQ262" s="410"/>
      <c r="AR262" s="410"/>
      <c r="AS262" s="410"/>
      <c r="AT262" s="410"/>
      <c r="AU262" s="410"/>
      <c r="AV262" s="410"/>
      <c r="AW262" s="410"/>
      <c r="AX262" s="410"/>
      <c r="AY262" s="410"/>
      <c r="AZ262" s="410"/>
      <c r="BA262" s="410"/>
      <c r="BB262" s="410"/>
      <c r="BC262" s="410"/>
      <c r="BD262" s="410"/>
      <c r="BE262" s="410"/>
      <c r="BF262" s="410"/>
      <c r="BG262" s="410"/>
      <c r="BH262" s="410"/>
      <c r="BI262" s="410"/>
      <c r="BJ262" s="410"/>
      <c r="BK262" s="410"/>
      <c r="BL262" s="410"/>
      <c r="BM262" s="410"/>
      <c r="BN262" s="410"/>
      <c r="BO262" s="410"/>
      <c r="BP262" s="410"/>
      <c r="BQ262" s="410"/>
      <c r="BR262" s="410"/>
      <c r="BS262" s="410"/>
      <c r="BT262" s="410"/>
      <c r="BU262" s="410"/>
      <c r="BV262" s="410"/>
      <c r="BW262" s="410"/>
      <c r="BX262" s="410"/>
      <c r="BY262" s="410"/>
      <c r="BZ262" s="410"/>
      <c r="CA262" s="410"/>
      <c r="CB262" s="410"/>
      <c r="CC262" s="410"/>
      <c r="CD262" s="410"/>
      <c r="CE262" s="410"/>
      <c r="CF262" s="410"/>
      <c r="CG262" s="410"/>
      <c r="CH262" s="410"/>
      <c r="CI262" s="410"/>
      <c r="CJ262" s="410"/>
      <c r="CK262" s="410"/>
      <c r="CL262" s="410"/>
      <c r="CM262" s="410"/>
      <c r="CN262" s="410"/>
      <c r="CO262" s="410"/>
      <c r="CP262" s="410"/>
      <c r="CQ262" s="410"/>
      <c r="CR262" s="410"/>
      <c r="CS262" s="410"/>
      <c r="CT262" s="410"/>
      <c r="CU262" s="410"/>
      <c r="CV262" s="410"/>
      <c r="CW262" s="410"/>
      <c r="CX262" s="410"/>
      <c r="CY262" s="410"/>
      <c r="CZ262" s="410"/>
      <c r="DA262" s="410"/>
      <c r="DB262" s="410"/>
      <c r="DC262" s="410"/>
      <c r="DD262" s="410"/>
      <c r="DE262" s="410"/>
      <c r="DF262" s="410"/>
      <c r="DG262" s="410"/>
      <c r="DH262" s="410"/>
      <c r="DI262" s="410"/>
      <c r="DJ262" s="410"/>
      <c r="DK262" s="410"/>
      <c r="DL262" s="410"/>
      <c r="DM262" s="410"/>
      <c r="DN262" s="410"/>
      <c r="DO262" s="410"/>
      <c r="DP262" s="410"/>
      <c r="DQ262" s="410"/>
      <c r="DR262" s="410"/>
      <c r="DS262" s="410"/>
      <c r="DT262" s="410"/>
      <c r="DU262" s="410"/>
      <c r="DV262" s="410"/>
      <c r="DW262" s="410"/>
      <c r="DX262" s="410"/>
      <c r="DY262" s="410"/>
      <c r="DZ262" s="410"/>
      <c r="EA262" s="410"/>
      <c r="EB262" s="410"/>
      <c r="EC262" s="410"/>
      <c r="ED262" s="410"/>
      <c r="EE262" s="410"/>
      <c r="EF262" s="410"/>
      <c r="EG262" s="410"/>
      <c r="EH262" s="410"/>
      <c r="EI262" s="410"/>
      <c r="EJ262" s="410"/>
      <c r="EK262" s="410"/>
      <c r="EL262" s="410"/>
      <c r="EM262" s="410"/>
      <c r="EN262" s="410"/>
      <c r="EO262" s="410"/>
      <c r="EP262" s="410"/>
      <c r="EQ262" s="410"/>
      <c r="ER262" s="410"/>
      <c r="ES262" s="410"/>
      <c r="ET262" s="410"/>
      <c r="EU262" s="410"/>
      <c r="EV262" s="410"/>
      <c r="EW262" s="410"/>
      <c r="EX262" s="410"/>
      <c r="EY262" s="410"/>
      <c r="EZ262" s="410"/>
      <c r="FA262" s="410"/>
      <c r="FB262" s="410"/>
      <c r="FC262" s="410"/>
      <c r="FD262" s="410"/>
      <c r="FE262" s="410"/>
      <c r="FF262" s="410"/>
      <c r="FG262" s="410"/>
      <c r="FH262" s="410"/>
      <c r="FI262" s="410"/>
      <c r="FJ262" s="410"/>
      <c r="FK262" s="410"/>
      <c r="FL262" s="410"/>
      <c r="FM262" s="410"/>
      <c r="FN262" s="410"/>
      <c r="FO262" s="410"/>
      <c r="FP262" s="410"/>
      <c r="FQ262" s="410"/>
      <c r="FR262" s="410"/>
      <c r="FS262" s="410"/>
      <c r="FT262" s="410"/>
      <c r="FU262" s="410"/>
      <c r="FV262" s="410"/>
      <c r="FW262" s="410"/>
      <c r="FX262" s="410"/>
      <c r="FY262" s="410"/>
      <c r="FZ262" s="410"/>
      <c r="GA262" s="410"/>
      <c r="GB262" s="410"/>
      <c r="GC262" s="410"/>
      <c r="GD262" s="410"/>
      <c r="GE262" s="410"/>
      <c r="GF262" s="410"/>
      <c r="GG262" s="410"/>
      <c r="GH262" s="410"/>
      <c r="GI262" s="410"/>
      <c r="GJ262" s="410"/>
      <c r="GK262" s="410"/>
      <c r="GL262" s="410"/>
      <c r="GM262" s="410"/>
      <c r="GN262" s="410"/>
      <c r="GO262" s="410"/>
      <c r="GP262" s="410"/>
      <c r="GQ262" s="410"/>
      <c r="GR262" s="410"/>
      <c r="GS262" s="410"/>
      <c r="GT262" s="410"/>
      <c r="GU262" s="410"/>
      <c r="GV262" s="410"/>
      <c r="GW262" s="410"/>
      <c r="GX262" s="410"/>
      <c r="GY262" s="410"/>
      <c r="GZ262" s="410"/>
      <c r="HA262" s="410"/>
      <c r="HB262" s="410"/>
      <c r="HC262" s="410"/>
      <c r="HD262" s="410"/>
      <c r="HE262" s="410"/>
      <c r="HF262" s="410"/>
      <c r="HG262" s="410"/>
      <c r="HH262" s="410"/>
      <c r="HI262" s="410"/>
      <c r="HJ262" s="410"/>
      <c r="HK262" s="410"/>
      <c r="HL262" s="410"/>
      <c r="HM262" s="410"/>
      <c r="HN262" s="410"/>
      <c r="HO262" s="410"/>
      <c r="HP262" s="410"/>
      <c r="HQ262" s="410"/>
      <c r="HR262" s="410"/>
      <c r="HS262" s="410"/>
      <c r="HT262" s="410"/>
      <c r="HU262" s="410"/>
      <c r="HV262" s="410"/>
      <c r="HW262" s="410"/>
      <c r="HX262" s="410"/>
      <c r="HY262" s="410"/>
      <c r="HZ262" s="410"/>
      <c r="IA262" s="410"/>
      <c r="IB262" s="410"/>
      <c r="IC262" s="410"/>
      <c r="ID262" s="410"/>
      <c r="IE262" s="410"/>
      <c r="IF262" s="410"/>
      <c r="IG262" s="410"/>
      <c r="IH262" s="410"/>
      <c r="II262" s="410"/>
      <c r="IJ262" s="410"/>
      <c r="IK262" s="410"/>
      <c r="IL262" s="410"/>
      <c r="IM262" s="410"/>
    </row>
    <row r="263" spans="1:247" s="415" customFormat="1" ht="15" customHeight="1" x14ac:dyDescent="0.25">
      <c r="A263" s="99">
        <v>1</v>
      </c>
      <c r="B263" s="53" t="s">
        <v>107</v>
      </c>
      <c r="C263" s="87">
        <f t="shared" ref="C263:J263" si="105">C249</f>
        <v>0</v>
      </c>
      <c r="D263" s="87">
        <f t="shared" si="105"/>
        <v>0</v>
      </c>
      <c r="E263" s="87">
        <f t="shared" si="105"/>
        <v>0</v>
      </c>
      <c r="F263" s="87">
        <f t="shared" si="105"/>
        <v>0</v>
      </c>
      <c r="G263" s="471">
        <f t="shared" si="105"/>
        <v>37350.781089999997</v>
      </c>
      <c r="H263" s="471">
        <f t="shared" si="105"/>
        <v>15562.82</v>
      </c>
      <c r="I263" s="471">
        <f t="shared" si="105"/>
        <v>19897.70707</v>
      </c>
      <c r="J263" s="471">
        <f t="shared" si="105"/>
        <v>127.85412328870989</v>
      </c>
      <c r="K263" s="410"/>
      <c r="L263" s="410"/>
      <c r="M263" s="410"/>
      <c r="N263" s="410"/>
      <c r="O263" s="410"/>
      <c r="P263" s="410"/>
      <c r="Q263" s="410"/>
      <c r="R263" s="410"/>
      <c r="S263" s="410"/>
      <c r="T263" s="410"/>
      <c r="U263" s="410"/>
      <c r="V263" s="410"/>
      <c r="W263" s="410"/>
      <c r="X263" s="410"/>
      <c r="Y263" s="410"/>
      <c r="Z263" s="410"/>
      <c r="AA263" s="410"/>
      <c r="AB263" s="410"/>
      <c r="AC263" s="410"/>
      <c r="AD263" s="410"/>
      <c r="AE263" s="410"/>
      <c r="AF263" s="410"/>
      <c r="AG263" s="410"/>
      <c r="AH263" s="410"/>
      <c r="AI263" s="410"/>
      <c r="AJ263" s="410"/>
      <c r="AK263" s="410"/>
      <c r="AL263" s="410"/>
      <c r="AM263" s="410"/>
      <c r="AN263" s="410"/>
      <c r="AO263" s="410"/>
      <c r="AP263" s="410"/>
      <c r="AQ263" s="410"/>
      <c r="AR263" s="410"/>
      <c r="AS263" s="410"/>
      <c r="AT263" s="410"/>
      <c r="AU263" s="410"/>
      <c r="AV263" s="410"/>
      <c r="AW263" s="410"/>
      <c r="AX263" s="410"/>
      <c r="AY263" s="410"/>
      <c r="AZ263" s="410"/>
      <c r="BA263" s="410"/>
      <c r="BB263" s="410"/>
      <c r="BC263" s="410"/>
      <c r="BD263" s="410"/>
      <c r="BE263" s="410"/>
      <c r="BF263" s="410"/>
      <c r="BG263" s="410"/>
      <c r="BH263" s="410"/>
      <c r="BI263" s="410"/>
      <c r="BJ263" s="410"/>
      <c r="BK263" s="410"/>
      <c r="BL263" s="410"/>
      <c r="BM263" s="410"/>
      <c r="BN263" s="410"/>
      <c r="BO263" s="410"/>
      <c r="BP263" s="410"/>
      <c r="BQ263" s="410"/>
      <c r="BR263" s="410"/>
      <c r="BS263" s="410"/>
      <c r="BT263" s="410"/>
      <c r="BU263" s="410"/>
      <c r="BV263" s="410"/>
      <c r="BW263" s="410"/>
      <c r="BX263" s="410"/>
      <c r="BY263" s="410"/>
      <c r="BZ263" s="410"/>
      <c r="CA263" s="410"/>
      <c r="CB263" s="410"/>
      <c r="CC263" s="410"/>
      <c r="CD263" s="410"/>
      <c r="CE263" s="410"/>
      <c r="CF263" s="410"/>
      <c r="CG263" s="410"/>
      <c r="CH263" s="410"/>
      <c r="CI263" s="410"/>
      <c r="CJ263" s="410"/>
      <c r="CK263" s="410"/>
      <c r="CL263" s="410"/>
      <c r="CM263" s="410"/>
      <c r="CN263" s="410"/>
      <c r="CO263" s="410"/>
      <c r="CP263" s="410"/>
      <c r="CQ263" s="410"/>
      <c r="CR263" s="410"/>
      <c r="CS263" s="410"/>
      <c r="CT263" s="410"/>
      <c r="CU263" s="410"/>
      <c r="CV263" s="410"/>
      <c r="CW263" s="410"/>
      <c r="CX263" s="410"/>
      <c r="CY263" s="410"/>
      <c r="CZ263" s="410"/>
      <c r="DA263" s="410"/>
      <c r="DB263" s="410"/>
      <c r="DC263" s="410"/>
      <c r="DD263" s="410"/>
      <c r="DE263" s="410"/>
      <c r="DF263" s="410"/>
      <c r="DG263" s="410"/>
      <c r="DH263" s="410"/>
      <c r="DI263" s="410"/>
      <c r="DJ263" s="410"/>
      <c r="DK263" s="410"/>
      <c r="DL263" s="410"/>
      <c r="DM263" s="410"/>
      <c r="DN263" s="410"/>
      <c r="DO263" s="410"/>
      <c r="DP263" s="410"/>
      <c r="DQ263" s="410"/>
      <c r="DR263" s="410"/>
      <c r="DS263" s="410"/>
      <c r="DT263" s="410"/>
      <c r="DU263" s="410"/>
      <c r="DV263" s="410"/>
      <c r="DW263" s="410"/>
      <c r="DX263" s="410"/>
      <c r="DY263" s="410"/>
      <c r="DZ263" s="410"/>
      <c r="EA263" s="410"/>
      <c r="EB263" s="410"/>
      <c r="EC263" s="410"/>
      <c r="ED263" s="410"/>
      <c r="EE263" s="410"/>
      <c r="EF263" s="410"/>
      <c r="EG263" s="410"/>
      <c r="EH263" s="410"/>
      <c r="EI263" s="410"/>
      <c r="EJ263" s="410"/>
      <c r="EK263" s="410"/>
      <c r="EL263" s="410"/>
      <c r="EM263" s="410"/>
      <c r="EN263" s="410"/>
      <c r="EO263" s="410"/>
      <c r="EP263" s="410"/>
      <c r="EQ263" s="410"/>
      <c r="ER263" s="410"/>
      <c r="ES263" s="410"/>
      <c r="ET263" s="410"/>
      <c r="EU263" s="410"/>
      <c r="EV263" s="410"/>
      <c r="EW263" s="410"/>
      <c r="EX263" s="410"/>
      <c r="EY263" s="410"/>
      <c r="EZ263" s="410"/>
      <c r="FA263" s="410"/>
      <c r="FB263" s="410"/>
      <c r="FC263" s="410"/>
      <c r="FD263" s="410"/>
      <c r="FE263" s="410"/>
      <c r="FF263" s="410"/>
      <c r="FG263" s="410"/>
      <c r="FH263" s="410"/>
      <c r="FI263" s="410"/>
      <c r="FJ263" s="410"/>
      <c r="FK263" s="410"/>
      <c r="FL263" s="410"/>
      <c r="FM263" s="410"/>
      <c r="FN263" s="410"/>
      <c r="FO263" s="410"/>
      <c r="FP263" s="410"/>
      <c r="FQ263" s="410"/>
      <c r="FR263" s="410"/>
      <c r="FS263" s="410"/>
      <c r="FT263" s="410"/>
      <c r="FU263" s="410"/>
      <c r="FV263" s="410"/>
      <c r="FW263" s="410"/>
      <c r="FX263" s="410"/>
      <c r="FY263" s="410"/>
      <c r="FZ263" s="410"/>
      <c r="GA263" s="410"/>
      <c r="GB263" s="410"/>
      <c r="GC263" s="410"/>
      <c r="GD263" s="410"/>
      <c r="GE263" s="410"/>
      <c r="GF263" s="410"/>
      <c r="GG263" s="410"/>
      <c r="GH263" s="410"/>
      <c r="GI263" s="410"/>
      <c r="GJ263" s="410"/>
      <c r="GK263" s="410"/>
      <c r="GL263" s="410"/>
      <c r="GM263" s="410"/>
      <c r="GN263" s="410"/>
      <c r="GO263" s="410"/>
      <c r="GP263" s="410"/>
      <c r="GQ263" s="410"/>
      <c r="GR263" s="410"/>
      <c r="GS263" s="410"/>
      <c r="GT263" s="410"/>
      <c r="GU263" s="410"/>
      <c r="GV263" s="410"/>
      <c r="GW263" s="410"/>
      <c r="GX263" s="410"/>
      <c r="GY263" s="410"/>
      <c r="GZ263" s="410"/>
      <c r="HA263" s="410"/>
      <c r="HB263" s="410"/>
      <c r="HC263" s="410"/>
      <c r="HD263" s="410"/>
      <c r="HE263" s="410"/>
      <c r="HF263" s="410"/>
      <c r="HG263" s="410"/>
      <c r="HH263" s="410"/>
      <c r="HI263" s="410"/>
      <c r="HJ263" s="410"/>
      <c r="HK263" s="410"/>
      <c r="HL263" s="410"/>
      <c r="HM263" s="410"/>
      <c r="HN263" s="410"/>
      <c r="HO263" s="410"/>
      <c r="HP263" s="410"/>
      <c r="HQ263" s="410"/>
      <c r="HR263" s="410"/>
      <c r="HS263" s="410"/>
      <c r="HT263" s="410"/>
      <c r="HU263" s="410"/>
      <c r="HV263" s="410"/>
      <c r="HW263" s="410"/>
      <c r="HX263" s="410"/>
      <c r="HY263" s="410"/>
      <c r="HZ263" s="410"/>
      <c r="IA263" s="410"/>
      <c r="IB263" s="410"/>
      <c r="IC263" s="410"/>
      <c r="ID263" s="410"/>
      <c r="IE263" s="410"/>
      <c r="IF263" s="410"/>
      <c r="IG263" s="410"/>
      <c r="IH263" s="410"/>
      <c r="II263" s="410"/>
      <c r="IJ263" s="410"/>
      <c r="IK263" s="410"/>
      <c r="IL263" s="410"/>
      <c r="IM263" s="410"/>
    </row>
    <row r="264" spans="1:247" ht="15" customHeight="1" thickBot="1" x14ac:dyDescent="0.3">
      <c r="A264" s="99">
        <v>1</v>
      </c>
      <c r="B264" s="472" t="s">
        <v>14</v>
      </c>
      <c r="C264" s="96"/>
      <c r="D264" s="96"/>
      <c r="E264" s="96"/>
      <c r="F264" s="96"/>
      <c r="G264" s="220"/>
      <c r="H264" s="220"/>
      <c r="I264" s="220"/>
      <c r="J264" s="220"/>
    </row>
    <row r="265" spans="1:247" ht="29.25" x14ac:dyDescent="0.25">
      <c r="A265" s="99">
        <v>1</v>
      </c>
      <c r="B265" s="433" t="s">
        <v>51</v>
      </c>
      <c r="C265" s="63"/>
      <c r="D265" s="63"/>
      <c r="E265" s="63"/>
      <c r="F265" s="63"/>
      <c r="G265" s="222"/>
      <c r="H265" s="222"/>
      <c r="I265" s="222"/>
      <c r="J265" s="222"/>
    </row>
    <row r="266" spans="1:247" s="49" customFormat="1" ht="30" x14ac:dyDescent="0.25">
      <c r="A266" s="99">
        <v>1</v>
      </c>
      <c r="B266" s="57" t="s">
        <v>120</v>
      </c>
      <c r="C266" s="54">
        <f>SUM(C267:C270)</f>
        <v>7401</v>
      </c>
      <c r="D266" s="54">
        <f>SUM(D267:D270)</f>
        <v>3084</v>
      </c>
      <c r="E266" s="54">
        <f>SUM(E267:E270)</f>
        <v>3556</v>
      </c>
      <c r="F266" s="54">
        <f>E266/D266*100</f>
        <v>115.3047989623865</v>
      </c>
      <c r="G266" s="205">
        <f>SUM(G267:G270)</f>
        <v>12361.96379</v>
      </c>
      <c r="H266" s="205">
        <f>SUM(H267:H270)</f>
        <v>5150.8200000000006</v>
      </c>
      <c r="I266" s="205">
        <f>SUM(I267:I270)</f>
        <v>6210.1074500000004</v>
      </c>
      <c r="J266" s="205">
        <f t="shared" ref="J266:J278" si="106">I266/H266*100</f>
        <v>120.56541385643452</v>
      </c>
    </row>
    <row r="267" spans="1:247" s="49" customFormat="1" ht="30" x14ac:dyDescent="0.25">
      <c r="A267" s="99">
        <v>1</v>
      </c>
      <c r="B267" s="57" t="s">
        <v>79</v>
      </c>
      <c r="C267" s="54">
        <v>5485</v>
      </c>
      <c r="D267" s="50">
        <f t="shared" ref="D267:D274" si="107">ROUND(C267/12*$B$3,0)</f>
        <v>2285</v>
      </c>
      <c r="E267" s="54">
        <v>2806</v>
      </c>
      <c r="F267" s="54">
        <f>E267/D267*100</f>
        <v>122.80087527352296</v>
      </c>
      <c r="G267" s="205">
        <v>7514.5098000000007</v>
      </c>
      <c r="H267" s="323">
        <f t="shared" ref="H267:H270" si="108">ROUND(G267/12*$B$3,2)</f>
        <v>3131.05</v>
      </c>
      <c r="I267" s="221">
        <v>3586.7813299999998</v>
      </c>
      <c r="J267" s="205">
        <f t="shared" si="106"/>
        <v>114.55522364701936</v>
      </c>
    </row>
    <row r="268" spans="1:247" s="49" customFormat="1" ht="30" x14ac:dyDescent="0.25">
      <c r="A268" s="99">
        <v>1</v>
      </c>
      <c r="B268" s="57" t="s">
        <v>80</v>
      </c>
      <c r="C268" s="54">
        <v>1646</v>
      </c>
      <c r="D268" s="50">
        <f t="shared" si="107"/>
        <v>686</v>
      </c>
      <c r="E268" s="54">
        <v>482</v>
      </c>
      <c r="F268" s="54">
        <f>E268/D268*100</f>
        <v>70.262390670553927</v>
      </c>
      <c r="G268" s="205">
        <v>3075.6923900000002</v>
      </c>
      <c r="H268" s="323">
        <f t="shared" si="108"/>
        <v>1281.54</v>
      </c>
      <c r="I268" s="221">
        <v>864.68867999999998</v>
      </c>
      <c r="J268" s="205">
        <f t="shared" si="106"/>
        <v>67.472625122899004</v>
      </c>
    </row>
    <row r="269" spans="1:247" s="49" customFormat="1" ht="45" x14ac:dyDescent="0.25">
      <c r="A269" s="99">
        <v>1</v>
      </c>
      <c r="B269" s="57" t="s">
        <v>114</v>
      </c>
      <c r="C269" s="54">
        <v>120</v>
      </c>
      <c r="D269" s="50">
        <f t="shared" si="107"/>
        <v>50</v>
      </c>
      <c r="E269" s="54">
        <v>134</v>
      </c>
      <c r="F269" s="54">
        <f>E269/D269*100</f>
        <v>268</v>
      </c>
      <c r="G269" s="205">
        <v>787.44960000000003</v>
      </c>
      <c r="H269" s="323">
        <f t="shared" si="108"/>
        <v>328.1</v>
      </c>
      <c r="I269" s="221">
        <v>879.31871999999998</v>
      </c>
      <c r="J269" s="205">
        <f t="shared" si="106"/>
        <v>268.00326729655592</v>
      </c>
    </row>
    <row r="270" spans="1:247" s="49" customFormat="1" ht="30" x14ac:dyDescent="0.25">
      <c r="A270" s="99">
        <v>1</v>
      </c>
      <c r="B270" s="57" t="s">
        <v>115</v>
      </c>
      <c r="C270" s="54">
        <v>150</v>
      </c>
      <c r="D270" s="50">
        <f t="shared" si="107"/>
        <v>63</v>
      </c>
      <c r="E270" s="54">
        <v>134</v>
      </c>
      <c r="F270" s="54">
        <f t="shared" ref="F270:F274" si="109">E270/D270*100</f>
        <v>212.69841269841271</v>
      </c>
      <c r="G270" s="205">
        <v>984.31200000000001</v>
      </c>
      <c r="H270" s="323">
        <f t="shared" si="108"/>
        <v>410.13</v>
      </c>
      <c r="I270" s="221">
        <v>879.3187200000001</v>
      </c>
      <c r="J270" s="205">
        <f t="shared" si="106"/>
        <v>214.4</v>
      </c>
    </row>
    <row r="271" spans="1:247" s="49" customFormat="1" ht="30" x14ac:dyDescent="0.25">
      <c r="A271" s="99">
        <v>1</v>
      </c>
      <c r="B271" s="57" t="s">
        <v>112</v>
      </c>
      <c r="C271" s="54">
        <f>SUM(C272:C274)</f>
        <v>12174</v>
      </c>
      <c r="D271" s="54">
        <f>SUM(D272:D274)</f>
        <v>5072</v>
      </c>
      <c r="E271" s="54">
        <f>SUM(E272:E274)</f>
        <v>3716</v>
      </c>
      <c r="F271" s="54">
        <f t="shared" si="109"/>
        <v>73.264984227129332</v>
      </c>
      <c r="G271" s="199">
        <f>SUM(G272:G274)</f>
        <v>23609.339840000001</v>
      </c>
      <c r="H271" s="199">
        <f>SUM(H272:H274)</f>
        <v>9837.23</v>
      </c>
      <c r="I271" s="199">
        <f>SUM(I272:I274)</f>
        <v>8508.5764400000007</v>
      </c>
      <c r="J271" s="205">
        <f t="shared" si="106"/>
        <v>86.493621070158994</v>
      </c>
    </row>
    <row r="272" spans="1:247" s="49" customFormat="1" ht="30" x14ac:dyDescent="0.25">
      <c r="A272" s="99">
        <v>1</v>
      </c>
      <c r="B272" s="57" t="s">
        <v>108</v>
      </c>
      <c r="C272" s="54">
        <v>600</v>
      </c>
      <c r="D272" s="50">
        <f t="shared" si="107"/>
        <v>250</v>
      </c>
      <c r="E272" s="54">
        <v>300</v>
      </c>
      <c r="F272" s="54">
        <f t="shared" si="109"/>
        <v>120</v>
      </c>
      <c r="G272" s="205">
        <f>1272306/1000</f>
        <v>1272.306</v>
      </c>
      <c r="H272" s="323">
        <f t="shared" ref="H272:H277" si="110">ROUND(G272/12*$B$3,2)</f>
        <v>530.13</v>
      </c>
      <c r="I272" s="205">
        <v>630.85259999999994</v>
      </c>
      <c r="J272" s="205">
        <f t="shared" si="106"/>
        <v>118.99960387074869</v>
      </c>
    </row>
    <row r="273" spans="1:247" s="49" customFormat="1" ht="61.5" customHeight="1" x14ac:dyDescent="0.25">
      <c r="A273" s="99">
        <v>1</v>
      </c>
      <c r="B273" s="57" t="s">
        <v>119</v>
      </c>
      <c r="C273" s="54">
        <v>6200</v>
      </c>
      <c r="D273" s="50">
        <f t="shared" si="107"/>
        <v>2583</v>
      </c>
      <c r="E273" s="54">
        <v>2585</v>
      </c>
      <c r="F273" s="54">
        <f t="shared" si="109"/>
        <v>100.07742934572204</v>
      </c>
      <c r="G273" s="205">
        <f>17069654/1000</f>
        <v>17069.653999999999</v>
      </c>
      <c r="H273" s="323">
        <f t="shared" si="110"/>
        <v>7112.36</v>
      </c>
      <c r="I273" s="221">
        <v>7013.4641500000007</v>
      </c>
      <c r="J273" s="205">
        <f t="shared" si="106"/>
        <v>98.609521312194559</v>
      </c>
    </row>
    <row r="274" spans="1:247" s="49" customFormat="1" ht="44.25" customHeight="1" x14ac:dyDescent="0.25">
      <c r="A274" s="99">
        <v>1</v>
      </c>
      <c r="B274" s="57" t="s">
        <v>109</v>
      </c>
      <c r="C274" s="54">
        <v>5374</v>
      </c>
      <c r="D274" s="50">
        <f t="shared" si="107"/>
        <v>2239</v>
      </c>
      <c r="E274" s="54">
        <v>831</v>
      </c>
      <c r="F274" s="54">
        <f t="shared" si="109"/>
        <v>37.114783385439928</v>
      </c>
      <c r="G274" s="205">
        <f>5267379.84/1000</f>
        <v>5267.3798399999996</v>
      </c>
      <c r="H274" s="323">
        <f t="shared" si="110"/>
        <v>2194.7399999999998</v>
      </c>
      <c r="I274" s="221">
        <v>864.25969000000009</v>
      </c>
      <c r="J274" s="205">
        <f t="shared" si="106"/>
        <v>39.378682212927281</v>
      </c>
    </row>
    <row r="275" spans="1:247" s="49" customFormat="1" ht="29.25" customHeight="1" x14ac:dyDescent="0.25">
      <c r="A275" s="99"/>
      <c r="B275" s="408" t="s">
        <v>123</v>
      </c>
      <c r="C275" s="54">
        <v>24500</v>
      </c>
      <c r="D275" s="50">
        <f>ROUND(C275/12*$B$3,0)</f>
        <v>10208</v>
      </c>
      <c r="E275" s="54">
        <f>10136+E276</f>
        <v>10445</v>
      </c>
      <c r="F275" s="54">
        <f>E275/D275*100</f>
        <v>102.32170846394983</v>
      </c>
      <c r="G275" s="205">
        <v>23843.89</v>
      </c>
      <c r="H275" s="323">
        <f t="shared" si="110"/>
        <v>9934.9500000000007</v>
      </c>
      <c r="I275" s="221">
        <f>9789.50173+I276</f>
        <v>10089.24193</v>
      </c>
      <c r="J275" s="205">
        <f>I275/H275*100</f>
        <v>101.55302170619882</v>
      </c>
    </row>
    <row r="276" spans="1:247" s="49" customFormat="1" ht="29.25" customHeight="1" x14ac:dyDescent="0.25">
      <c r="A276" s="99"/>
      <c r="B276" s="467" t="s">
        <v>124</v>
      </c>
      <c r="C276" s="54">
        <v>2200</v>
      </c>
      <c r="D276" s="50">
        <f>ROUND(C276/12*$B$3,0)</f>
        <v>917</v>
      </c>
      <c r="E276" s="54">
        <v>309</v>
      </c>
      <c r="F276" s="54">
        <f>E276/D276*100</f>
        <v>33.696837513631408</v>
      </c>
      <c r="G276" s="205">
        <v>2141.0839999999998</v>
      </c>
      <c r="H276" s="323">
        <f t="shared" si="110"/>
        <v>892.12</v>
      </c>
      <c r="I276" s="221">
        <v>299.74019999999996</v>
      </c>
      <c r="J276" s="205">
        <f>I276/H276*100</f>
        <v>33.598641438371516</v>
      </c>
    </row>
    <row r="277" spans="1:247" s="49" customFormat="1" ht="21.75" customHeight="1" thickBot="1" x14ac:dyDescent="0.3">
      <c r="A277" s="99"/>
      <c r="B277" s="408" t="s">
        <v>125</v>
      </c>
      <c r="C277" s="54"/>
      <c r="D277" s="50">
        <f>ROUND(C277/12*$B$3,0)</f>
        <v>0</v>
      </c>
      <c r="E277" s="54"/>
      <c r="F277" s="54"/>
      <c r="G277" s="205"/>
      <c r="H277" s="323">
        <f t="shared" si="110"/>
        <v>0</v>
      </c>
      <c r="I277" s="221"/>
      <c r="J277" s="205"/>
    </row>
    <row r="278" spans="1:247" s="410" customFormat="1" ht="15" customHeight="1" thickBot="1" x14ac:dyDescent="0.3">
      <c r="A278" s="99">
        <v>1</v>
      </c>
      <c r="B278" s="445" t="s">
        <v>3</v>
      </c>
      <c r="C278" s="56"/>
      <c r="D278" s="56"/>
      <c r="E278" s="56"/>
      <c r="F278" s="56"/>
      <c r="G278" s="209">
        <f>G271+G266+G275</f>
        <v>59815.193630000002</v>
      </c>
      <c r="H278" s="209">
        <f>H271+H266+H275</f>
        <v>24923</v>
      </c>
      <c r="I278" s="209">
        <f>I271+I266+I275</f>
        <v>24807.92582</v>
      </c>
      <c r="J278" s="209">
        <f t="shared" si="106"/>
        <v>99.538281186053041</v>
      </c>
    </row>
    <row r="279" spans="1:247" x14ac:dyDescent="0.25">
      <c r="A279" s="99">
        <v>1</v>
      </c>
      <c r="B279" s="382" t="s">
        <v>12</v>
      </c>
      <c r="C279" s="464"/>
      <c r="D279" s="464"/>
      <c r="E279" s="464"/>
      <c r="F279" s="464"/>
      <c r="G279" s="458"/>
      <c r="H279" s="458"/>
      <c r="I279" s="458"/>
      <c r="J279" s="458"/>
    </row>
    <row r="280" spans="1:247" s="415" customFormat="1" ht="30" x14ac:dyDescent="0.25">
      <c r="A280" s="99">
        <v>1</v>
      </c>
      <c r="B280" s="121" t="s">
        <v>120</v>
      </c>
      <c r="C280" s="459">
        <f t="shared" ref="C280:J292" si="111">C266</f>
        <v>7401</v>
      </c>
      <c r="D280" s="459">
        <f t="shared" si="111"/>
        <v>3084</v>
      </c>
      <c r="E280" s="459">
        <f t="shared" si="111"/>
        <v>3556</v>
      </c>
      <c r="F280" s="459">
        <f t="shared" si="111"/>
        <v>115.3047989623865</v>
      </c>
      <c r="G280" s="460">
        <f t="shared" si="111"/>
        <v>12361.96379</v>
      </c>
      <c r="H280" s="460">
        <f t="shared" si="111"/>
        <v>5150.8200000000006</v>
      </c>
      <c r="I280" s="460">
        <f t="shared" si="111"/>
        <v>6210.1074500000004</v>
      </c>
      <c r="J280" s="460">
        <f t="shared" si="111"/>
        <v>120.56541385643452</v>
      </c>
      <c r="K280" s="410"/>
      <c r="L280" s="410"/>
      <c r="M280" s="410"/>
      <c r="N280" s="410"/>
      <c r="O280" s="410"/>
      <c r="P280" s="410"/>
      <c r="Q280" s="410"/>
      <c r="R280" s="410"/>
      <c r="S280" s="410"/>
      <c r="T280" s="410"/>
      <c r="U280" s="410"/>
      <c r="V280" s="410"/>
      <c r="W280" s="410"/>
      <c r="X280" s="410"/>
      <c r="Y280" s="410"/>
      <c r="Z280" s="410"/>
      <c r="AA280" s="410"/>
      <c r="AB280" s="410"/>
      <c r="AC280" s="410"/>
      <c r="AD280" s="410"/>
      <c r="AE280" s="410"/>
      <c r="AF280" s="410"/>
      <c r="AG280" s="410"/>
      <c r="AH280" s="410"/>
      <c r="AI280" s="410"/>
      <c r="AJ280" s="410"/>
      <c r="AK280" s="410"/>
      <c r="AL280" s="410"/>
      <c r="AM280" s="410"/>
      <c r="AN280" s="410"/>
      <c r="AO280" s="410"/>
      <c r="AP280" s="410"/>
      <c r="AQ280" s="410"/>
      <c r="AR280" s="410"/>
      <c r="AS280" s="410"/>
      <c r="AT280" s="410"/>
      <c r="AU280" s="410"/>
      <c r="AV280" s="410"/>
      <c r="AW280" s="410"/>
      <c r="AX280" s="410"/>
      <c r="AY280" s="410"/>
      <c r="AZ280" s="410"/>
      <c r="BA280" s="410"/>
      <c r="BB280" s="410"/>
      <c r="BC280" s="410"/>
      <c r="BD280" s="410"/>
      <c r="BE280" s="410"/>
      <c r="BF280" s="410"/>
      <c r="BG280" s="410"/>
      <c r="BH280" s="410"/>
      <c r="BI280" s="410"/>
      <c r="BJ280" s="410"/>
      <c r="BK280" s="410"/>
      <c r="BL280" s="410"/>
      <c r="BM280" s="410"/>
      <c r="BN280" s="410"/>
      <c r="BO280" s="410"/>
      <c r="BP280" s="410"/>
      <c r="BQ280" s="410"/>
      <c r="BR280" s="410"/>
      <c r="BS280" s="410"/>
      <c r="BT280" s="410"/>
      <c r="BU280" s="410"/>
      <c r="BV280" s="410"/>
      <c r="BW280" s="410"/>
      <c r="BX280" s="410"/>
      <c r="BY280" s="410"/>
      <c r="BZ280" s="410"/>
      <c r="CA280" s="410"/>
      <c r="CB280" s="410"/>
      <c r="CC280" s="410"/>
      <c r="CD280" s="410"/>
      <c r="CE280" s="410"/>
      <c r="CF280" s="410"/>
      <c r="CG280" s="410"/>
      <c r="CH280" s="410"/>
      <c r="CI280" s="410"/>
      <c r="CJ280" s="410"/>
      <c r="CK280" s="410"/>
      <c r="CL280" s="410"/>
      <c r="CM280" s="410"/>
      <c r="CN280" s="410"/>
      <c r="CO280" s="410"/>
      <c r="CP280" s="410"/>
      <c r="CQ280" s="410"/>
      <c r="CR280" s="410"/>
      <c r="CS280" s="410"/>
      <c r="CT280" s="410"/>
      <c r="CU280" s="410"/>
      <c r="CV280" s="410"/>
      <c r="CW280" s="410"/>
      <c r="CX280" s="410"/>
      <c r="CY280" s="410"/>
      <c r="CZ280" s="410"/>
      <c r="DA280" s="410"/>
      <c r="DB280" s="410"/>
      <c r="DC280" s="410"/>
      <c r="DD280" s="410"/>
      <c r="DE280" s="410"/>
      <c r="DF280" s="410"/>
      <c r="DG280" s="410"/>
      <c r="DH280" s="410"/>
      <c r="DI280" s="410"/>
      <c r="DJ280" s="410"/>
      <c r="DK280" s="410"/>
      <c r="DL280" s="410"/>
      <c r="DM280" s="410"/>
      <c r="DN280" s="410"/>
      <c r="DO280" s="410"/>
      <c r="DP280" s="410"/>
      <c r="DQ280" s="410"/>
      <c r="DR280" s="410"/>
      <c r="DS280" s="410"/>
      <c r="DT280" s="410"/>
      <c r="DU280" s="410"/>
      <c r="DV280" s="410"/>
      <c r="DW280" s="410"/>
      <c r="DX280" s="410"/>
      <c r="DY280" s="410"/>
      <c r="DZ280" s="410"/>
      <c r="EA280" s="410"/>
      <c r="EB280" s="410"/>
      <c r="EC280" s="410"/>
      <c r="ED280" s="410"/>
      <c r="EE280" s="410"/>
      <c r="EF280" s="410"/>
      <c r="EG280" s="410"/>
      <c r="EH280" s="410"/>
      <c r="EI280" s="410"/>
      <c r="EJ280" s="410"/>
      <c r="EK280" s="410"/>
      <c r="EL280" s="410"/>
      <c r="EM280" s="410"/>
      <c r="EN280" s="410"/>
      <c r="EO280" s="410"/>
      <c r="EP280" s="410"/>
      <c r="EQ280" s="410"/>
      <c r="ER280" s="410"/>
      <c r="ES280" s="410"/>
      <c r="ET280" s="410"/>
      <c r="EU280" s="410"/>
      <c r="EV280" s="410"/>
      <c r="EW280" s="410"/>
      <c r="EX280" s="410"/>
      <c r="EY280" s="410"/>
      <c r="EZ280" s="410"/>
      <c r="FA280" s="410"/>
      <c r="FB280" s="410"/>
      <c r="FC280" s="410"/>
      <c r="FD280" s="410"/>
      <c r="FE280" s="410"/>
      <c r="FF280" s="410"/>
      <c r="FG280" s="410"/>
      <c r="FH280" s="410"/>
      <c r="FI280" s="410"/>
      <c r="FJ280" s="410"/>
      <c r="FK280" s="410"/>
      <c r="FL280" s="410"/>
      <c r="FM280" s="410"/>
      <c r="FN280" s="410"/>
      <c r="FO280" s="410"/>
      <c r="FP280" s="410"/>
      <c r="FQ280" s="410"/>
      <c r="FR280" s="410"/>
      <c r="FS280" s="410"/>
      <c r="FT280" s="410"/>
      <c r="FU280" s="410"/>
      <c r="FV280" s="410"/>
      <c r="FW280" s="410"/>
      <c r="FX280" s="410"/>
      <c r="FY280" s="410"/>
      <c r="FZ280" s="410"/>
      <c r="GA280" s="410"/>
      <c r="GB280" s="410"/>
      <c r="GC280" s="410"/>
      <c r="GD280" s="410"/>
      <c r="GE280" s="410"/>
      <c r="GF280" s="410"/>
      <c r="GG280" s="410"/>
      <c r="GH280" s="410"/>
      <c r="GI280" s="410"/>
      <c r="GJ280" s="410"/>
      <c r="GK280" s="410"/>
      <c r="GL280" s="410"/>
      <c r="GM280" s="410"/>
      <c r="GN280" s="410"/>
      <c r="GO280" s="410"/>
      <c r="GP280" s="410"/>
      <c r="GQ280" s="410"/>
      <c r="GR280" s="410"/>
      <c r="GS280" s="410"/>
      <c r="GT280" s="410"/>
      <c r="GU280" s="410"/>
      <c r="GV280" s="410"/>
      <c r="GW280" s="410"/>
      <c r="GX280" s="410"/>
      <c r="GY280" s="410"/>
      <c r="GZ280" s="410"/>
      <c r="HA280" s="410"/>
      <c r="HB280" s="410"/>
      <c r="HC280" s="410"/>
      <c r="HD280" s="410"/>
      <c r="HE280" s="410"/>
      <c r="HF280" s="410"/>
      <c r="HG280" s="410"/>
      <c r="HH280" s="410"/>
      <c r="HI280" s="410"/>
      <c r="HJ280" s="410"/>
      <c r="HK280" s="410"/>
      <c r="HL280" s="410"/>
      <c r="HM280" s="410"/>
      <c r="HN280" s="410"/>
      <c r="HO280" s="410"/>
      <c r="HP280" s="410"/>
      <c r="HQ280" s="410"/>
      <c r="HR280" s="410"/>
      <c r="HS280" s="410"/>
      <c r="HT280" s="410"/>
      <c r="HU280" s="410"/>
      <c r="HV280" s="410"/>
      <c r="HW280" s="410"/>
      <c r="HX280" s="410"/>
      <c r="HY280" s="410"/>
      <c r="HZ280" s="410"/>
      <c r="IA280" s="410"/>
      <c r="IB280" s="410"/>
      <c r="IC280" s="410"/>
      <c r="ID280" s="410"/>
      <c r="IE280" s="410"/>
      <c r="IF280" s="410"/>
      <c r="IG280" s="410"/>
      <c r="IH280" s="410"/>
      <c r="II280" s="410"/>
      <c r="IJ280" s="410"/>
      <c r="IK280" s="410"/>
      <c r="IL280" s="410"/>
      <c r="IM280" s="410"/>
    </row>
    <row r="281" spans="1:247" s="415" customFormat="1" ht="30" x14ac:dyDescent="0.25">
      <c r="A281" s="99">
        <v>1</v>
      </c>
      <c r="B281" s="57" t="s">
        <v>79</v>
      </c>
      <c r="C281" s="459">
        <f t="shared" si="111"/>
        <v>5485</v>
      </c>
      <c r="D281" s="459">
        <f t="shared" si="111"/>
        <v>2285</v>
      </c>
      <c r="E281" s="459">
        <f t="shared" si="111"/>
        <v>2806</v>
      </c>
      <c r="F281" s="459">
        <f t="shared" si="111"/>
        <v>122.80087527352296</v>
      </c>
      <c r="G281" s="460">
        <f t="shared" si="111"/>
        <v>7514.5098000000007</v>
      </c>
      <c r="H281" s="460">
        <f t="shared" si="111"/>
        <v>3131.05</v>
      </c>
      <c r="I281" s="460">
        <f t="shared" si="111"/>
        <v>3586.7813299999998</v>
      </c>
      <c r="J281" s="460">
        <f t="shared" si="111"/>
        <v>114.55522364701936</v>
      </c>
      <c r="K281" s="410"/>
      <c r="L281" s="410"/>
      <c r="M281" s="410"/>
      <c r="N281" s="410"/>
      <c r="O281" s="410"/>
      <c r="P281" s="410"/>
      <c r="Q281" s="410"/>
      <c r="R281" s="410"/>
      <c r="S281" s="410"/>
      <c r="T281" s="410"/>
      <c r="U281" s="410"/>
      <c r="V281" s="410"/>
      <c r="W281" s="410"/>
      <c r="X281" s="410"/>
      <c r="Y281" s="410"/>
      <c r="Z281" s="410"/>
      <c r="AA281" s="410"/>
      <c r="AB281" s="410"/>
      <c r="AC281" s="410"/>
      <c r="AD281" s="410"/>
      <c r="AE281" s="410"/>
      <c r="AF281" s="410"/>
      <c r="AG281" s="410"/>
      <c r="AH281" s="410"/>
      <c r="AI281" s="410"/>
      <c r="AJ281" s="410"/>
      <c r="AK281" s="410"/>
      <c r="AL281" s="410"/>
      <c r="AM281" s="410"/>
      <c r="AN281" s="410"/>
      <c r="AO281" s="410"/>
      <c r="AP281" s="410"/>
      <c r="AQ281" s="410"/>
      <c r="AR281" s="410"/>
      <c r="AS281" s="410"/>
      <c r="AT281" s="410"/>
      <c r="AU281" s="410"/>
      <c r="AV281" s="410"/>
      <c r="AW281" s="410"/>
      <c r="AX281" s="410"/>
      <c r="AY281" s="410"/>
      <c r="AZ281" s="410"/>
      <c r="BA281" s="410"/>
      <c r="BB281" s="410"/>
      <c r="BC281" s="410"/>
      <c r="BD281" s="410"/>
      <c r="BE281" s="410"/>
      <c r="BF281" s="410"/>
      <c r="BG281" s="410"/>
      <c r="BH281" s="410"/>
      <c r="BI281" s="410"/>
      <c r="BJ281" s="410"/>
      <c r="BK281" s="410"/>
      <c r="BL281" s="410"/>
      <c r="BM281" s="410"/>
      <c r="BN281" s="410"/>
      <c r="BO281" s="410"/>
      <c r="BP281" s="410"/>
      <c r="BQ281" s="410"/>
      <c r="BR281" s="410"/>
      <c r="BS281" s="410"/>
      <c r="BT281" s="410"/>
      <c r="BU281" s="410"/>
      <c r="BV281" s="410"/>
      <c r="BW281" s="410"/>
      <c r="BX281" s="410"/>
      <c r="BY281" s="410"/>
      <c r="BZ281" s="410"/>
      <c r="CA281" s="410"/>
      <c r="CB281" s="410"/>
      <c r="CC281" s="410"/>
      <c r="CD281" s="410"/>
      <c r="CE281" s="410"/>
      <c r="CF281" s="410"/>
      <c r="CG281" s="410"/>
      <c r="CH281" s="410"/>
      <c r="CI281" s="410"/>
      <c r="CJ281" s="410"/>
      <c r="CK281" s="410"/>
      <c r="CL281" s="410"/>
      <c r="CM281" s="410"/>
      <c r="CN281" s="410"/>
      <c r="CO281" s="410"/>
      <c r="CP281" s="410"/>
      <c r="CQ281" s="410"/>
      <c r="CR281" s="410"/>
      <c r="CS281" s="410"/>
      <c r="CT281" s="410"/>
      <c r="CU281" s="410"/>
      <c r="CV281" s="410"/>
      <c r="CW281" s="410"/>
      <c r="CX281" s="410"/>
      <c r="CY281" s="410"/>
      <c r="CZ281" s="410"/>
      <c r="DA281" s="410"/>
      <c r="DB281" s="410"/>
      <c r="DC281" s="410"/>
      <c r="DD281" s="410"/>
      <c r="DE281" s="410"/>
      <c r="DF281" s="410"/>
      <c r="DG281" s="410"/>
      <c r="DH281" s="410"/>
      <c r="DI281" s="410"/>
      <c r="DJ281" s="410"/>
      <c r="DK281" s="410"/>
      <c r="DL281" s="410"/>
      <c r="DM281" s="410"/>
      <c r="DN281" s="410"/>
      <c r="DO281" s="410"/>
      <c r="DP281" s="410"/>
      <c r="DQ281" s="410"/>
      <c r="DR281" s="410"/>
      <c r="DS281" s="410"/>
      <c r="DT281" s="410"/>
      <c r="DU281" s="410"/>
      <c r="DV281" s="410"/>
      <c r="DW281" s="410"/>
      <c r="DX281" s="410"/>
      <c r="DY281" s="410"/>
      <c r="DZ281" s="410"/>
      <c r="EA281" s="410"/>
      <c r="EB281" s="410"/>
      <c r="EC281" s="410"/>
      <c r="ED281" s="410"/>
      <c r="EE281" s="410"/>
      <c r="EF281" s="410"/>
      <c r="EG281" s="410"/>
      <c r="EH281" s="410"/>
      <c r="EI281" s="410"/>
      <c r="EJ281" s="410"/>
      <c r="EK281" s="410"/>
      <c r="EL281" s="410"/>
      <c r="EM281" s="410"/>
      <c r="EN281" s="410"/>
      <c r="EO281" s="410"/>
      <c r="EP281" s="410"/>
      <c r="EQ281" s="410"/>
      <c r="ER281" s="410"/>
      <c r="ES281" s="410"/>
      <c r="ET281" s="410"/>
      <c r="EU281" s="410"/>
      <c r="EV281" s="410"/>
      <c r="EW281" s="410"/>
      <c r="EX281" s="410"/>
      <c r="EY281" s="410"/>
      <c r="EZ281" s="410"/>
      <c r="FA281" s="410"/>
      <c r="FB281" s="410"/>
      <c r="FC281" s="410"/>
      <c r="FD281" s="410"/>
      <c r="FE281" s="410"/>
      <c r="FF281" s="410"/>
      <c r="FG281" s="410"/>
      <c r="FH281" s="410"/>
      <c r="FI281" s="410"/>
      <c r="FJ281" s="410"/>
      <c r="FK281" s="410"/>
      <c r="FL281" s="410"/>
      <c r="FM281" s="410"/>
      <c r="FN281" s="410"/>
      <c r="FO281" s="410"/>
      <c r="FP281" s="410"/>
      <c r="FQ281" s="410"/>
      <c r="FR281" s="410"/>
      <c r="FS281" s="410"/>
      <c r="FT281" s="410"/>
      <c r="FU281" s="410"/>
      <c r="FV281" s="410"/>
      <c r="FW281" s="410"/>
      <c r="FX281" s="410"/>
      <c r="FY281" s="410"/>
      <c r="FZ281" s="410"/>
      <c r="GA281" s="410"/>
      <c r="GB281" s="410"/>
      <c r="GC281" s="410"/>
      <c r="GD281" s="410"/>
      <c r="GE281" s="410"/>
      <c r="GF281" s="410"/>
      <c r="GG281" s="410"/>
      <c r="GH281" s="410"/>
      <c r="GI281" s="410"/>
      <c r="GJ281" s="410"/>
      <c r="GK281" s="410"/>
      <c r="GL281" s="410"/>
      <c r="GM281" s="410"/>
      <c r="GN281" s="410"/>
      <c r="GO281" s="410"/>
      <c r="GP281" s="410"/>
      <c r="GQ281" s="410"/>
      <c r="GR281" s="410"/>
      <c r="GS281" s="410"/>
      <c r="GT281" s="410"/>
      <c r="GU281" s="410"/>
      <c r="GV281" s="410"/>
      <c r="GW281" s="410"/>
      <c r="GX281" s="410"/>
      <c r="GY281" s="410"/>
      <c r="GZ281" s="410"/>
      <c r="HA281" s="410"/>
      <c r="HB281" s="410"/>
      <c r="HC281" s="410"/>
      <c r="HD281" s="410"/>
      <c r="HE281" s="410"/>
      <c r="HF281" s="410"/>
      <c r="HG281" s="410"/>
      <c r="HH281" s="410"/>
      <c r="HI281" s="410"/>
      <c r="HJ281" s="410"/>
      <c r="HK281" s="410"/>
      <c r="HL281" s="410"/>
      <c r="HM281" s="410"/>
      <c r="HN281" s="410"/>
      <c r="HO281" s="410"/>
      <c r="HP281" s="410"/>
      <c r="HQ281" s="410"/>
      <c r="HR281" s="410"/>
      <c r="HS281" s="410"/>
      <c r="HT281" s="410"/>
      <c r="HU281" s="410"/>
      <c r="HV281" s="410"/>
      <c r="HW281" s="410"/>
      <c r="HX281" s="410"/>
      <c r="HY281" s="410"/>
      <c r="HZ281" s="410"/>
      <c r="IA281" s="410"/>
      <c r="IB281" s="410"/>
      <c r="IC281" s="410"/>
      <c r="ID281" s="410"/>
      <c r="IE281" s="410"/>
      <c r="IF281" s="410"/>
      <c r="IG281" s="410"/>
      <c r="IH281" s="410"/>
      <c r="II281" s="410"/>
      <c r="IJ281" s="410"/>
      <c r="IK281" s="410"/>
      <c r="IL281" s="410"/>
      <c r="IM281" s="410"/>
    </row>
    <row r="282" spans="1:247" s="415" customFormat="1" ht="30" x14ac:dyDescent="0.25">
      <c r="A282" s="99">
        <v>1</v>
      </c>
      <c r="B282" s="57" t="s">
        <v>80</v>
      </c>
      <c r="C282" s="459">
        <f t="shared" si="111"/>
        <v>1646</v>
      </c>
      <c r="D282" s="459">
        <f t="shared" si="111"/>
        <v>686</v>
      </c>
      <c r="E282" s="459">
        <f t="shared" si="111"/>
        <v>482</v>
      </c>
      <c r="F282" s="459">
        <f t="shared" si="111"/>
        <v>70.262390670553927</v>
      </c>
      <c r="G282" s="460">
        <f t="shared" si="111"/>
        <v>3075.6923900000002</v>
      </c>
      <c r="H282" s="460">
        <f t="shared" si="111"/>
        <v>1281.54</v>
      </c>
      <c r="I282" s="460">
        <f t="shared" si="111"/>
        <v>864.68867999999998</v>
      </c>
      <c r="J282" s="460">
        <f t="shared" si="111"/>
        <v>67.472625122899004</v>
      </c>
      <c r="K282" s="410"/>
      <c r="L282" s="410"/>
      <c r="M282" s="410"/>
      <c r="N282" s="410"/>
      <c r="O282" s="410"/>
      <c r="P282" s="410"/>
      <c r="Q282" s="410"/>
      <c r="R282" s="410"/>
      <c r="S282" s="410"/>
      <c r="T282" s="410"/>
      <c r="U282" s="410"/>
      <c r="V282" s="410"/>
      <c r="W282" s="410"/>
      <c r="X282" s="410"/>
      <c r="Y282" s="410"/>
      <c r="Z282" s="410"/>
      <c r="AA282" s="410"/>
      <c r="AB282" s="410"/>
      <c r="AC282" s="410"/>
      <c r="AD282" s="410"/>
      <c r="AE282" s="410"/>
      <c r="AF282" s="410"/>
      <c r="AG282" s="410"/>
      <c r="AH282" s="410"/>
      <c r="AI282" s="410"/>
      <c r="AJ282" s="410"/>
      <c r="AK282" s="410"/>
      <c r="AL282" s="410"/>
      <c r="AM282" s="410"/>
      <c r="AN282" s="410"/>
      <c r="AO282" s="410"/>
      <c r="AP282" s="410"/>
      <c r="AQ282" s="410"/>
      <c r="AR282" s="410"/>
      <c r="AS282" s="410"/>
      <c r="AT282" s="410"/>
      <c r="AU282" s="410"/>
      <c r="AV282" s="410"/>
      <c r="AW282" s="410"/>
      <c r="AX282" s="410"/>
      <c r="AY282" s="410"/>
      <c r="AZ282" s="410"/>
      <c r="BA282" s="410"/>
      <c r="BB282" s="410"/>
      <c r="BC282" s="410"/>
      <c r="BD282" s="410"/>
      <c r="BE282" s="410"/>
      <c r="BF282" s="410"/>
      <c r="BG282" s="410"/>
      <c r="BH282" s="410"/>
      <c r="BI282" s="410"/>
      <c r="BJ282" s="410"/>
      <c r="BK282" s="410"/>
      <c r="BL282" s="410"/>
      <c r="BM282" s="410"/>
      <c r="BN282" s="410"/>
      <c r="BO282" s="410"/>
      <c r="BP282" s="410"/>
      <c r="BQ282" s="410"/>
      <c r="BR282" s="410"/>
      <c r="BS282" s="410"/>
      <c r="BT282" s="410"/>
      <c r="BU282" s="410"/>
      <c r="BV282" s="410"/>
      <c r="BW282" s="410"/>
      <c r="BX282" s="410"/>
      <c r="BY282" s="410"/>
      <c r="BZ282" s="410"/>
      <c r="CA282" s="410"/>
      <c r="CB282" s="410"/>
      <c r="CC282" s="410"/>
      <c r="CD282" s="410"/>
      <c r="CE282" s="410"/>
      <c r="CF282" s="410"/>
      <c r="CG282" s="410"/>
      <c r="CH282" s="410"/>
      <c r="CI282" s="410"/>
      <c r="CJ282" s="410"/>
      <c r="CK282" s="410"/>
      <c r="CL282" s="410"/>
      <c r="CM282" s="410"/>
      <c r="CN282" s="410"/>
      <c r="CO282" s="410"/>
      <c r="CP282" s="410"/>
      <c r="CQ282" s="410"/>
      <c r="CR282" s="410"/>
      <c r="CS282" s="410"/>
      <c r="CT282" s="410"/>
      <c r="CU282" s="410"/>
      <c r="CV282" s="410"/>
      <c r="CW282" s="410"/>
      <c r="CX282" s="410"/>
      <c r="CY282" s="410"/>
      <c r="CZ282" s="410"/>
      <c r="DA282" s="410"/>
      <c r="DB282" s="410"/>
      <c r="DC282" s="410"/>
      <c r="DD282" s="410"/>
      <c r="DE282" s="410"/>
      <c r="DF282" s="410"/>
      <c r="DG282" s="410"/>
      <c r="DH282" s="410"/>
      <c r="DI282" s="410"/>
      <c r="DJ282" s="410"/>
      <c r="DK282" s="410"/>
      <c r="DL282" s="410"/>
      <c r="DM282" s="410"/>
      <c r="DN282" s="410"/>
      <c r="DO282" s="410"/>
      <c r="DP282" s="410"/>
      <c r="DQ282" s="410"/>
      <c r="DR282" s="410"/>
      <c r="DS282" s="410"/>
      <c r="DT282" s="410"/>
      <c r="DU282" s="410"/>
      <c r="DV282" s="410"/>
      <c r="DW282" s="410"/>
      <c r="DX282" s="410"/>
      <c r="DY282" s="410"/>
      <c r="DZ282" s="410"/>
      <c r="EA282" s="410"/>
      <c r="EB282" s="410"/>
      <c r="EC282" s="410"/>
      <c r="ED282" s="410"/>
      <c r="EE282" s="410"/>
      <c r="EF282" s="410"/>
      <c r="EG282" s="410"/>
      <c r="EH282" s="410"/>
      <c r="EI282" s="410"/>
      <c r="EJ282" s="410"/>
      <c r="EK282" s="410"/>
      <c r="EL282" s="410"/>
      <c r="EM282" s="410"/>
      <c r="EN282" s="410"/>
      <c r="EO282" s="410"/>
      <c r="EP282" s="410"/>
      <c r="EQ282" s="410"/>
      <c r="ER282" s="410"/>
      <c r="ES282" s="410"/>
      <c r="ET282" s="410"/>
      <c r="EU282" s="410"/>
      <c r="EV282" s="410"/>
      <c r="EW282" s="410"/>
      <c r="EX282" s="410"/>
      <c r="EY282" s="410"/>
      <c r="EZ282" s="410"/>
      <c r="FA282" s="410"/>
      <c r="FB282" s="410"/>
      <c r="FC282" s="410"/>
      <c r="FD282" s="410"/>
      <c r="FE282" s="410"/>
      <c r="FF282" s="410"/>
      <c r="FG282" s="410"/>
      <c r="FH282" s="410"/>
      <c r="FI282" s="410"/>
      <c r="FJ282" s="410"/>
      <c r="FK282" s="410"/>
      <c r="FL282" s="410"/>
      <c r="FM282" s="410"/>
      <c r="FN282" s="410"/>
      <c r="FO282" s="410"/>
      <c r="FP282" s="410"/>
      <c r="FQ282" s="410"/>
      <c r="FR282" s="410"/>
      <c r="FS282" s="410"/>
      <c r="FT282" s="410"/>
      <c r="FU282" s="410"/>
      <c r="FV282" s="410"/>
      <c r="FW282" s="410"/>
      <c r="FX282" s="410"/>
      <c r="FY282" s="410"/>
      <c r="FZ282" s="410"/>
      <c r="GA282" s="410"/>
      <c r="GB282" s="410"/>
      <c r="GC282" s="410"/>
      <c r="GD282" s="410"/>
      <c r="GE282" s="410"/>
      <c r="GF282" s="410"/>
      <c r="GG282" s="410"/>
      <c r="GH282" s="410"/>
      <c r="GI282" s="410"/>
      <c r="GJ282" s="410"/>
      <c r="GK282" s="410"/>
      <c r="GL282" s="410"/>
      <c r="GM282" s="410"/>
      <c r="GN282" s="410"/>
      <c r="GO282" s="410"/>
      <c r="GP282" s="410"/>
      <c r="GQ282" s="410"/>
      <c r="GR282" s="410"/>
      <c r="GS282" s="410"/>
      <c r="GT282" s="410"/>
      <c r="GU282" s="410"/>
      <c r="GV282" s="410"/>
      <c r="GW282" s="410"/>
      <c r="GX282" s="410"/>
      <c r="GY282" s="410"/>
      <c r="GZ282" s="410"/>
      <c r="HA282" s="410"/>
      <c r="HB282" s="410"/>
      <c r="HC282" s="410"/>
      <c r="HD282" s="410"/>
      <c r="HE282" s="410"/>
      <c r="HF282" s="410"/>
      <c r="HG282" s="410"/>
      <c r="HH282" s="410"/>
      <c r="HI282" s="410"/>
      <c r="HJ282" s="410"/>
      <c r="HK282" s="410"/>
      <c r="HL282" s="410"/>
      <c r="HM282" s="410"/>
      <c r="HN282" s="410"/>
      <c r="HO282" s="410"/>
      <c r="HP282" s="410"/>
      <c r="HQ282" s="410"/>
      <c r="HR282" s="410"/>
      <c r="HS282" s="410"/>
      <c r="HT282" s="410"/>
      <c r="HU282" s="410"/>
      <c r="HV282" s="410"/>
      <c r="HW282" s="410"/>
      <c r="HX282" s="410"/>
      <c r="HY282" s="410"/>
      <c r="HZ282" s="410"/>
      <c r="IA282" s="410"/>
      <c r="IB282" s="410"/>
      <c r="IC282" s="410"/>
      <c r="ID282" s="410"/>
      <c r="IE282" s="410"/>
      <c r="IF282" s="410"/>
      <c r="IG282" s="410"/>
      <c r="IH282" s="410"/>
      <c r="II282" s="410"/>
      <c r="IJ282" s="410"/>
      <c r="IK282" s="410"/>
      <c r="IL282" s="410"/>
      <c r="IM282" s="410"/>
    </row>
    <row r="283" spans="1:247" s="415" customFormat="1" ht="45" x14ac:dyDescent="0.25">
      <c r="A283" s="99">
        <v>1</v>
      </c>
      <c r="B283" s="57" t="s">
        <v>114</v>
      </c>
      <c r="C283" s="459">
        <f t="shared" si="111"/>
        <v>120</v>
      </c>
      <c r="D283" s="459">
        <f t="shared" si="111"/>
        <v>50</v>
      </c>
      <c r="E283" s="459">
        <f t="shared" si="111"/>
        <v>134</v>
      </c>
      <c r="F283" s="459">
        <f t="shared" si="111"/>
        <v>268</v>
      </c>
      <c r="G283" s="460">
        <f t="shared" si="111"/>
        <v>787.44960000000003</v>
      </c>
      <c r="H283" s="460">
        <f t="shared" si="111"/>
        <v>328.1</v>
      </c>
      <c r="I283" s="460">
        <f t="shared" si="111"/>
        <v>879.31871999999998</v>
      </c>
      <c r="J283" s="460">
        <f t="shared" si="111"/>
        <v>268.00326729655592</v>
      </c>
      <c r="K283" s="410"/>
      <c r="L283" s="410"/>
      <c r="M283" s="410"/>
      <c r="N283" s="410"/>
      <c r="O283" s="410"/>
      <c r="P283" s="410"/>
      <c r="Q283" s="410"/>
      <c r="R283" s="410"/>
      <c r="S283" s="410"/>
      <c r="T283" s="410"/>
      <c r="U283" s="410"/>
      <c r="V283" s="410"/>
      <c r="W283" s="410"/>
      <c r="X283" s="410"/>
      <c r="Y283" s="410"/>
      <c r="Z283" s="410"/>
      <c r="AA283" s="410"/>
      <c r="AB283" s="410"/>
      <c r="AC283" s="410"/>
      <c r="AD283" s="410"/>
      <c r="AE283" s="410"/>
      <c r="AF283" s="410"/>
      <c r="AG283" s="410"/>
      <c r="AH283" s="410"/>
      <c r="AI283" s="410"/>
      <c r="AJ283" s="410"/>
      <c r="AK283" s="410"/>
      <c r="AL283" s="410"/>
      <c r="AM283" s="410"/>
      <c r="AN283" s="410"/>
      <c r="AO283" s="410"/>
      <c r="AP283" s="410"/>
      <c r="AQ283" s="410"/>
      <c r="AR283" s="410"/>
      <c r="AS283" s="410"/>
      <c r="AT283" s="410"/>
      <c r="AU283" s="410"/>
      <c r="AV283" s="410"/>
      <c r="AW283" s="410"/>
      <c r="AX283" s="410"/>
      <c r="AY283" s="410"/>
      <c r="AZ283" s="410"/>
      <c r="BA283" s="410"/>
      <c r="BB283" s="410"/>
      <c r="BC283" s="410"/>
      <c r="BD283" s="410"/>
      <c r="BE283" s="410"/>
      <c r="BF283" s="410"/>
      <c r="BG283" s="410"/>
      <c r="BH283" s="410"/>
      <c r="BI283" s="410"/>
      <c r="BJ283" s="410"/>
      <c r="BK283" s="410"/>
      <c r="BL283" s="410"/>
      <c r="BM283" s="410"/>
      <c r="BN283" s="410"/>
      <c r="BO283" s="410"/>
      <c r="BP283" s="410"/>
      <c r="BQ283" s="410"/>
      <c r="BR283" s="410"/>
      <c r="BS283" s="410"/>
      <c r="BT283" s="410"/>
      <c r="BU283" s="410"/>
      <c r="BV283" s="410"/>
      <c r="BW283" s="410"/>
      <c r="BX283" s="410"/>
      <c r="BY283" s="410"/>
      <c r="BZ283" s="410"/>
      <c r="CA283" s="410"/>
      <c r="CB283" s="410"/>
      <c r="CC283" s="410"/>
      <c r="CD283" s="410"/>
      <c r="CE283" s="410"/>
      <c r="CF283" s="410"/>
      <c r="CG283" s="410"/>
      <c r="CH283" s="410"/>
      <c r="CI283" s="410"/>
      <c r="CJ283" s="410"/>
      <c r="CK283" s="410"/>
      <c r="CL283" s="410"/>
      <c r="CM283" s="410"/>
      <c r="CN283" s="410"/>
      <c r="CO283" s="410"/>
      <c r="CP283" s="410"/>
      <c r="CQ283" s="410"/>
      <c r="CR283" s="410"/>
      <c r="CS283" s="410"/>
      <c r="CT283" s="410"/>
      <c r="CU283" s="410"/>
      <c r="CV283" s="410"/>
      <c r="CW283" s="410"/>
      <c r="CX283" s="410"/>
      <c r="CY283" s="410"/>
      <c r="CZ283" s="410"/>
      <c r="DA283" s="410"/>
      <c r="DB283" s="410"/>
      <c r="DC283" s="410"/>
      <c r="DD283" s="410"/>
      <c r="DE283" s="410"/>
      <c r="DF283" s="410"/>
      <c r="DG283" s="410"/>
      <c r="DH283" s="410"/>
      <c r="DI283" s="410"/>
      <c r="DJ283" s="410"/>
      <c r="DK283" s="410"/>
      <c r="DL283" s="410"/>
      <c r="DM283" s="410"/>
      <c r="DN283" s="410"/>
      <c r="DO283" s="410"/>
      <c r="DP283" s="410"/>
      <c r="DQ283" s="410"/>
      <c r="DR283" s="410"/>
      <c r="DS283" s="410"/>
      <c r="DT283" s="410"/>
      <c r="DU283" s="410"/>
      <c r="DV283" s="410"/>
      <c r="DW283" s="410"/>
      <c r="DX283" s="410"/>
      <c r="DY283" s="410"/>
      <c r="DZ283" s="410"/>
      <c r="EA283" s="410"/>
      <c r="EB283" s="410"/>
      <c r="EC283" s="410"/>
      <c r="ED283" s="410"/>
      <c r="EE283" s="410"/>
      <c r="EF283" s="410"/>
      <c r="EG283" s="410"/>
      <c r="EH283" s="410"/>
      <c r="EI283" s="410"/>
      <c r="EJ283" s="410"/>
      <c r="EK283" s="410"/>
      <c r="EL283" s="410"/>
      <c r="EM283" s="410"/>
      <c r="EN283" s="410"/>
      <c r="EO283" s="410"/>
      <c r="EP283" s="410"/>
      <c r="EQ283" s="410"/>
      <c r="ER283" s="410"/>
      <c r="ES283" s="410"/>
      <c r="ET283" s="410"/>
      <c r="EU283" s="410"/>
      <c r="EV283" s="410"/>
      <c r="EW283" s="410"/>
      <c r="EX283" s="410"/>
      <c r="EY283" s="410"/>
      <c r="EZ283" s="410"/>
      <c r="FA283" s="410"/>
      <c r="FB283" s="410"/>
      <c r="FC283" s="410"/>
      <c r="FD283" s="410"/>
      <c r="FE283" s="410"/>
      <c r="FF283" s="410"/>
      <c r="FG283" s="410"/>
      <c r="FH283" s="410"/>
      <c r="FI283" s="410"/>
      <c r="FJ283" s="410"/>
      <c r="FK283" s="410"/>
      <c r="FL283" s="410"/>
      <c r="FM283" s="410"/>
      <c r="FN283" s="410"/>
      <c r="FO283" s="410"/>
      <c r="FP283" s="410"/>
      <c r="FQ283" s="410"/>
      <c r="FR283" s="410"/>
      <c r="FS283" s="410"/>
      <c r="FT283" s="410"/>
      <c r="FU283" s="410"/>
      <c r="FV283" s="410"/>
      <c r="FW283" s="410"/>
      <c r="FX283" s="410"/>
      <c r="FY283" s="410"/>
      <c r="FZ283" s="410"/>
      <c r="GA283" s="410"/>
      <c r="GB283" s="410"/>
      <c r="GC283" s="410"/>
      <c r="GD283" s="410"/>
      <c r="GE283" s="410"/>
      <c r="GF283" s="410"/>
      <c r="GG283" s="410"/>
      <c r="GH283" s="410"/>
      <c r="GI283" s="410"/>
      <c r="GJ283" s="410"/>
      <c r="GK283" s="410"/>
      <c r="GL283" s="410"/>
      <c r="GM283" s="410"/>
      <c r="GN283" s="410"/>
      <c r="GO283" s="410"/>
      <c r="GP283" s="410"/>
      <c r="GQ283" s="410"/>
      <c r="GR283" s="410"/>
      <c r="GS283" s="410"/>
      <c r="GT283" s="410"/>
      <c r="GU283" s="410"/>
      <c r="GV283" s="410"/>
      <c r="GW283" s="410"/>
      <c r="GX283" s="410"/>
      <c r="GY283" s="410"/>
      <c r="GZ283" s="410"/>
      <c r="HA283" s="410"/>
      <c r="HB283" s="410"/>
      <c r="HC283" s="410"/>
      <c r="HD283" s="410"/>
      <c r="HE283" s="410"/>
      <c r="HF283" s="410"/>
      <c r="HG283" s="410"/>
      <c r="HH283" s="410"/>
      <c r="HI283" s="410"/>
      <c r="HJ283" s="410"/>
      <c r="HK283" s="410"/>
      <c r="HL283" s="410"/>
      <c r="HM283" s="410"/>
      <c r="HN283" s="410"/>
      <c r="HO283" s="410"/>
      <c r="HP283" s="410"/>
      <c r="HQ283" s="410"/>
      <c r="HR283" s="410"/>
      <c r="HS283" s="410"/>
      <c r="HT283" s="410"/>
      <c r="HU283" s="410"/>
      <c r="HV283" s="410"/>
      <c r="HW283" s="410"/>
      <c r="HX283" s="410"/>
      <c r="HY283" s="410"/>
      <c r="HZ283" s="410"/>
      <c r="IA283" s="410"/>
      <c r="IB283" s="410"/>
      <c r="IC283" s="410"/>
      <c r="ID283" s="410"/>
      <c r="IE283" s="410"/>
      <c r="IF283" s="410"/>
      <c r="IG283" s="410"/>
      <c r="IH283" s="410"/>
      <c r="II283" s="410"/>
      <c r="IJ283" s="410"/>
      <c r="IK283" s="410"/>
      <c r="IL283" s="410"/>
      <c r="IM283" s="410"/>
    </row>
    <row r="284" spans="1:247" s="415" customFormat="1" ht="30" x14ac:dyDescent="0.25">
      <c r="A284" s="99">
        <v>1</v>
      </c>
      <c r="B284" s="57" t="s">
        <v>115</v>
      </c>
      <c r="C284" s="459">
        <f t="shared" si="111"/>
        <v>150</v>
      </c>
      <c r="D284" s="459">
        <f t="shared" si="111"/>
        <v>63</v>
      </c>
      <c r="E284" s="459">
        <f t="shared" si="111"/>
        <v>134</v>
      </c>
      <c r="F284" s="459">
        <f t="shared" si="111"/>
        <v>212.69841269841271</v>
      </c>
      <c r="G284" s="460">
        <f t="shared" si="111"/>
        <v>984.31200000000001</v>
      </c>
      <c r="H284" s="460">
        <f t="shared" si="111"/>
        <v>410.13</v>
      </c>
      <c r="I284" s="460">
        <f t="shared" si="111"/>
        <v>879.3187200000001</v>
      </c>
      <c r="J284" s="460">
        <f t="shared" si="111"/>
        <v>214.4</v>
      </c>
      <c r="K284" s="410"/>
      <c r="L284" s="410"/>
      <c r="M284" s="410"/>
      <c r="N284" s="410"/>
      <c r="O284" s="410"/>
      <c r="P284" s="410"/>
      <c r="Q284" s="410"/>
      <c r="R284" s="410"/>
      <c r="S284" s="410"/>
      <c r="T284" s="410"/>
      <c r="U284" s="410"/>
      <c r="V284" s="410"/>
      <c r="W284" s="410"/>
      <c r="X284" s="410"/>
      <c r="Y284" s="410"/>
      <c r="Z284" s="410"/>
      <c r="AA284" s="410"/>
      <c r="AB284" s="410"/>
      <c r="AC284" s="410"/>
      <c r="AD284" s="410"/>
      <c r="AE284" s="410"/>
      <c r="AF284" s="410"/>
      <c r="AG284" s="410"/>
      <c r="AH284" s="410"/>
      <c r="AI284" s="410"/>
      <c r="AJ284" s="410"/>
      <c r="AK284" s="410"/>
      <c r="AL284" s="410"/>
      <c r="AM284" s="410"/>
      <c r="AN284" s="410"/>
      <c r="AO284" s="410"/>
      <c r="AP284" s="410"/>
      <c r="AQ284" s="410"/>
      <c r="AR284" s="410"/>
      <c r="AS284" s="410"/>
      <c r="AT284" s="410"/>
      <c r="AU284" s="410"/>
      <c r="AV284" s="410"/>
      <c r="AW284" s="410"/>
      <c r="AX284" s="410"/>
      <c r="AY284" s="410"/>
      <c r="AZ284" s="410"/>
      <c r="BA284" s="410"/>
      <c r="BB284" s="410"/>
      <c r="BC284" s="410"/>
      <c r="BD284" s="410"/>
      <c r="BE284" s="410"/>
      <c r="BF284" s="410"/>
      <c r="BG284" s="410"/>
      <c r="BH284" s="410"/>
      <c r="BI284" s="410"/>
      <c r="BJ284" s="410"/>
      <c r="BK284" s="410"/>
      <c r="BL284" s="410"/>
      <c r="BM284" s="410"/>
      <c r="BN284" s="410"/>
      <c r="BO284" s="410"/>
      <c r="BP284" s="410"/>
      <c r="BQ284" s="410"/>
      <c r="BR284" s="410"/>
      <c r="BS284" s="410"/>
      <c r="BT284" s="410"/>
      <c r="BU284" s="410"/>
      <c r="BV284" s="410"/>
      <c r="BW284" s="410"/>
      <c r="BX284" s="410"/>
      <c r="BY284" s="410"/>
      <c r="BZ284" s="410"/>
      <c r="CA284" s="410"/>
      <c r="CB284" s="410"/>
      <c r="CC284" s="410"/>
      <c r="CD284" s="410"/>
      <c r="CE284" s="410"/>
      <c r="CF284" s="410"/>
      <c r="CG284" s="410"/>
      <c r="CH284" s="410"/>
      <c r="CI284" s="410"/>
      <c r="CJ284" s="410"/>
      <c r="CK284" s="410"/>
      <c r="CL284" s="410"/>
      <c r="CM284" s="410"/>
      <c r="CN284" s="410"/>
      <c r="CO284" s="410"/>
      <c r="CP284" s="410"/>
      <c r="CQ284" s="410"/>
      <c r="CR284" s="410"/>
      <c r="CS284" s="410"/>
      <c r="CT284" s="410"/>
      <c r="CU284" s="410"/>
      <c r="CV284" s="410"/>
      <c r="CW284" s="410"/>
      <c r="CX284" s="410"/>
      <c r="CY284" s="410"/>
      <c r="CZ284" s="410"/>
      <c r="DA284" s="410"/>
      <c r="DB284" s="410"/>
      <c r="DC284" s="410"/>
      <c r="DD284" s="410"/>
      <c r="DE284" s="410"/>
      <c r="DF284" s="410"/>
      <c r="DG284" s="410"/>
      <c r="DH284" s="410"/>
      <c r="DI284" s="410"/>
      <c r="DJ284" s="410"/>
      <c r="DK284" s="410"/>
      <c r="DL284" s="410"/>
      <c r="DM284" s="410"/>
      <c r="DN284" s="410"/>
      <c r="DO284" s="410"/>
      <c r="DP284" s="410"/>
      <c r="DQ284" s="410"/>
      <c r="DR284" s="410"/>
      <c r="DS284" s="410"/>
      <c r="DT284" s="410"/>
      <c r="DU284" s="410"/>
      <c r="DV284" s="410"/>
      <c r="DW284" s="410"/>
      <c r="DX284" s="410"/>
      <c r="DY284" s="410"/>
      <c r="DZ284" s="410"/>
      <c r="EA284" s="410"/>
      <c r="EB284" s="410"/>
      <c r="EC284" s="410"/>
      <c r="ED284" s="410"/>
      <c r="EE284" s="410"/>
      <c r="EF284" s="410"/>
      <c r="EG284" s="410"/>
      <c r="EH284" s="410"/>
      <c r="EI284" s="410"/>
      <c r="EJ284" s="410"/>
      <c r="EK284" s="410"/>
      <c r="EL284" s="410"/>
      <c r="EM284" s="410"/>
      <c r="EN284" s="410"/>
      <c r="EO284" s="410"/>
      <c r="EP284" s="410"/>
      <c r="EQ284" s="410"/>
      <c r="ER284" s="410"/>
      <c r="ES284" s="410"/>
      <c r="ET284" s="410"/>
      <c r="EU284" s="410"/>
      <c r="EV284" s="410"/>
      <c r="EW284" s="410"/>
      <c r="EX284" s="410"/>
      <c r="EY284" s="410"/>
      <c r="EZ284" s="410"/>
      <c r="FA284" s="410"/>
      <c r="FB284" s="410"/>
      <c r="FC284" s="410"/>
      <c r="FD284" s="410"/>
      <c r="FE284" s="410"/>
      <c r="FF284" s="410"/>
      <c r="FG284" s="410"/>
      <c r="FH284" s="410"/>
      <c r="FI284" s="410"/>
      <c r="FJ284" s="410"/>
      <c r="FK284" s="410"/>
      <c r="FL284" s="410"/>
      <c r="FM284" s="410"/>
      <c r="FN284" s="410"/>
      <c r="FO284" s="410"/>
      <c r="FP284" s="410"/>
      <c r="FQ284" s="410"/>
      <c r="FR284" s="410"/>
      <c r="FS284" s="410"/>
      <c r="FT284" s="410"/>
      <c r="FU284" s="410"/>
      <c r="FV284" s="410"/>
      <c r="FW284" s="410"/>
      <c r="FX284" s="410"/>
      <c r="FY284" s="410"/>
      <c r="FZ284" s="410"/>
      <c r="GA284" s="410"/>
      <c r="GB284" s="410"/>
      <c r="GC284" s="410"/>
      <c r="GD284" s="410"/>
      <c r="GE284" s="410"/>
      <c r="GF284" s="410"/>
      <c r="GG284" s="410"/>
      <c r="GH284" s="410"/>
      <c r="GI284" s="410"/>
      <c r="GJ284" s="410"/>
      <c r="GK284" s="410"/>
      <c r="GL284" s="410"/>
      <c r="GM284" s="410"/>
      <c r="GN284" s="410"/>
      <c r="GO284" s="410"/>
      <c r="GP284" s="410"/>
      <c r="GQ284" s="410"/>
      <c r="GR284" s="410"/>
      <c r="GS284" s="410"/>
      <c r="GT284" s="410"/>
      <c r="GU284" s="410"/>
      <c r="GV284" s="410"/>
      <c r="GW284" s="410"/>
      <c r="GX284" s="410"/>
      <c r="GY284" s="410"/>
      <c r="GZ284" s="410"/>
      <c r="HA284" s="410"/>
      <c r="HB284" s="410"/>
      <c r="HC284" s="410"/>
      <c r="HD284" s="410"/>
      <c r="HE284" s="410"/>
      <c r="HF284" s="410"/>
      <c r="HG284" s="410"/>
      <c r="HH284" s="410"/>
      <c r="HI284" s="410"/>
      <c r="HJ284" s="410"/>
      <c r="HK284" s="410"/>
      <c r="HL284" s="410"/>
      <c r="HM284" s="410"/>
      <c r="HN284" s="410"/>
      <c r="HO284" s="410"/>
      <c r="HP284" s="410"/>
      <c r="HQ284" s="410"/>
      <c r="HR284" s="410"/>
      <c r="HS284" s="410"/>
      <c r="HT284" s="410"/>
      <c r="HU284" s="410"/>
      <c r="HV284" s="410"/>
      <c r="HW284" s="410"/>
      <c r="HX284" s="410"/>
      <c r="HY284" s="410"/>
      <c r="HZ284" s="410"/>
      <c r="IA284" s="410"/>
      <c r="IB284" s="410"/>
      <c r="IC284" s="410"/>
      <c r="ID284" s="410"/>
      <c r="IE284" s="410"/>
      <c r="IF284" s="410"/>
      <c r="IG284" s="410"/>
      <c r="IH284" s="410"/>
      <c r="II284" s="410"/>
      <c r="IJ284" s="410"/>
      <c r="IK284" s="410"/>
      <c r="IL284" s="410"/>
      <c r="IM284" s="410"/>
    </row>
    <row r="285" spans="1:247" s="415" customFormat="1" ht="30" x14ac:dyDescent="0.25">
      <c r="A285" s="99">
        <v>1</v>
      </c>
      <c r="B285" s="121" t="s">
        <v>112</v>
      </c>
      <c r="C285" s="459">
        <f t="shared" si="111"/>
        <v>12174</v>
      </c>
      <c r="D285" s="459">
        <f t="shared" si="111"/>
        <v>5072</v>
      </c>
      <c r="E285" s="459">
        <f t="shared" si="111"/>
        <v>3716</v>
      </c>
      <c r="F285" s="459">
        <f t="shared" si="111"/>
        <v>73.264984227129332</v>
      </c>
      <c r="G285" s="460">
        <f t="shared" si="111"/>
        <v>23609.339840000001</v>
      </c>
      <c r="H285" s="460">
        <f t="shared" si="111"/>
        <v>9837.23</v>
      </c>
      <c r="I285" s="460">
        <f t="shared" si="111"/>
        <v>8508.5764400000007</v>
      </c>
      <c r="J285" s="460">
        <f t="shared" si="111"/>
        <v>86.493621070158994</v>
      </c>
      <c r="K285" s="410"/>
      <c r="L285" s="410"/>
      <c r="M285" s="410"/>
      <c r="N285" s="410"/>
      <c r="O285" s="410"/>
      <c r="P285" s="410"/>
      <c r="Q285" s="410"/>
      <c r="R285" s="410"/>
      <c r="S285" s="410"/>
      <c r="T285" s="410"/>
      <c r="U285" s="410"/>
      <c r="V285" s="410"/>
      <c r="W285" s="410"/>
      <c r="X285" s="410"/>
      <c r="Y285" s="410"/>
      <c r="Z285" s="410"/>
      <c r="AA285" s="410"/>
      <c r="AB285" s="410"/>
      <c r="AC285" s="410"/>
      <c r="AD285" s="410"/>
      <c r="AE285" s="410"/>
      <c r="AF285" s="410"/>
      <c r="AG285" s="410"/>
      <c r="AH285" s="410"/>
      <c r="AI285" s="410"/>
      <c r="AJ285" s="410"/>
      <c r="AK285" s="410"/>
      <c r="AL285" s="410"/>
      <c r="AM285" s="410"/>
      <c r="AN285" s="410"/>
      <c r="AO285" s="410"/>
      <c r="AP285" s="410"/>
      <c r="AQ285" s="410"/>
      <c r="AR285" s="410"/>
      <c r="AS285" s="410"/>
      <c r="AT285" s="410"/>
      <c r="AU285" s="410"/>
      <c r="AV285" s="410"/>
      <c r="AW285" s="410"/>
      <c r="AX285" s="410"/>
      <c r="AY285" s="410"/>
      <c r="AZ285" s="410"/>
      <c r="BA285" s="410"/>
      <c r="BB285" s="410"/>
      <c r="BC285" s="410"/>
      <c r="BD285" s="410"/>
      <c r="BE285" s="410"/>
      <c r="BF285" s="410"/>
      <c r="BG285" s="410"/>
      <c r="BH285" s="410"/>
      <c r="BI285" s="410"/>
      <c r="BJ285" s="410"/>
      <c r="BK285" s="410"/>
      <c r="BL285" s="410"/>
      <c r="BM285" s="410"/>
      <c r="BN285" s="410"/>
      <c r="BO285" s="410"/>
      <c r="BP285" s="410"/>
      <c r="BQ285" s="410"/>
      <c r="BR285" s="410"/>
      <c r="BS285" s="410"/>
      <c r="BT285" s="410"/>
      <c r="BU285" s="410"/>
      <c r="BV285" s="410"/>
      <c r="BW285" s="410"/>
      <c r="BX285" s="410"/>
      <c r="BY285" s="410"/>
      <c r="BZ285" s="410"/>
      <c r="CA285" s="410"/>
      <c r="CB285" s="410"/>
      <c r="CC285" s="410"/>
      <c r="CD285" s="410"/>
      <c r="CE285" s="410"/>
      <c r="CF285" s="410"/>
      <c r="CG285" s="410"/>
      <c r="CH285" s="410"/>
      <c r="CI285" s="410"/>
      <c r="CJ285" s="410"/>
      <c r="CK285" s="410"/>
      <c r="CL285" s="410"/>
      <c r="CM285" s="410"/>
      <c r="CN285" s="410"/>
      <c r="CO285" s="410"/>
      <c r="CP285" s="410"/>
      <c r="CQ285" s="410"/>
      <c r="CR285" s="410"/>
      <c r="CS285" s="410"/>
      <c r="CT285" s="410"/>
      <c r="CU285" s="410"/>
      <c r="CV285" s="410"/>
      <c r="CW285" s="410"/>
      <c r="CX285" s="410"/>
      <c r="CY285" s="410"/>
      <c r="CZ285" s="410"/>
      <c r="DA285" s="410"/>
      <c r="DB285" s="410"/>
      <c r="DC285" s="410"/>
      <c r="DD285" s="410"/>
      <c r="DE285" s="410"/>
      <c r="DF285" s="410"/>
      <c r="DG285" s="410"/>
      <c r="DH285" s="410"/>
      <c r="DI285" s="410"/>
      <c r="DJ285" s="410"/>
      <c r="DK285" s="410"/>
      <c r="DL285" s="410"/>
      <c r="DM285" s="410"/>
      <c r="DN285" s="410"/>
      <c r="DO285" s="410"/>
      <c r="DP285" s="410"/>
      <c r="DQ285" s="410"/>
      <c r="DR285" s="410"/>
      <c r="DS285" s="410"/>
      <c r="DT285" s="410"/>
      <c r="DU285" s="410"/>
      <c r="DV285" s="410"/>
      <c r="DW285" s="410"/>
      <c r="DX285" s="410"/>
      <c r="DY285" s="410"/>
      <c r="DZ285" s="410"/>
      <c r="EA285" s="410"/>
      <c r="EB285" s="410"/>
      <c r="EC285" s="410"/>
      <c r="ED285" s="410"/>
      <c r="EE285" s="410"/>
      <c r="EF285" s="410"/>
      <c r="EG285" s="410"/>
      <c r="EH285" s="410"/>
      <c r="EI285" s="410"/>
      <c r="EJ285" s="410"/>
      <c r="EK285" s="410"/>
      <c r="EL285" s="410"/>
      <c r="EM285" s="410"/>
      <c r="EN285" s="410"/>
      <c r="EO285" s="410"/>
      <c r="EP285" s="410"/>
      <c r="EQ285" s="410"/>
      <c r="ER285" s="410"/>
      <c r="ES285" s="410"/>
      <c r="ET285" s="410"/>
      <c r="EU285" s="410"/>
      <c r="EV285" s="410"/>
      <c r="EW285" s="410"/>
      <c r="EX285" s="410"/>
      <c r="EY285" s="410"/>
      <c r="EZ285" s="410"/>
      <c r="FA285" s="410"/>
      <c r="FB285" s="410"/>
      <c r="FC285" s="410"/>
      <c r="FD285" s="410"/>
      <c r="FE285" s="410"/>
      <c r="FF285" s="410"/>
      <c r="FG285" s="410"/>
      <c r="FH285" s="410"/>
      <c r="FI285" s="410"/>
      <c r="FJ285" s="410"/>
      <c r="FK285" s="410"/>
      <c r="FL285" s="410"/>
      <c r="FM285" s="410"/>
      <c r="FN285" s="410"/>
      <c r="FO285" s="410"/>
      <c r="FP285" s="410"/>
      <c r="FQ285" s="410"/>
      <c r="FR285" s="410"/>
      <c r="FS285" s="410"/>
      <c r="FT285" s="410"/>
      <c r="FU285" s="410"/>
      <c r="FV285" s="410"/>
      <c r="FW285" s="410"/>
      <c r="FX285" s="410"/>
      <c r="FY285" s="410"/>
      <c r="FZ285" s="410"/>
      <c r="GA285" s="410"/>
      <c r="GB285" s="410"/>
      <c r="GC285" s="410"/>
      <c r="GD285" s="410"/>
      <c r="GE285" s="410"/>
      <c r="GF285" s="410"/>
      <c r="GG285" s="410"/>
      <c r="GH285" s="410"/>
      <c r="GI285" s="410"/>
      <c r="GJ285" s="410"/>
      <c r="GK285" s="410"/>
      <c r="GL285" s="410"/>
      <c r="GM285" s="410"/>
      <c r="GN285" s="410"/>
      <c r="GO285" s="410"/>
      <c r="GP285" s="410"/>
      <c r="GQ285" s="410"/>
      <c r="GR285" s="410"/>
      <c r="GS285" s="410"/>
      <c r="GT285" s="410"/>
      <c r="GU285" s="410"/>
      <c r="GV285" s="410"/>
      <c r="GW285" s="410"/>
      <c r="GX285" s="410"/>
      <c r="GY285" s="410"/>
      <c r="GZ285" s="410"/>
      <c r="HA285" s="410"/>
      <c r="HB285" s="410"/>
      <c r="HC285" s="410"/>
      <c r="HD285" s="410"/>
      <c r="HE285" s="410"/>
      <c r="HF285" s="410"/>
      <c r="HG285" s="410"/>
      <c r="HH285" s="410"/>
      <c r="HI285" s="410"/>
      <c r="HJ285" s="410"/>
      <c r="HK285" s="410"/>
      <c r="HL285" s="410"/>
      <c r="HM285" s="410"/>
      <c r="HN285" s="410"/>
      <c r="HO285" s="410"/>
      <c r="HP285" s="410"/>
      <c r="HQ285" s="410"/>
      <c r="HR285" s="410"/>
      <c r="HS285" s="410"/>
      <c r="HT285" s="410"/>
      <c r="HU285" s="410"/>
      <c r="HV285" s="410"/>
      <c r="HW285" s="410"/>
      <c r="HX285" s="410"/>
      <c r="HY285" s="410"/>
      <c r="HZ285" s="410"/>
      <c r="IA285" s="410"/>
      <c r="IB285" s="410"/>
      <c r="IC285" s="410"/>
      <c r="ID285" s="410"/>
      <c r="IE285" s="410"/>
      <c r="IF285" s="410"/>
      <c r="IG285" s="410"/>
      <c r="IH285" s="410"/>
      <c r="II285" s="410"/>
      <c r="IJ285" s="410"/>
      <c r="IK285" s="410"/>
      <c r="IL285" s="410"/>
      <c r="IM285" s="410"/>
    </row>
    <row r="286" spans="1:247" s="415" customFormat="1" ht="30" x14ac:dyDescent="0.25">
      <c r="A286" s="99">
        <v>1</v>
      </c>
      <c r="B286" s="57" t="s">
        <v>108</v>
      </c>
      <c r="C286" s="459">
        <f t="shared" si="111"/>
        <v>600</v>
      </c>
      <c r="D286" s="459">
        <f t="shared" si="111"/>
        <v>250</v>
      </c>
      <c r="E286" s="459">
        <f t="shared" si="111"/>
        <v>300</v>
      </c>
      <c r="F286" s="459">
        <f t="shared" si="111"/>
        <v>120</v>
      </c>
      <c r="G286" s="460">
        <f t="shared" si="111"/>
        <v>1272.306</v>
      </c>
      <c r="H286" s="460">
        <f t="shared" si="111"/>
        <v>530.13</v>
      </c>
      <c r="I286" s="460">
        <f t="shared" si="111"/>
        <v>630.85259999999994</v>
      </c>
      <c r="J286" s="460">
        <f t="shared" si="111"/>
        <v>118.99960387074869</v>
      </c>
      <c r="K286" s="410"/>
      <c r="L286" s="410"/>
      <c r="M286" s="410"/>
      <c r="N286" s="410"/>
      <c r="O286" s="410"/>
      <c r="P286" s="410"/>
      <c r="Q286" s="410"/>
      <c r="R286" s="410"/>
      <c r="S286" s="410"/>
      <c r="T286" s="410"/>
      <c r="U286" s="410"/>
      <c r="V286" s="410"/>
      <c r="W286" s="410"/>
      <c r="X286" s="410"/>
      <c r="Y286" s="410"/>
      <c r="Z286" s="410"/>
      <c r="AA286" s="410"/>
      <c r="AB286" s="410"/>
      <c r="AC286" s="410"/>
      <c r="AD286" s="410"/>
      <c r="AE286" s="410"/>
      <c r="AF286" s="410"/>
      <c r="AG286" s="410"/>
      <c r="AH286" s="410"/>
      <c r="AI286" s="410"/>
      <c r="AJ286" s="410"/>
      <c r="AK286" s="410"/>
      <c r="AL286" s="410"/>
      <c r="AM286" s="410"/>
      <c r="AN286" s="410"/>
      <c r="AO286" s="410"/>
      <c r="AP286" s="410"/>
      <c r="AQ286" s="410"/>
      <c r="AR286" s="410"/>
      <c r="AS286" s="410"/>
      <c r="AT286" s="410"/>
      <c r="AU286" s="410"/>
      <c r="AV286" s="410"/>
      <c r="AW286" s="410"/>
      <c r="AX286" s="410"/>
      <c r="AY286" s="410"/>
      <c r="AZ286" s="410"/>
      <c r="BA286" s="410"/>
      <c r="BB286" s="410"/>
      <c r="BC286" s="410"/>
      <c r="BD286" s="410"/>
      <c r="BE286" s="410"/>
      <c r="BF286" s="410"/>
      <c r="BG286" s="410"/>
      <c r="BH286" s="410"/>
      <c r="BI286" s="410"/>
      <c r="BJ286" s="410"/>
      <c r="BK286" s="410"/>
      <c r="BL286" s="410"/>
      <c r="BM286" s="410"/>
      <c r="BN286" s="410"/>
      <c r="BO286" s="410"/>
      <c r="BP286" s="410"/>
      <c r="BQ286" s="410"/>
      <c r="BR286" s="410"/>
      <c r="BS286" s="410"/>
      <c r="BT286" s="410"/>
      <c r="BU286" s="410"/>
      <c r="BV286" s="410"/>
      <c r="BW286" s="410"/>
      <c r="BX286" s="410"/>
      <c r="BY286" s="410"/>
      <c r="BZ286" s="410"/>
      <c r="CA286" s="410"/>
      <c r="CB286" s="410"/>
      <c r="CC286" s="410"/>
      <c r="CD286" s="410"/>
      <c r="CE286" s="410"/>
      <c r="CF286" s="410"/>
      <c r="CG286" s="410"/>
      <c r="CH286" s="410"/>
      <c r="CI286" s="410"/>
      <c r="CJ286" s="410"/>
      <c r="CK286" s="410"/>
      <c r="CL286" s="410"/>
      <c r="CM286" s="410"/>
      <c r="CN286" s="410"/>
      <c r="CO286" s="410"/>
      <c r="CP286" s="410"/>
      <c r="CQ286" s="410"/>
      <c r="CR286" s="410"/>
      <c r="CS286" s="410"/>
      <c r="CT286" s="410"/>
      <c r="CU286" s="410"/>
      <c r="CV286" s="410"/>
      <c r="CW286" s="410"/>
      <c r="CX286" s="410"/>
      <c r="CY286" s="410"/>
      <c r="CZ286" s="410"/>
      <c r="DA286" s="410"/>
      <c r="DB286" s="410"/>
      <c r="DC286" s="410"/>
      <c r="DD286" s="410"/>
      <c r="DE286" s="410"/>
      <c r="DF286" s="410"/>
      <c r="DG286" s="410"/>
      <c r="DH286" s="410"/>
      <c r="DI286" s="410"/>
      <c r="DJ286" s="410"/>
      <c r="DK286" s="410"/>
      <c r="DL286" s="410"/>
      <c r="DM286" s="410"/>
      <c r="DN286" s="410"/>
      <c r="DO286" s="410"/>
      <c r="DP286" s="410"/>
      <c r="DQ286" s="410"/>
      <c r="DR286" s="410"/>
      <c r="DS286" s="410"/>
      <c r="DT286" s="410"/>
      <c r="DU286" s="410"/>
      <c r="DV286" s="410"/>
      <c r="DW286" s="410"/>
      <c r="DX286" s="410"/>
      <c r="DY286" s="410"/>
      <c r="DZ286" s="410"/>
      <c r="EA286" s="410"/>
      <c r="EB286" s="410"/>
      <c r="EC286" s="410"/>
      <c r="ED286" s="410"/>
      <c r="EE286" s="410"/>
      <c r="EF286" s="410"/>
      <c r="EG286" s="410"/>
      <c r="EH286" s="410"/>
      <c r="EI286" s="410"/>
      <c r="EJ286" s="410"/>
      <c r="EK286" s="410"/>
      <c r="EL286" s="410"/>
      <c r="EM286" s="410"/>
      <c r="EN286" s="410"/>
      <c r="EO286" s="410"/>
      <c r="EP286" s="410"/>
      <c r="EQ286" s="410"/>
      <c r="ER286" s="410"/>
      <c r="ES286" s="410"/>
      <c r="ET286" s="410"/>
      <c r="EU286" s="410"/>
      <c r="EV286" s="410"/>
      <c r="EW286" s="410"/>
      <c r="EX286" s="410"/>
      <c r="EY286" s="410"/>
      <c r="EZ286" s="410"/>
      <c r="FA286" s="410"/>
      <c r="FB286" s="410"/>
      <c r="FC286" s="410"/>
      <c r="FD286" s="410"/>
      <c r="FE286" s="410"/>
      <c r="FF286" s="410"/>
      <c r="FG286" s="410"/>
      <c r="FH286" s="410"/>
      <c r="FI286" s="410"/>
      <c r="FJ286" s="410"/>
      <c r="FK286" s="410"/>
      <c r="FL286" s="410"/>
      <c r="FM286" s="410"/>
      <c r="FN286" s="410"/>
      <c r="FO286" s="410"/>
      <c r="FP286" s="410"/>
      <c r="FQ286" s="410"/>
      <c r="FR286" s="410"/>
      <c r="FS286" s="410"/>
      <c r="FT286" s="410"/>
      <c r="FU286" s="410"/>
      <c r="FV286" s="410"/>
      <c r="FW286" s="410"/>
      <c r="FX286" s="410"/>
      <c r="FY286" s="410"/>
      <c r="FZ286" s="410"/>
      <c r="GA286" s="410"/>
      <c r="GB286" s="410"/>
      <c r="GC286" s="410"/>
      <c r="GD286" s="410"/>
      <c r="GE286" s="410"/>
      <c r="GF286" s="410"/>
      <c r="GG286" s="410"/>
      <c r="GH286" s="410"/>
      <c r="GI286" s="410"/>
      <c r="GJ286" s="410"/>
      <c r="GK286" s="410"/>
      <c r="GL286" s="410"/>
      <c r="GM286" s="410"/>
      <c r="GN286" s="410"/>
      <c r="GO286" s="410"/>
      <c r="GP286" s="410"/>
      <c r="GQ286" s="410"/>
      <c r="GR286" s="410"/>
      <c r="GS286" s="410"/>
      <c r="GT286" s="410"/>
      <c r="GU286" s="410"/>
      <c r="GV286" s="410"/>
      <c r="GW286" s="410"/>
      <c r="GX286" s="410"/>
      <c r="GY286" s="410"/>
      <c r="GZ286" s="410"/>
      <c r="HA286" s="410"/>
      <c r="HB286" s="410"/>
      <c r="HC286" s="410"/>
      <c r="HD286" s="410"/>
      <c r="HE286" s="410"/>
      <c r="HF286" s="410"/>
      <c r="HG286" s="410"/>
      <c r="HH286" s="410"/>
      <c r="HI286" s="410"/>
      <c r="HJ286" s="410"/>
      <c r="HK286" s="410"/>
      <c r="HL286" s="410"/>
      <c r="HM286" s="410"/>
      <c r="HN286" s="410"/>
      <c r="HO286" s="410"/>
      <c r="HP286" s="410"/>
      <c r="HQ286" s="410"/>
      <c r="HR286" s="410"/>
      <c r="HS286" s="410"/>
      <c r="HT286" s="410"/>
      <c r="HU286" s="410"/>
      <c r="HV286" s="410"/>
      <c r="HW286" s="410"/>
      <c r="HX286" s="410"/>
      <c r="HY286" s="410"/>
      <c r="HZ286" s="410"/>
      <c r="IA286" s="410"/>
      <c r="IB286" s="410"/>
      <c r="IC286" s="410"/>
      <c r="ID286" s="410"/>
      <c r="IE286" s="410"/>
      <c r="IF286" s="410"/>
      <c r="IG286" s="410"/>
      <c r="IH286" s="410"/>
      <c r="II286" s="410"/>
      <c r="IJ286" s="410"/>
      <c r="IK286" s="410"/>
      <c r="IL286" s="410"/>
      <c r="IM286" s="410"/>
    </row>
    <row r="287" spans="1:247" s="415" customFormat="1" ht="42" customHeight="1" x14ac:dyDescent="0.25">
      <c r="A287" s="99">
        <v>1</v>
      </c>
      <c r="B287" s="57" t="s">
        <v>81</v>
      </c>
      <c r="C287" s="459">
        <f t="shared" si="111"/>
        <v>6200</v>
      </c>
      <c r="D287" s="459">
        <f t="shared" si="111"/>
        <v>2583</v>
      </c>
      <c r="E287" s="459">
        <f t="shared" si="111"/>
        <v>2585</v>
      </c>
      <c r="F287" s="459">
        <f t="shared" si="111"/>
        <v>100.07742934572204</v>
      </c>
      <c r="G287" s="460">
        <f t="shared" si="111"/>
        <v>17069.653999999999</v>
      </c>
      <c r="H287" s="460">
        <f t="shared" si="111"/>
        <v>7112.36</v>
      </c>
      <c r="I287" s="460">
        <f t="shared" si="111"/>
        <v>7013.4641500000007</v>
      </c>
      <c r="J287" s="460">
        <f t="shared" si="111"/>
        <v>98.609521312194559</v>
      </c>
      <c r="K287" s="410"/>
      <c r="L287" s="410"/>
      <c r="M287" s="410"/>
      <c r="N287" s="410"/>
      <c r="O287" s="410"/>
      <c r="P287" s="410"/>
      <c r="Q287" s="410"/>
      <c r="R287" s="410"/>
      <c r="S287" s="410"/>
      <c r="T287" s="410"/>
      <c r="U287" s="410"/>
      <c r="V287" s="410"/>
      <c r="W287" s="410"/>
      <c r="X287" s="410"/>
      <c r="Y287" s="410"/>
      <c r="Z287" s="410"/>
      <c r="AA287" s="410"/>
      <c r="AB287" s="410"/>
      <c r="AC287" s="410"/>
      <c r="AD287" s="410"/>
      <c r="AE287" s="410"/>
      <c r="AF287" s="410"/>
      <c r="AG287" s="410"/>
      <c r="AH287" s="410"/>
      <c r="AI287" s="410"/>
      <c r="AJ287" s="410"/>
      <c r="AK287" s="410"/>
      <c r="AL287" s="410"/>
      <c r="AM287" s="410"/>
      <c r="AN287" s="410"/>
      <c r="AO287" s="410"/>
      <c r="AP287" s="410"/>
      <c r="AQ287" s="410"/>
      <c r="AR287" s="410"/>
      <c r="AS287" s="410"/>
      <c r="AT287" s="410"/>
      <c r="AU287" s="410"/>
      <c r="AV287" s="410"/>
      <c r="AW287" s="410"/>
      <c r="AX287" s="410"/>
      <c r="AY287" s="410"/>
      <c r="AZ287" s="410"/>
      <c r="BA287" s="410"/>
      <c r="BB287" s="410"/>
      <c r="BC287" s="410"/>
      <c r="BD287" s="410"/>
      <c r="BE287" s="410"/>
      <c r="BF287" s="410"/>
      <c r="BG287" s="410"/>
      <c r="BH287" s="410"/>
      <c r="BI287" s="410"/>
      <c r="BJ287" s="410"/>
      <c r="BK287" s="410"/>
      <c r="BL287" s="410"/>
      <c r="BM287" s="410"/>
      <c r="BN287" s="410"/>
      <c r="BO287" s="410"/>
      <c r="BP287" s="410"/>
      <c r="BQ287" s="410"/>
      <c r="BR287" s="410"/>
      <c r="BS287" s="410"/>
      <c r="BT287" s="410"/>
      <c r="BU287" s="410"/>
      <c r="BV287" s="410"/>
      <c r="BW287" s="410"/>
      <c r="BX287" s="410"/>
      <c r="BY287" s="410"/>
      <c r="BZ287" s="410"/>
      <c r="CA287" s="410"/>
      <c r="CB287" s="410"/>
      <c r="CC287" s="410"/>
      <c r="CD287" s="410"/>
      <c r="CE287" s="410"/>
      <c r="CF287" s="410"/>
      <c r="CG287" s="410"/>
      <c r="CH287" s="410"/>
      <c r="CI287" s="410"/>
      <c r="CJ287" s="410"/>
      <c r="CK287" s="410"/>
      <c r="CL287" s="410"/>
      <c r="CM287" s="410"/>
      <c r="CN287" s="410"/>
      <c r="CO287" s="410"/>
      <c r="CP287" s="410"/>
      <c r="CQ287" s="410"/>
      <c r="CR287" s="410"/>
      <c r="CS287" s="410"/>
      <c r="CT287" s="410"/>
      <c r="CU287" s="410"/>
      <c r="CV287" s="410"/>
      <c r="CW287" s="410"/>
      <c r="CX287" s="410"/>
      <c r="CY287" s="410"/>
      <c r="CZ287" s="410"/>
      <c r="DA287" s="410"/>
      <c r="DB287" s="410"/>
      <c r="DC287" s="410"/>
      <c r="DD287" s="410"/>
      <c r="DE287" s="410"/>
      <c r="DF287" s="410"/>
      <c r="DG287" s="410"/>
      <c r="DH287" s="410"/>
      <c r="DI287" s="410"/>
      <c r="DJ287" s="410"/>
      <c r="DK287" s="410"/>
      <c r="DL287" s="410"/>
      <c r="DM287" s="410"/>
      <c r="DN287" s="410"/>
      <c r="DO287" s="410"/>
      <c r="DP287" s="410"/>
      <c r="DQ287" s="410"/>
      <c r="DR287" s="410"/>
      <c r="DS287" s="410"/>
      <c r="DT287" s="410"/>
      <c r="DU287" s="410"/>
      <c r="DV287" s="410"/>
      <c r="DW287" s="410"/>
      <c r="DX287" s="410"/>
      <c r="DY287" s="410"/>
      <c r="DZ287" s="410"/>
      <c r="EA287" s="410"/>
      <c r="EB287" s="410"/>
      <c r="EC287" s="410"/>
      <c r="ED287" s="410"/>
      <c r="EE287" s="410"/>
      <c r="EF287" s="410"/>
      <c r="EG287" s="410"/>
      <c r="EH287" s="410"/>
      <c r="EI287" s="410"/>
      <c r="EJ287" s="410"/>
      <c r="EK287" s="410"/>
      <c r="EL287" s="410"/>
      <c r="EM287" s="410"/>
      <c r="EN287" s="410"/>
      <c r="EO287" s="410"/>
      <c r="EP287" s="410"/>
      <c r="EQ287" s="410"/>
      <c r="ER287" s="410"/>
      <c r="ES287" s="410"/>
      <c r="ET287" s="410"/>
      <c r="EU287" s="410"/>
      <c r="EV287" s="410"/>
      <c r="EW287" s="410"/>
      <c r="EX287" s="410"/>
      <c r="EY287" s="410"/>
      <c r="EZ287" s="410"/>
      <c r="FA287" s="410"/>
      <c r="FB287" s="410"/>
      <c r="FC287" s="410"/>
      <c r="FD287" s="410"/>
      <c r="FE287" s="410"/>
      <c r="FF287" s="410"/>
      <c r="FG287" s="410"/>
      <c r="FH287" s="410"/>
      <c r="FI287" s="410"/>
      <c r="FJ287" s="410"/>
      <c r="FK287" s="410"/>
      <c r="FL287" s="410"/>
      <c r="FM287" s="410"/>
      <c r="FN287" s="410"/>
      <c r="FO287" s="410"/>
      <c r="FP287" s="410"/>
      <c r="FQ287" s="410"/>
      <c r="FR287" s="410"/>
      <c r="FS287" s="410"/>
      <c r="FT287" s="410"/>
      <c r="FU287" s="410"/>
      <c r="FV287" s="410"/>
      <c r="FW287" s="410"/>
      <c r="FX287" s="410"/>
      <c r="FY287" s="410"/>
      <c r="FZ287" s="410"/>
      <c r="GA287" s="410"/>
      <c r="GB287" s="410"/>
      <c r="GC287" s="410"/>
      <c r="GD287" s="410"/>
      <c r="GE287" s="410"/>
      <c r="GF287" s="410"/>
      <c r="GG287" s="410"/>
      <c r="GH287" s="410"/>
      <c r="GI287" s="410"/>
      <c r="GJ287" s="410"/>
      <c r="GK287" s="410"/>
      <c r="GL287" s="410"/>
      <c r="GM287" s="410"/>
      <c r="GN287" s="410"/>
      <c r="GO287" s="410"/>
      <c r="GP287" s="410"/>
      <c r="GQ287" s="410"/>
      <c r="GR287" s="410"/>
      <c r="GS287" s="410"/>
      <c r="GT287" s="410"/>
      <c r="GU287" s="410"/>
      <c r="GV287" s="410"/>
      <c r="GW287" s="410"/>
      <c r="GX287" s="410"/>
      <c r="GY287" s="410"/>
      <c r="GZ287" s="410"/>
      <c r="HA287" s="410"/>
      <c r="HB287" s="410"/>
      <c r="HC287" s="410"/>
      <c r="HD287" s="410"/>
      <c r="HE287" s="410"/>
      <c r="HF287" s="410"/>
      <c r="HG287" s="410"/>
      <c r="HH287" s="410"/>
      <c r="HI287" s="410"/>
      <c r="HJ287" s="410"/>
      <c r="HK287" s="410"/>
      <c r="HL287" s="410"/>
      <c r="HM287" s="410"/>
      <c r="HN287" s="410"/>
      <c r="HO287" s="410"/>
      <c r="HP287" s="410"/>
      <c r="HQ287" s="410"/>
      <c r="HR287" s="410"/>
      <c r="HS287" s="410"/>
      <c r="HT287" s="410"/>
      <c r="HU287" s="410"/>
      <c r="HV287" s="410"/>
      <c r="HW287" s="410"/>
      <c r="HX287" s="410"/>
      <c r="HY287" s="410"/>
      <c r="HZ287" s="410"/>
      <c r="IA287" s="410"/>
      <c r="IB287" s="410"/>
      <c r="IC287" s="410"/>
      <c r="ID287" s="410"/>
      <c r="IE287" s="410"/>
      <c r="IF287" s="410"/>
      <c r="IG287" s="410"/>
      <c r="IH287" s="410"/>
      <c r="II287" s="410"/>
      <c r="IJ287" s="410"/>
      <c r="IK287" s="410"/>
      <c r="IL287" s="410"/>
      <c r="IM287" s="410"/>
    </row>
    <row r="288" spans="1:247" s="415" customFormat="1" ht="42" customHeight="1" x14ac:dyDescent="0.25">
      <c r="A288" s="99">
        <v>1</v>
      </c>
      <c r="B288" s="57" t="s">
        <v>109</v>
      </c>
      <c r="C288" s="459">
        <f t="shared" si="111"/>
        <v>5374</v>
      </c>
      <c r="D288" s="459">
        <f t="shared" si="111"/>
        <v>2239</v>
      </c>
      <c r="E288" s="459">
        <f t="shared" si="111"/>
        <v>831</v>
      </c>
      <c r="F288" s="459">
        <f t="shared" si="111"/>
        <v>37.114783385439928</v>
      </c>
      <c r="G288" s="460">
        <f t="shared" si="111"/>
        <v>5267.3798399999996</v>
      </c>
      <c r="H288" s="460">
        <f t="shared" si="111"/>
        <v>2194.7399999999998</v>
      </c>
      <c r="I288" s="460">
        <f t="shared" si="111"/>
        <v>864.25969000000009</v>
      </c>
      <c r="J288" s="460">
        <f t="shared" si="111"/>
        <v>39.378682212927281</v>
      </c>
      <c r="K288" s="410"/>
      <c r="L288" s="410"/>
      <c r="M288" s="410"/>
      <c r="N288" s="410"/>
      <c r="O288" s="410"/>
      <c r="P288" s="410"/>
      <c r="Q288" s="410"/>
      <c r="R288" s="410"/>
      <c r="S288" s="410"/>
      <c r="T288" s="410"/>
      <c r="U288" s="410"/>
      <c r="V288" s="410"/>
      <c r="W288" s="410"/>
      <c r="X288" s="410"/>
      <c r="Y288" s="410"/>
      <c r="Z288" s="410"/>
      <c r="AA288" s="410"/>
      <c r="AB288" s="410"/>
      <c r="AC288" s="410"/>
      <c r="AD288" s="410"/>
      <c r="AE288" s="410"/>
      <c r="AF288" s="410"/>
      <c r="AG288" s="410"/>
      <c r="AH288" s="410"/>
      <c r="AI288" s="410"/>
      <c r="AJ288" s="410"/>
      <c r="AK288" s="410"/>
      <c r="AL288" s="410"/>
      <c r="AM288" s="410"/>
      <c r="AN288" s="410"/>
      <c r="AO288" s="410"/>
      <c r="AP288" s="410"/>
      <c r="AQ288" s="410"/>
      <c r="AR288" s="410"/>
      <c r="AS288" s="410"/>
      <c r="AT288" s="410"/>
      <c r="AU288" s="410"/>
      <c r="AV288" s="410"/>
      <c r="AW288" s="410"/>
      <c r="AX288" s="410"/>
      <c r="AY288" s="410"/>
      <c r="AZ288" s="410"/>
      <c r="BA288" s="410"/>
      <c r="BB288" s="410"/>
      <c r="BC288" s="410"/>
      <c r="BD288" s="410"/>
      <c r="BE288" s="410"/>
      <c r="BF288" s="410"/>
      <c r="BG288" s="410"/>
      <c r="BH288" s="410"/>
      <c r="BI288" s="410"/>
      <c r="BJ288" s="410"/>
      <c r="BK288" s="410"/>
      <c r="BL288" s="410"/>
      <c r="BM288" s="410"/>
      <c r="BN288" s="410"/>
      <c r="BO288" s="410"/>
      <c r="BP288" s="410"/>
      <c r="BQ288" s="410"/>
      <c r="BR288" s="410"/>
      <c r="BS288" s="410"/>
      <c r="BT288" s="410"/>
      <c r="BU288" s="410"/>
      <c r="BV288" s="410"/>
      <c r="BW288" s="410"/>
      <c r="BX288" s="410"/>
      <c r="BY288" s="410"/>
      <c r="BZ288" s="410"/>
      <c r="CA288" s="410"/>
      <c r="CB288" s="410"/>
      <c r="CC288" s="410"/>
      <c r="CD288" s="410"/>
      <c r="CE288" s="410"/>
      <c r="CF288" s="410"/>
      <c r="CG288" s="410"/>
      <c r="CH288" s="410"/>
      <c r="CI288" s="410"/>
      <c r="CJ288" s="410"/>
      <c r="CK288" s="410"/>
      <c r="CL288" s="410"/>
      <c r="CM288" s="410"/>
      <c r="CN288" s="410"/>
      <c r="CO288" s="410"/>
      <c r="CP288" s="410"/>
      <c r="CQ288" s="410"/>
      <c r="CR288" s="410"/>
      <c r="CS288" s="410"/>
      <c r="CT288" s="410"/>
      <c r="CU288" s="410"/>
      <c r="CV288" s="410"/>
      <c r="CW288" s="410"/>
      <c r="CX288" s="410"/>
      <c r="CY288" s="410"/>
      <c r="CZ288" s="410"/>
      <c r="DA288" s="410"/>
      <c r="DB288" s="410"/>
      <c r="DC288" s="410"/>
      <c r="DD288" s="410"/>
      <c r="DE288" s="410"/>
      <c r="DF288" s="410"/>
      <c r="DG288" s="410"/>
      <c r="DH288" s="410"/>
      <c r="DI288" s="410"/>
      <c r="DJ288" s="410"/>
      <c r="DK288" s="410"/>
      <c r="DL288" s="410"/>
      <c r="DM288" s="410"/>
      <c r="DN288" s="410"/>
      <c r="DO288" s="410"/>
      <c r="DP288" s="410"/>
      <c r="DQ288" s="410"/>
      <c r="DR288" s="410"/>
      <c r="DS288" s="410"/>
      <c r="DT288" s="410"/>
      <c r="DU288" s="410"/>
      <c r="DV288" s="410"/>
      <c r="DW288" s="410"/>
      <c r="DX288" s="410"/>
      <c r="DY288" s="410"/>
      <c r="DZ288" s="410"/>
      <c r="EA288" s="410"/>
      <c r="EB288" s="410"/>
      <c r="EC288" s="410"/>
      <c r="ED288" s="410"/>
      <c r="EE288" s="410"/>
      <c r="EF288" s="410"/>
      <c r="EG288" s="410"/>
      <c r="EH288" s="410"/>
      <c r="EI288" s="410"/>
      <c r="EJ288" s="410"/>
      <c r="EK288" s="410"/>
      <c r="EL288" s="410"/>
      <c r="EM288" s="410"/>
      <c r="EN288" s="410"/>
      <c r="EO288" s="410"/>
      <c r="EP288" s="410"/>
      <c r="EQ288" s="410"/>
      <c r="ER288" s="410"/>
      <c r="ES288" s="410"/>
      <c r="ET288" s="410"/>
      <c r="EU288" s="410"/>
      <c r="EV288" s="410"/>
      <c r="EW288" s="410"/>
      <c r="EX288" s="410"/>
      <c r="EY288" s="410"/>
      <c r="EZ288" s="410"/>
      <c r="FA288" s="410"/>
      <c r="FB288" s="410"/>
      <c r="FC288" s="410"/>
      <c r="FD288" s="410"/>
      <c r="FE288" s="410"/>
      <c r="FF288" s="410"/>
      <c r="FG288" s="410"/>
      <c r="FH288" s="410"/>
      <c r="FI288" s="410"/>
      <c r="FJ288" s="410"/>
      <c r="FK288" s="410"/>
      <c r="FL288" s="410"/>
      <c r="FM288" s="410"/>
      <c r="FN288" s="410"/>
      <c r="FO288" s="410"/>
      <c r="FP288" s="410"/>
      <c r="FQ288" s="410"/>
      <c r="FR288" s="410"/>
      <c r="FS288" s="410"/>
      <c r="FT288" s="410"/>
      <c r="FU288" s="410"/>
      <c r="FV288" s="410"/>
      <c r="FW288" s="410"/>
      <c r="FX288" s="410"/>
      <c r="FY288" s="410"/>
      <c r="FZ288" s="410"/>
      <c r="GA288" s="410"/>
      <c r="GB288" s="410"/>
      <c r="GC288" s="410"/>
      <c r="GD288" s="410"/>
      <c r="GE288" s="410"/>
      <c r="GF288" s="410"/>
      <c r="GG288" s="410"/>
      <c r="GH288" s="410"/>
      <c r="GI288" s="410"/>
      <c r="GJ288" s="410"/>
      <c r="GK288" s="410"/>
      <c r="GL288" s="410"/>
      <c r="GM288" s="410"/>
      <c r="GN288" s="410"/>
      <c r="GO288" s="410"/>
      <c r="GP288" s="410"/>
      <c r="GQ288" s="410"/>
      <c r="GR288" s="410"/>
      <c r="GS288" s="410"/>
      <c r="GT288" s="410"/>
      <c r="GU288" s="410"/>
      <c r="GV288" s="410"/>
      <c r="GW288" s="410"/>
      <c r="GX288" s="410"/>
      <c r="GY288" s="410"/>
      <c r="GZ288" s="410"/>
      <c r="HA288" s="410"/>
      <c r="HB288" s="410"/>
      <c r="HC288" s="410"/>
      <c r="HD288" s="410"/>
      <c r="HE288" s="410"/>
      <c r="HF288" s="410"/>
      <c r="HG288" s="410"/>
      <c r="HH288" s="410"/>
      <c r="HI288" s="410"/>
      <c r="HJ288" s="410"/>
      <c r="HK288" s="410"/>
      <c r="HL288" s="410"/>
      <c r="HM288" s="410"/>
      <c r="HN288" s="410"/>
      <c r="HO288" s="410"/>
      <c r="HP288" s="410"/>
      <c r="HQ288" s="410"/>
      <c r="HR288" s="410"/>
      <c r="HS288" s="410"/>
      <c r="HT288" s="410"/>
      <c r="HU288" s="410"/>
      <c r="HV288" s="410"/>
      <c r="HW288" s="410"/>
      <c r="HX288" s="410"/>
      <c r="HY288" s="410"/>
      <c r="HZ288" s="410"/>
      <c r="IA288" s="410"/>
      <c r="IB288" s="410"/>
      <c r="IC288" s="410"/>
      <c r="ID288" s="410"/>
      <c r="IE288" s="410"/>
      <c r="IF288" s="410"/>
      <c r="IG288" s="410"/>
      <c r="IH288" s="410"/>
      <c r="II288" s="410"/>
      <c r="IJ288" s="410"/>
      <c r="IK288" s="410"/>
      <c r="IL288" s="410"/>
      <c r="IM288" s="410"/>
    </row>
    <row r="289" spans="1:247" s="415" customFormat="1" ht="30" x14ac:dyDescent="0.25">
      <c r="A289" s="99"/>
      <c r="B289" s="57" t="s">
        <v>123</v>
      </c>
      <c r="C289" s="459">
        <f t="shared" si="111"/>
        <v>24500</v>
      </c>
      <c r="D289" s="459">
        <f t="shared" si="111"/>
        <v>10208</v>
      </c>
      <c r="E289" s="459">
        <f t="shared" si="111"/>
        <v>10445</v>
      </c>
      <c r="F289" s="459">
        <f t="shared" si="111"/>
        <v>102.32170846394983</v>
      </c>
      <c r="G289" s="460">
        <f t="shared" si="111"/>
        <v>23843.89</v>
      </c>
      <c r="H289" s="460">
        <f t="shared" si="111"/>
        <v>9934.9500000000007</v>
      </c>
      <c r="I289" s="460">
        <f t="shared" si="111"/>
        <v>10089.24193</v>
      </c>
      <c r="J289" s="460">
        <f t="shared" si="111"/>
        <v>101.55302170619882</v>
      </c>
      <c r="K289" s="410"/>
      <c r="L289" s="410"/>
      <c r="M289" s="410"/>
      <c r="N289" s="410"/>
      <c r="O289" s="410"/>
      <c r="P289" s="410"/>
      <c r="Q289" s="410"/>
      <c r="R289" s="410"/>
      <c r="S289" s="410"/>
      <c r="T289" s="410"/>
      <c r="U289" s="410"/>
      <c r="V289" s="410"/>
      <c r="W289" s="410"/>
      <c r="X289" s="410"/>
      <c r="Y289" s="410"/>
      <c r="Z289" s="410"/>
      <c r="AA289" s="410"/>
      <c r="AB289" s="410"/>
      <c r="AC289" s="410"/>
      <c r="AD289" s="410"/>
      <c r="AE289" s="410"/>
      <c r="AF289" s="410"/>
      <c r="AG289" s="410"/>
      <c r="AH289" s="410"/>
      <c r="AI289" s="410"/>
      <c r="AJ289" s="410"/>
      <c r="AK289" s="410"/>
      <c r="AL289" s="410"/>
      <c r="AM289" s="410"/>
      <c r="AN289" s="410"/>
      <c r="AO289" s="410"/>
      <c r="AP289" s="410"/>
      <c r="AQ289" s="410"/>
      <c r="AR289" s="410"/>
      <c r="AS289" s="410"/>
      <c r="AT289" s="410"/>
      <c r="AU289" s="410"/>
      <c r="AV289" s="410"/>
      <c r="AW289" s="410"/>
      <c r="AX289" s="410"/>
      <c r="AY289" s="410"/>
      <c r="AZ289" s="410"/>
      <c r="BA289" s="410"/>
      <c r="BB289" s="410"/>
      <c r="BC289" s="410"/>
      <c r="BD289" s="410"/>
      <c r="BE289" s="410"/>
      <c r="BF289" s="410"/>
      <c r="BG289" s="410"/>
      <c r="BH289" s="410"/>
      <c r="BI289" s="410"/>
      <c r="BJ289" s="410"/>
      <c r="BK289" s="410"/>
      <c r="BL289" s="410"/>
      <c r="BM289" s="410"/>
      <c r="BN289" s="410"/>
      <c r="BO289" s="410"/>
      <c r="BP289" s="410"/>
      <c r="BQ289" s="410"/>
      <c r="BR289" s="410"/>
      <c r="BS289" s="410"/>
      <c r="BT289" s="410"/>
      <c r="BU289" s="410"/>
      <c r="BV289" s="410"/>
      <c r="BW289" s="410"/>
      <c r="BX289" s="410"/>
      <c r="BY289" s="410"/>
      <c r="BZ289" s="410"/>
      <c r="CA289" s="410"/>
      <c r="CB289" s="410"/>
      <c r="CC289" s="410"/>
      <c r="CD289" s="410"/>
      <c r="CE289" s="410"/>
      <c r="CF289" s="410"/>
      <c r="CG289" s="410"/>
      <c r="CH289" s="410"/>
      <c r="CI289" s="410"/>
      <c r="CJ289" s="410"/>
      <c r="CK289" s="410"/>
      <c r="CL289" s="410"/>
      <c r="CM289" s="410"/>
      <c r="CN289" s="410"/>
      <c r="CO289" s="410"/>
      <c r="CP289" s="410"/>
      <c r="CQ289" s="410"/>
      <c r="CR289" s="410"/>
      <c r="CS289" s="410"/>
      <c r="CT289" s="410"/>
      <c r="CU289" s="410"/>
      <c r="CV289" s="410"/>
      <c r="CW289" s="410"/>
      <c r="CX289" s="410"/>
      <c r="CY289" s="410"/>
      <c r="CZ289" s="410"/>
      <c r="DA289" s="410"/>
      <c r="DB289" s="410"/>
      <c r="DC289" s="410"/>
      <c r="DD289" s="410"/>
      <c r="DE289" s="410"/>
      <c r="DF289" s="410"/>
      <c r="DG289" s="410"/>
      <c r="DH289" s="410"/>
      <c r="DI289" s="410"/>
      <c r="DJ289" s="410"/>
      <c r="DK289" s="410"/>
      <c r="DL289" s="410"/>
      <c r="DM289" s="410"/>
      <c r="DN289" s="410"/>
      <c r="DO289" s="410"/>
      <c r="DP289" s="410"/>
      <c r="DQ289" s="410"/>
      <c r="DR289" s="410"/>
      <c r="DS289" s="410"/>
      <c r="DT289" s="410"/>
      <c r="DU289" s="410"/>
      <c r="DV289" s="410"/>
      <c r="DW289" s="410"/>
      <c r="DX289" s="410"/>
      <c r="DY289" s="410"/>
      <c r="DZ289" s="410"/>
      <c r="EA289" s="410"/>
      <c r="EB289" s="410"/>
      <c r="EC289" s="410"/>
      <c r="ED289" s="410"/>
      <c r="EE289" s="410"/>
      <c r="EF289" s="410"/>
      <c r="EG289" s="410"/>
      <c r="EH289" s="410"/>
      <c r="EI289" s="410"/>
      <c r="EJ289" s="410"/>
      <c r="EK289" s="410"/>
      <c r="EL289" s="410"/>
      <c r="EM289" s="410"/>
      <c r="EN289" s="410"/>
      <c r="EO289" s="410"/>
      <c r="EP289" s="410"/>
      <c r="EQ289" s="410"/>
      <c r="ER289" s="410"/>
      <c r="ES289" s="410"/>
      <c r="ET289" s="410"/>
      <c r="EU289" s="410"/>
      <c r="EV289" s="410"/>
      <c r="EW289" s="410"/>
      <c r="EX289" s="410"/>
      <c r="EY289" s="410"/>
      <c r="EZ289" s="410"/>
      <c r="FA289" s="410"/>
      <c r="FB289" s="410"/>
      <c r="FC289" s="410"/>
      <c r="FD289" s="410"/>
      <c r="FE289" s="410"/>
      <c r="FF289" s="410"/>
      <c r="FG289" s="410"/>
      <c r="FH289" s="410"/>
      <c r="FI289" s="410"/>
      <c r="FJ289" s="410"/>
      <c r="FK289" s="410"/>
      <c r="FL289" s="410"/>
      <c r="FM289" s="410"/>
      <c r="FN289" s="410"/>
      <c r="FO289" s="410"/>
      <c r="FP289" s="410"/>
      <c r="FQ289" s="410"/>
      <c r="FR289" s="410"/>
      <c r="FS289" s="410"/>
      <c r="FT289" s="410"/>
      <c r="FU289" s="410"/>
      <c r="FV289" s="410"/>
      <c r="FW289" s="410"/>
      <c r="FX289" s="410"/>
      <c r="FY289" s="410"/>
      <c r="FZ289" s="410"/>
      <c r="GA289" s="410"/>
      <c r="GB289" s="410"/>
      <c r="GC289" s="410"/>
      <c r="GD289" s="410"/>
      <c r="GE289" s="410"/>
      <c r="GF289" s="410"/>
      <c r="GG289" s="410"/>
      <c r="GH289" s="410"/>
      <c r="GI289" s="410"/>
      <c r="GJ289" s="410"/>
      <c r="GK289" s="410"/>
      <c r="GL289" s="410"/>
      <c r="GM289" s="410"/>
      <c r="GN289" s="410"/>
      <c r="GO289" s="410"/>
      <c r="GP289" s="410"/>
      <c r="GQ289" s="410"/>
      <c r="GR289" s="410"/>
      <c r="GS289" s="410"/>
      <c r="GT289" s="410"/>
      <c r="GU289" s="410"/>
      <c r="GV289" s="410"/>
      <c r="GW289" s="410"/>
      <c r="GX289" s="410"/>
      <c r="GY289" s="410"/>
      <c r="GZ289" s="410"/>
      <c r="HA289" s="410"/>
      <c r="HB289" s="410"/>
      <c r="HC289" s="410"/>
      <c r="HD289" s="410"/>
      <c r="HE289" s="410"/>
      <c r="HF289" s="410"/>
      <c r="HG289" s="410"/>
      <c r="HH289" s="410"/>
      <c r="HI289" s="410"/>
      <c r="HJ289" s="410"/>
      <c r="HK289" s="410"/>
      <c r="HL289" s="410"/>
      <c r="HM289" s="410"/>
      <c r="HN289" s="410"/>
      <c r="HO289" s="410"/>
      <c r="HP289" s="410"/>
      <c r="HQ289" s="410"/>
      <c r="HR289" s="410"/>
      <c r="HS289" s="410"/>
      <c r="HT289" s="410"/>
      <c r="HU289" s="410"/>
      <c r="HV289" s="410"/>
      <c r="HW289" s="410"/>
      <c r="HX289" s="410"/>
      <c r="HY289" s="410"/>
      <c r="HZ289" s="410"/>
      <c r="IA289" s="410"/>
      <c r="IB289" s="410"/>
      <c r="IC289" s="410"/>
      <c r="ID289" s="410"/>
      <c r="IE289" s="410"/>
      <c r="IF289" s="410"/>
      <c r="IG289" s="410"/>
      <c r="IH289" s="410"/>
      <c r="II289" s="410"/>
      <c r="IJ289" s="410"/>
      <c r="IK289" s="410"/>
      <c r="IL289" s="410"/>
      <c r="IM289" s="410"/>
    </row>
    <row r="290" spans="1:247" s="415" customFormat="1" ht="30" x14ac:dyDescent="0.25">
      <c r="A290" s="99"/>
      <c r="B290" s="57" t="s">
        <v>124</v>
      </c>
      <c r="C290" s="459">
        <f t="shared" si="111"/>
        <v>2200</v>
      </c>
      <c r="D290" s="459">
        <f t="shared" si="111"/>
        <v>917</v>
      </c>
      <c r="E290" s="459">
        <f t="shared" si="111"/>
        <v>309</v>
      </c>
      <c r="F290" s="459">
        <f t="shared" si="111"/>
        <v>33.696837513631408</v>
      </c>
      <c r="G290" s="460">
        <f t="shared" si="111"/>
        <v>2141.0839999999998</v>
      </c>
      <c r="H290" s="460">
        <f t="shared" si="111"/>
        <v>892.12</v>
      </c>
      <c r="I290" s="460">
        <f t="shared" si="111"/>
        <v>299.74019999999996</v>
      </c>
      <c r="J290" s="460">
        <f t="shared" si="111"/>
        <v>33.598641438371516</v>
      </c>
      <c r="K290" s="410"/>
      <c r="L290" s="410"/>
      <c r="M290" s="410"/>
      <c r="N290" s="410"/>
      <c r="O290" s="410"/>
      <c r="P290" s="410"/>
      <c r="Q290" s="410"/>
      <c r="R290" s="410"/>
      <c r="S290" s="410"/>
      <c r="T290" s="410"/>
      <c r="U290" s="410"/>
      <c r="V290" s="410"/>
      <c r="W290" s="410"/>
      <c r="X290" s="410"/>
      <c r="Y290" s="410"/>
      <c r="Z290" s="410"/>
      <c r="AA290" s="410"/>
      <c r="AB290" s="410"/>
      <c r="AC290" s="410"/>
      <c r="AD290" s="410"/>
      <c r="AE290" s="410"/>
      <c r="AF290" s="410"/>
      <c r="AG290" s="410"/>
      <c r="AH290" s="410"/>
      <c r="AI290" s="410"/>
      <c r="AJ290" s="410"/>
      <c r="AK290" s="410"/>
      <c r="AL290" s="410"/>
      <c r="AM290" s="410"/>
      <c r="AN290" s="410"/>
      <c r="AO290" s="410"/>
      <c r="AP290" s="410"/>
      <c r="AQ290" s="410"/>
      <c r="AR290" s="410"/>
      <c r="AS290" s="410"/>
      <c r="AT290" s="410"/>
      <c r="AU290" s="410"/>
      <c r="AV290" s="410"/>
      <c r="AW290" s="410"/>
      <c r="AX290" s="410"/>
      <c r="AY290" s="410"/>
      <c r="AZ290" s="410"/>
      <c r="BA290" s="410"/>
      <c r="BB290" s="410"/>
      <c r="BC290" s="410"/>
      <c r="BD290" s="410"/>
      <c r="BE290" s="410"/>
      <c r="BF290" s="410"/>
      <c r="BG290" s="410"/>
      <c r="BH290" s="410"/>
      <c r="BI290" s="410"/>
      <c r="BJ290" s="410"/>
      <c r="BK290" s="410"/>
      <c r="BL290" s="410"/>
      <c r="BM290" s="410"/>
      <c r="BN290" s="410"/>
      <c r="BO290" s="410"/>
      <c r="BP290" s="410"/>
      <c r="BQ290" s="410"/>
      <c r="BR290" s="410"/>
      <c r="BS290" s="410"/>
      <c r="BT290" s="410"/>
      <c r="BU290" s="410"/>
      <c r="BV290" s="410"/>
      <c r="BW290" s="410"/>
      <c r="BX290" s="410"/>
      <c r="BY290" s="410"/>
      <c r="BZ290" s="410"/>
      <c r="CA290" s="410"/>
      <c r="CB290" s="410"/>
      <c r="CC290" s="410"/>
      <c r="CD290" s="410"/>
      <c r="CE290" s="410"/>
      <c r="CF290" s="410"/>
      <c r="CG290" s="410"/>
      <c r="CH290" s="410"/>
      <c r="CI290" s="410"/>
      <c r="CJ290" s="410"/>
      <c r="CK290" s="410"/>
      <c r="CL290" s="410"/>
      <c r="CM290" s="410"/>
      <c r="CN290" s="410"/>
      <c r="CO290" s="410"/>
      <c r="CP290" s="410"/>
      <c r="CQ290" s="410"/>
      <c r="CR290" s="410"/>
      <c r="CS290" s="410"/>
      <c r="CT290" s="410"/>
      <c r="CU290" s="410"/>
      <c r="CV290" s="410"/>
      <c r="CW290" s="410"/>
      <c r="CX290" s="410"/>
      <c r="CY290" s="410"/>
      <c r="CZ290" s="410"/>
      <c r="DA290" s="410"/>
      <c r="DB290" s="410"/>
      <c r="DC290" s="410"/>
      <c r="DD290" s="410"/>
      <c r="DE290" s="410"/>
      <c r="DF290" s="410"/>
      <c r="DG290" s="410"/>
      <c r="DH290" s="410"/>
      <c r="DI290" s="410"/>
      <c r="DJ290" s="410"/>
      <c r="DK290" s="410"/>
      <c r="DL290" s="410"/>
      <c r="DM290" s="410"/>
      <c r="DN290" s="410"/>
      <c r="DO290" s="410"/>
      <c r="DP290" s="410"/>
      <c r="DQ290" s="410"/>
      <c r="DR290" s="410"/>
      <c r="DS290" s="410"/>
      <c r="DT290" s="410"/>
      <c r="DU290" s="410"/>
      <c r="DV290" s="410"/>
      <c r="DW290" s="410"/>
      <c r="DX290" s="410"/>
      <c r="DY290" s="410"/>
      <c r="DZ290" s="410"/>
      <c r="EA290" s="410"/>
      <c r="EB290" s="410"/>
      <c r="EC290" s="410"/>
      <c r="ED290" s="410"/>
      <c r="EE290" s="410"/>
      <c r="EF290" s="410"/>
      <c r="EG290" s="410"/>
      <c r="EH290" s="410"/>
      <c r="EI290" s="410"/>
      <c r="EJ290" s="410"/>
      <c r="EK290" s="410"/>
      <c r="EL290" s="410"/>
      <c r="EM290" s="410"/>
      <c r="EN290" s="410"/>
      <c r="EO290" s="410"/>
      <c r="EP290" s="410"/>
      <c r="EQ290" s="410"/>
      <c r="ER290" s="410"/>
      <c r="ES290" s="410"/>
      <c r="ET290" s="410"/>
      <c r="EU290" s="410"/>
      <c r="EV290" s="410"/>
      <c r="EW290" s="410"/>
      <c r="EX290" s="410"/>
      <c r="EY290" s="410"/>
      <c r="EZ290" s="410"/>
      <c r="FA290" s="410"/>
      <c r="FB290" s="410"/>
      <c r="FC290" s="410"/>
      <c r="FD290" s="410"/>
      <c r="FE290" s="410"/>
      <c r="FF290" s="410"/>
      <c r="FG290" s="410"/>
      <c r="FH290" s="410"/>
      <c r="FI290" s="410"/>
      <c r="FJ290" s="410"/>
      <c r="FK290" s="410"/>
      <c r="FL290" s="410"/>
      <c r="FM290" s="410"/>
      <c r="FN290" s="410"/>
      <c r="FO290" s="410"/>
      <c r="FP290" s="410"/>
      <c r="FQ290" s="410"/>
      <c r="FR290" s="410"/>
      <c r="FS290" s="410"/>
      <c r="FT290" s="410"/>
      <c r="FU290" s="410"/>
      <c r="FV290" s="410"/>
      <c r="FW290" s="410"/>
      <c r="FX290" s="410"/>
      <c r="FY290" s="410"/>
      <c r="FZ290" s="410"/>
      <c r="GA290" s="410"/>
      <c r="GB290" s="410"/>
      <c r="GC290" s="410"/>
      <c r="GD290" s="410"/>
      <c r="GE290" s="410"/>
      <c r="GF290" s="410"/>
      <c r="GG290" s="410"/>
      <c r="GH290" s="410"/>
      <c r="GI290" s="410"/>
      <c r="GJ290" s="410"/>
      <c r="GK290" s="410"/>
      <c r="GL290" s="410"/>
      <c r="GM290" s="410"/>
      <c r="GN290" s="410"/>
      <c r="GO290" s="410"/>
      <c r="GP290" s="410"/>
      <c r="GQ290" s="410"/>
      <c r="GR290" s="410"/>
      <c r="GS290" s="410"/>
      <c r="GT290" s="410"/>
      <c r="GU290" s="410"/>
      <c r="GV290" s="410"/>
      <c r="GW290" s="410"/>
      <c r="GX290" s="410"/>
      <c r="GY290" s="410"/>
      <c r="GZ290" s="410"/>
      <c r="HA290" s="410"/>
      <c r="HB290" s="410"/>
      <c r="HC290" s="410"/>
      <c r="HD290" s="410"/>
      <c r="HE290" s="410"/>
      <c r="HF290" s="410"/>
      <c r="HG290" s="410"/>
      <c r="HH290" s="410"/>
      <c r="HI290" s="410"/>
      <c r="HJ290" s="410"/>
      <c r="HK290" s="410"/>
      <c r="HL290" s="410"/>
      <c r="HM290" s="410"/>
      <c r="HN290" s="410"/>
      <c r="HO290" s="410"/>
      <c r="HP290" s="410"/>
      <c r="HQ290" s="410"/>
      <c r="HR290" s="410"/>
      <c r="HS290" s="410"/>
      <c r="HT290" s="410"/>
      <c r="HU290" s="410"/>
      <c r="HV290" s="410"/>
      <c r="HW290" s="410"/>
      <c r="HX290" s="410"/>
      <c r="HY290" s="410"/>
      <c r="HZ290" s="410"/>
      <c r="IA290" s="410"/>
      <c r="IB290" s="410"/>
      <c r="IC290" s="410"/>
      <c r="ID290" s="410"/>
      <c r="IE290" s="410"/>
      <c r="IF290" s="410"/>
      <c r="IG290" s="410"/>
      <c r="IH290" s="410"/>
      <c r="II290" s="410"/>
      <c r="IJ290" s="410"/>
      <c r="IK290" s="410"/>
      <c r="IL290" s="410"/>
      <c r="IM290" s="410"/>
    </row>
    <row r="291" spans="1:247" s="415" customFormat="1" x14ac:dyDescent="0.25">
      <c r="A291" s="99"/>
      <c r="B291" s="57" t="s">
        <v>125</v>
      </c>
      <c r="C291" s="459">
        <f t="shared" si="111"/>
        <v>0</v>
      </c>
      <c r="D291" s="459">
        <f t="shared" si="111"/>
        <v>0</v>
      </c>
      <c r="E291" s="459">
        <f t="shared" si="111"/>
        <v>0</v>
      </c>
      <c r="F291" s="459">
        <f t="shared" si="111"/>
        <v>0</v>
      </c>
      <c r="G291" s="460">
        <f t="shared" si="111"/>
        <v>0</v>
      </c>
      <c r="H291" s="460">
        <f t="shared" si="111"/>
        <v>0</v>
      </c>
      <c r="I291" s="460">
        <f t="shared" si="111"/>
        <v>0</v>
      </c>
      <c r="J291" s="460">
        <f t="shared" si="111"/>
        <v>0</v>
      </c>
      <c r="K291" s="410"/>
      <c r="L291" s="410"/>
      <c r="M291" s="410"/>
      <c r="N291" s="410"/>
      <c r="O291" s="410"/>
      <c r="P291" s="410"/>
      <c r="Q291" s="410"/>
      <c r="R291" s="410"/>
      <c r="S291" s="410"/>
      <c r="T291" s="410"/>
      <c r="U291" s="410"/>
      <c r="V291" s="410"/>
      <c r="W291" s="410"/>
      <c r="X291" s="410"/>
      <c r="Y291" s="410"/>
      <c r="Z291" s="410"/>
      <c r="AA291" s="410"/>
      <c r="AB291" s="410"/>
      <c r="AC291" s="410"/>
      <c r="AD291" s="410"/>
      <c r="AE291" s="410"/>
      <c r="AF291" s="410"/>
      <c r="AG291" s="410"/>
      <c r="AH291" s="410"/>
      <c r="AI291" s="410"/>
      <c r="AJ291" s="410"/>
      <c r="AK291" s="410"/>
      <c r="AL291" s="410"/>
      <c r="AM291" s="410"/>
      <c r="AN291" s="410"/>
      <c r="AO291" s="410"/>
      <c r="AP291" s="410"/>
      <c r="AQ291" s="410"/>
      <c r="AR291" s="410"/>
      <c r="AS291" s="410"/>
      <c r="AT291" s="410"/>
      <c r="AU291" s="410"/>
      <c r="AV291" s="410"/>
      <c r="AW291" s="410"/>
      <c r="AX291" s="410"/>
      <c r="AY291" s="410"/>
      <c r="AZ291" s="410"/>
      <c r="BA291" s="410"/>
      <c r="BB291" s="410"/>
      <c r="BC291" s="410"/>
      <c r="BD291" s="410"/>
      <c r="BE291" s="410"/>
      <c r="BF291" s="410"/>
      <c r="BG291" s="410"/>
      <c r="BH291" s="410"/>
      <c r="BI291" s="410"/>
      <c r="BJ291" s="410"/>
      <c r="BK291" s="410"/>
      <c r="BL291" s="410"/>
      <c r="BM291" s="410"/>
      <c r="BN291" s="410"/>
      <c r="BO291" s="410"/>
      <c r="BP291" s="410"/>
      <c r="BQ291" s="410"/>
      <c r="BR291" s="410"/>
      <c r="BS291" s="410"/>
      <c r="BT291" s="410"/>
      <c r="BU291" s="410"/>
      <c r="BV291" s="410"/>
      <c r="BW291" s="410"/>
      <c r="BX291" s="410"/>
      <c r="BY291" s="410"/>
      <c r="BZ291" s="410"/>
      <c r="CA291" s="410"/>
      <c r="CB291" s="410"/>
      <c r="CC291" s="410"/>
      <c r="CD291" s="410"/>
      <c r="CE291" s="410"/>
      <c r="CF291" s="410"/>
      <c r="CG291" s="410"/>
      <c r="CH291" s="410"/>
      <c r="CI291" s="410"/>
      <c r="CJ291" s="410"/>
      <c r="CK291" s="410"/>
      <c r="CL291" s="410"/>
      <c r="CM291" s="410"/>
      <c r="CN291" s="410"/>
      <c r="CO291" s="410"/>
      <c r="CP291" s="410"/>
      <c r="CQ291" s="410"/>
      <c r="CR291" s="410"/>
      <c r="CS291" s="410"/>
      <c r="CT291" s="410"/>
      <c r="CU291" s="410"/>
      <c r="CV291" s="410"/>
      <c r="CW291" s="410"/>
      <c r="CX291" s="410"/>
      <c r="CY291" s="410"/>
      <c r="CZ291" s="410"/>
      <c r="DA291" s="410"/>
      <c r="DB291" s="410"/>
      <c r="DC291" s="410"/>
      <c r="DD291" s="410"/>
      <c r="DE291" s="410"/>
      <c r="DF291" s="410"/>
      <c r="DG291" s="410"/>
      <c r="DH291" s="410"/>
      <c r="DI291" s="410"/>
      <c r="DJ291" s="410"/>
      <c r="DK291" s="410"/>
      <c r="DL291" s="410"/>
      <c r="DM291" s="410"/>
      <c r="DN291" s="410"/>
      <c r="DO291" s="410"/>
      <c r="DP291" s="410"/>
      <c r="DQ291" s="410"/>
      <c r="DR291" s="410"/>
      <c r="DS291" s="410"/>
      <c r="DT291" s="410"/>
      <c r="DU291" s="410"/>
      <c r="DV291" s="410"/>
      <c r="DW291" s="410"/>
      <c r="DX291" s="410"/>
      <c r="DY291" s="410"/>
      <c r="DZ291" s="410"/>
      <c r="EA291" s="410"/>
      <c r="EB291" s="410"/>
      <c r="EC291" s="410"/>
      <c r="ED291" s="410"/>
      <c r="EE291" s="410"/>
      <c r="EF291" s="410"/>
      <c r="EG291" s="410"/>
      <c r="EH291" s="410"/>
      <c r="EI291" s="410"/>
      <c r="EJ291" s="410"/>
      <c r="EK291" s="410"/>
      <c r="EL291" s="410"/>
      <c r="EM291" s="410"/>
      <c r="EN291" s="410"/>
      <c r="EO291" s="410"/>
      <c r="EP291" s="410"/>
      <c r="EQ291" s="410"/>
      <c r="ER291" s="410"/>
      <c r="ES291" s="410"/>
      <c r="ET291" s="410"/>
      <c r="EU291" s="410"/>
      <c r="EV291" s="410"/>
      <c r="EW291" s="410"/>
      <c r="EX291" s="410"/>
      <c r="EY291" s="410"/>
      <c r="EZ291" s="410"/>
      <c r="FA291" s="410"/>
      <c r="FB291" s="410"/>
      <c r="FC291" s="410"/>
      <c r="FD291" s="410"/>
      <c r="FE291" s="410"/>
      <c r="FF291" s="410"/>
      <c r="FG291" s="410"/>
      <c r="FH291" s="410"/>
      <c r="FI291" s="410"/>
      <c r="FJ291" s="410"/>
      <c r="FK291" s="410"/>
      <c r="FL291" s="410"/>
      <c r="FM291" s="410"/>
      <c r="FN291" s="410"/>
      <c r="FO291" s="410"/>
      <c r="FP291" s="410"/>
      <c r="FQ291" s="410"/>
      <c r="FR291" s="410"/>
      <c r="FS291" s="410"/>
      <c r="FT291" s="410"/>
      <c r="FU291" s="410"/>
      <c r="FV291" s="410"/>
      <c r="FW291" s="410"/>
      <c r="FX291" s="410"/>
      <c r="FY291" s="410"/>
      <c r="FZ291" s="410"/>
      <c r="GA291" s="410"/>
      <c r="GB291" s="410"/>
      <c r="GC291" s="410"/>
      <c r="GD291" s="410"/>
      <c r="GE291" s="410"/>
      <c r="GF291" s="410"/>
      <c r="GG291" s="410"/>
      <c r="GH291" s="410"/>
      <c r="GI291" s="410"/>
      <c r="GJ291" s="410"/>
      <c r="GK291" s="410"/>
      <c r="GL291" s="410"/>
      <c r="GM291" s="410"/>
      <c r="GN291" s="410"/>
      <c r="GO291" s="410"/>
      <c r="GP291" s="410"/>
      <c r="GQ291" s="410"/>
      <c r="GR291" s="410"/>
      <c r="GS291" s="410"/>
      <c r="GT291" s="410"/>
      <c r="GU291" s="410"/>
      <c r="GV291" s="410"/>
      <c r="GW291" s="410"/>
      <c r="GX291" s="410"/>
      <c r="GY291" s="410"/>
      <c r="GZ291" s="410"/>
      <c r="HA291" s="410"/>
      <c r="HB291" s="410"/>
      <c r="HC291" s="410"/>
      <c r="HD291" s="410"/>
      <c r="HE291" s="410"/>
      <c r="HF291" s="410"/>
      <c r="HG291" s="410"/>
      <c r="HH291" s="410"/>
      <c r="HI291" s="410"/>
      <c r="HJ291" s="410"/>
      <c r="HK291" s="410"/>
      <c r="HL291" s="410"/>
      <c r="HM291" s="410"/>
      <c r="HN291" s="410"/>
      <c r="HO291" s="410"/>
      <c r="HP291" s="410"/>
      <c r="HQ291" s="410"/>
      <c r="HR291" s="410"/>
      <c r="HS291" s="410"/>
      <c r="HT291" s="410"/>
      <c r="HU291" s="410"/>
      <c r="HV291" s="410"/>
      <c r="HW291" s="410"/>
      <c r="HX291" s="410"/>
      <c r="HY291" s="410"/>
      <c r="HZ291" s="410"/>
      <c r="IA291" s="410"/>
      <c r="IB291" s="410"/>
      <c r="IC291" s="410"/>
      <c r="ID291" s="410"/>
      <c r="IE291" s="410"/>
      <c r="IF291" s="410"/>
      <c r="IG291" s="410"/>
      <c r="IH291" s="410"/>
      <c r="II291" s="410"/>
      <c r="IJ291" s="410"/>
      <c r="IK291" s="410"/>
      <c r="IL291" s="410"/>
      <c r="IM291" s="410"/>
    </row>
    <row r="292" spans="1:247" x14ac:dyDescent="0.25">
      <c r="A292" s="99">
        <v>1</v>
      </c>
      <c r="B292" s="53" t="s">
        <v>4</v>
      </c>
      <c r="C292" s="473">
        <f t="shared" si="111"/>
        <v>0</v>
      </c>
      <c r="D292" s="473">
        <f t="shared" si="111"/>
        <v>0</v>
      </c>
      <c r="E292" s="473">
        <f t="shared" si="111"/>
        <v>0</v>
      </c>
      <c r="F292" s="473">
        <f t="shared" si="111"/>
        <v>0</v>
      </c>
      <c r="G292" s="474">
        <f t="shared" si="111"/>
        <v>59815.193630000002</v>
      </c>
      <c r="H292" s="474">
        <f t="shared" si="111"/>
        <v>24923</v>
      </c>
      <c r="I292" s="474">
        <f t="shared" si="111"/>
        <v>24807.92582</v>
      </c>
      <c r="J292" s="474">
        <f t="shared" si="111"/>
        <v>99.538281186053041</v>
      </c>
    </row>
    <row r="293" spans="1:247" ht="15.75" thickBot="1" x14ac:dyDescent="0.3">
      <c r="A293" s="99">
        <v>1</v>
      </c>
      <c r="B293" s="443" t="s">
        <v>9</v>
      </c>
      <c r="C293" s="96"/>
      <c r="D293" s="96"/>
      <c r="E293" s="96"/>
      <c r="F293" s="96"/>
      <c r="G293" s="220"/>
      <c r="H293" s="220"/>
      <c r="I293" s="220"/>
      <c r="J293" s="220"/>
    </row>
    <row r="294" spans="1:247" ht="29.25" x14ac:dyDescent="0.25">
      <c r="A294" s="99">
        <v>1</v>
      </c>
      <c r="B294" s="124" t="s">
        <v>77</v>
      </c>
      <c r="C294" s="70"/>
      <c r="D294" s="70"/>
      <c r="E294" s="70"/>
      <c r="F294" s="70"/>
      <c r="G294" s="220"/>
      <c r="H294" s="220"/>
      <c r="I294" s="220"/>
      <c r="J294" s="220"/>
    </row>
    <row r="295" spans="1:247" s="49" customFormat="1" ht="30" x14ac:dyDescent="0.25">
      <c r="A295" s="99">
        <v>1</v>
      </c>
      <c r="B295" s="57" t="s">
        <v>120</v>
      </c>
      <c r="C295" s="54">
        <f>SUM(C296:C299)</f>
        <v>4861</v>
      </c>
      <c r="D295" s="54">
        <f>SUM(D296:D299)</f>
        <v>2025</v>
      </c>
      <c r="E295" s="54">
        <f>SUM(E296:E299)</f>
        <v>1798</v>
      </c>
      <c r="F295" s="54">
        <f t="shared" ref="F295:F305" si="112">E295/D295*100</f>
        <v>88.790123456790127</v>
      </c>
      <c r="G295" s="205">
        <f>SUM(G296:G299)</f>
        <v>8528.838310000001</v>
      </c>
      <c r="H295" s="205">
        <f>SUM(H296:H299)</f>
        <v>3553.6899999999996</v>
      </c>
      <c r="I295" s="205">
        <f>SUM(I296:I299)</f>
        <v>3958.4310500000001</v>
      </c>
      <c r="J295" s="205">
        <f>I295/H295*100</f>
        <v>111.38931786396678</v>
      </c>
    </row>
    <row r="296" spans="1:247" s="49" customFormat="1" ht="30" x14ac:dyDescent="0.25">
      <c r="A296" s="99">
        <v>1</v>
      </c>
      <c r="B296" s="57" t="s">
        <v>79</v>
      </c>
      <c r="C296" s="54">
        <v>3562</v>
      </c>
      <c r="D296" s="50">
        <f t="shared" ref="D296:D303" si="113">ROUND(C296/12*$B$3,0)</f>
        <v>1484</v>
      </c>
      <c r="E296" s="54">
        <v>1178</v>
      </c>
      <c r="F296" s="54">
        <f t="shared" si="112"/>
        <v>79.380053908355791</v>
      </c>
      <c r="G296" s="205">
        <v>5021.9764000000005</v>
      </c>
      <c r="H296" s="323">
        <f t="shared" ref="H296:H299" si="114">ROUND(G296/12*$B$3,2)</f>
        <v>2092.4899999999998</v>
      </c>
      <c r="I296" s="221">
        <v>1688.6052099999999</v>
      </c>
      <c r="J296" s="205">
        <f t="shared" ref="J296:J306" si="115">I296/H296*100</f>
        <v>80.698364627787953</v>
      </c>
    </row>
    <row r="297" spans="1:247" s="49" customFormat="1" ht="38.1" customHeight="1" x14ac:dyDescent="0.25">
      <c r="A297" s="99">
        <v>1</v>
      </c>
      <c r="B297" s="57" t="s">
        <v>80</v>
      </c>
      <c r="C297" s="54">
        <v>1069</v>
      </c>
      <c r="D297" s="50">
        <f t="shared" si="113"/>
        <v>445</v>
      </c>
      <c r="E297" s="54">
        <v>378</v>
      </c>
      <c r="F297" s="54">
        <f t="shared" si="112"/>
        <v>84.943820224719104</v>
      </c>
      <c r="G297" s="205">
        <v>1997.5835100000002</v>
      </c>
      <c r="H297" s="323">
        <f t="shared" si="114"/>
        <v>832.33</v>
      </c>
      <c r="I297" s="205">
        <v>694.92697999999984</v>
      </c>
      <c r="J297" s="205">
        <f t="shared" si="115"/>
        <v>83.491761681063977</v>
      </c>
    </row>
    <row r="298" spans="1:247" s="49" customFormat="1" ht="45" x14ac:dyDescent="0.25">
      <c r="A298" s="99">
        <v>1</v>
      </c>
      <c r="B298" s="57" t="s">
        <v>114</v>
      </c>
      <c r="C298" s="54">
        <v>80</v>
      </c>
      <c r="D298" s="50">
        <f t="shared" si="113"/>
        <v>33</v>
      </c>
      <c r="E298" s="54">
        <v>91</v>
      </c>
      <c r="F298" s="54">
        <f t="shared" si="112"/>
        <v>275.75757575757575</v>
      </c>
      <c r="G298" s="205">
        <v>524.96640000000002</v>
      </c>
      <c r="H298" s="323">
        <f t="shared" si="114"/>
        <v>218.74</v>
      </c>
      <c r="I298" s="205">
        <v>597.14927999999998</v>
      </c>
      <c r="J298" s="205">
        <f t="shared" si="115"/>
        <v>272.99500777178383</v>
      </c>
    </row>
    <row r="299" spans="1:247" s="49" customFormat="1" ht="30" x14ac:dyDescent="0.25">
      <c r="A299" s="99">
        <v>1</v>
      </c>
      <c r="B299" s="57" t="s">
        <v>115</v>
      </c>
      <c r="C299" s="54">
        <v>150</v>
      </c>
      <c r="D299" s="50">
        <f t="shared" si="113"/>
        <v>63</v>
      </c>
      <c r="E299" s="54">
        <v>151</v>
      </c>
      <c r="F299" s="54">
        <f t="shared" si="112"/>
        <v>239.68253968253967</v>
      </c>
      <c r="G299" s="205">
        <v>984.31200000000001</v>
      </c>
      <c r="H299" s="323">
        <f t="shared" si="114"/>
        <v>410.13</v>
      </c>
      <c r="I299" s="205">
        <v>977.74958000000004</v>
      </c>
      <c r="J299" s="205">
        <f t="shared" si="115"/>
        <v>238.39991709945627</v>
      </c>
    </row>
    <row r="300" spans="1:247" s="49" customFormat="1" ht="30" x14ac:dyDescent="0.25">
      <c r="A300" s="99">
        <v>1</v>
      </c>
      <c r="B300" s="57" t="s">
        <v>112</v>
      </c>
      <c r="C300" s="54">
        <f>SUM(C301:C303)</f>
        <v>11260</v>
      </c>
      <c r="D300" s="54">
        <f>SUM(D301:D303)</f>
        <v>4692</v>
      </c>
      <c r="E300" s="54">
        <f>SUM(E301:E303)</f>
        <v>3847</v>
      </c>
      <c r="F300" s="54">
        <f t="shared" si="112"/>
        <v>81.990622335890876</v>
      </c>
      <c r="G300" s="199">
        <f>SUM(G301:G303)</f>
        <v>21966.778599999998</v>
      </c>
      <c r="H300" s="199">
        <f>SUM(H301:H303)</f>
        <v>9152.82</v>
      </c>
      <c r="I300" s="199">
        <f>SUM(I301:I303)</f>
        <v>10361.32625</v>
      </c>
      <c r="J300" s="205">
        <f t="shared" si="115"/>
        <v>113.20364925782438</v>
      </c>
    </row>
    <row r="301" spans="1:247" s="49" customFormat="1" ht="30" x14ac:dyDescent="0.25">
      <c r="A301" s="99">
        <v>1</v>
      </c>
      <c r="B301" s="57" t="s">
        <v>108</v>
      </c>
      <c r="C301" s="54">
        <v>1500</v>
      </c>
      <c r="D301" s="50">
        <f t="shared" si="113"/>
        <v>625</v>
      </c>
      <c r="E301" s="54">
        <v>444</v>
      </c>
      <c r="F301" s="54">
        <f t="shared" si="112"/>
        <v>71.040000000000006</v>
      </c>
      <c r="G301" s="205">
        <f>3180765/1000</f>
        <v>3180.7649999999999</v>
      </c>
      <c r="H301" s="323">
        <f t="shared" ref="H301:H305" si="116">ROUND(G301/12*$B$3,2)</f>
        <v>1325.32</v>
      </c>
      <c r="I301" s="205">
        <v>914.55687999999986</v>
      </c>
      <c r="J301" s="205">
        <f t="shared" si="115"/>
        <v>69.006495035161308</v>
      </c>
    </row>
    <row r="302" spans="1:247" s="49" customFormat="1" ht="64.5" customHeight="1" x14ac:dyDescent="0.25">
      <c r="A302" s="99">
        <v>1</v>
      </c>
      <c r="B302" s="57" t="s">
        <v>119</v>
      </c>
      <c r="C302" s="54">
        <v>5200</v>
      </c>
      <c r="D302" s="50">
        <f t="shared" si="113"/>
        <v>2167</v>
      </c>
      <c r="E302" s="54">
        <v>2704</v>
      </c>
      <c r="F302" s="54">
        <f t="shared" si="112"/>
        <v>124.78080295339178</v>
      </c>
      <c r="G302" s="205">
        <f>14316484/1000</f>
        <v>14316.484</v>
      </c>
      <c r="H302" s="323">
        <f t="shared" si="116"/>
        <v>5965.2</v>
      </c>
      <c r="I302" s="205">
        <v>8670.6573499999995</v>
      </c>
      <c r="J302" s="205">
        <f t="shared" si="115"/>
        <v>145.35400908603231</v>
      </c>
    </row>
    <row r="303" spans="1:247" s="49" customFormat="1" ht="45" x14ac:dyDescent="0.25">
      <c r="A303" s="99">
        <v>1</v>
      </c>
      <c r="B303" s="57" t="s">
        <v>109</v>
      </c>
      <c r="C303" s="54">
        <v>4560</v>
      </c>
      <c r="D303" s="50">
        <f t="shared" si="113"/>
        <v>1900</v>
      </c>
      <c r="E303" s="54">
        <v>699</v>
      </c>
      <c r="F303" s="54">
        <f t="shared" si="112"/>
        <v>36.789473684210527</v>
      </c>
      <c r="G303" s="205">
        <f>4469529.6/1000</f>
        <v>4469.5295999999998</v>
      </c>
      <c r="H303" s="323">
        <f t="shared" si="116"/>
        <v>1862.3</v>
      </c>
      <c r="I303" s="205">
        <v>776.11202000000003</v>
      </c>
      <c r="J303" s="205">
        <f t="shared" si="115"/>
        <v>41.674919185952859</v>
      </c>
    </row>
    <row r="304" spans="1:247" s="49" customFormat="1" ht="38.1" customHeight="1" x14ac:dyDescent="0.25">
      <c r="A304" s="99"/>
      <c r="B304" s="408" t="s">
        <v>123</v>
      </c>
      <c r="C304" s="54">
        <v>16671</v>
      </c>
      <c r="D304" s="50">
        <f>ROUND(C304/12*$B$3,0)</f>
        <v>6946</v>
      </c>
      <c r="E304" s="54">
        <f>1891+E305</f>
        <v>2599</v>
      </c>
      <c r="F304" s="54">
        <f t="shared" si="112"/>
        <v>37.41721854304636</v>
      </c>
      <c r="G304" s="205">
        <v>16224.550620000002</v>
      </c>
      <c r="H304" s="323">
        <f t="shared" si="116"/>
        <v>6760.23</v>
      </c>
      <c r="I304" s="205">
        <f>1821.95791+I305</f>
        <v>2505.41725</v>
      </c>
      <c r="J304" s="205">
        <f>I304/H304*100</f>
        <v>37.061124399613625</v>
      </c>
    </row>
    <row r="305" spans="1:247" s="49" customFormat="1" ht="30" x14ac:dyDescent="0.25">
      <c r="A305" s="99"/>
      <c r="B305" s="475" t="s">
        <v>125</v>
      </c>
      <c r="C305" s="54">
        <v>1500</v>
      </c>
      <c r="D305" s="50">
        <f>ROUND(C305/12*$B$3,0)</f>
        <v>625</v>
      </c>
      <c r="E305" s="54">
        <v>708</v>
      </c>
      <c r="F305" s="54">
        <f t="shared" si="112"/>
        <v>113.28</v>
      </c>
      <c r="G305" s="205">
        <v>1459.8300000000002</v>
      </c>
      <c r="H305" s="323">
        <f t="shared" si="116"/>
        <v>608.26</v>
      </c>
      <c r="I305" s="205">
        <v>683.45934</v>
      </c>
      <c r="J305" s="205">
        <f>I305/H305*100</f>
        <v>112.36302567980798</v>
      </c>
    </row>
    <row r="306" spans="1:247" s="49" customFormat="1" ht="25.5" customHeight="1" thickBot="1" x14ac:dyDescent="0.3">
      <c r="A306" s="99">
        <v>1</v>
      </c>
      <c r="B306" s="448" t="s">
        <v>3</v>
      </c>
      <c r="C306" s="56"/>
      <c r="D306" s="56"/>
      <c r="E306" s="56"/>
      <c r="F306" s="56"/>
      <c r="G306" s="209">
        <f>G300+G295+G304</f>
        <v>46720.167529999999</v>
      </c>
      <c r="H306" s="209">
        <f>H300+H295+H304</f>
        <v>19466.739999999998</v>
      </c>
      <c r="I306" s="209">
        <f>I300+I295+I304</f>
        <v>16825.17455</v>
      </c>
      <c r="J306" s="209">
        <f t="shared" si="115"/>
        <v>86.4303655876639</v>
      </c>
    </row>
    <row r="307" spans="1:247" ht="15" customHeight="1" x14ac:dyDescent="0.25">
      <c r="A307" s="99">
        <v>1</v>
      </c>
      <c r="B307" s="435" t="s">
        <v>48</v>
      </c>
      <c r="C307" s="469"/>
      <c r="D307" s="469"/>
      <c r="E307" s="469"/>
      <c r="F307" s="469"/>
      <c r="G307" s="458"/>
      <c r="H307" s="458"/>
      <c r="I307" s="458"/>
      <c r="J307" s="458"/>
    </row>
    <row r="308" spans="1:247" s="415" customFormat="1" ht="30" x14ac:dyDescent="0.25">
      <c r="A308" s="99">
        <v>1</v>
      </c>
      <c r="B308" s="121" t="s">
        <v>120</v>
      </c>
      <c r="C308" s="459">
        <f t="shared" ref="C308:J318" si="117">C295</f>
        <v>4861</v>
      </c>
      <c r="D308" s="459">
        <f t="shared" si="117"/>
        <v>2025</v>
      </c>
      <c r="E308" s="459">
        <f t="shared" si="117"/>
        <v>1798</v>
      </c>
      <c r="F308" s="459">
        <f t="shared" si="117"/>
        <v>88.790123456790127</v>
      </c>
      <c r="G308" s="460">
        <f t="shared" si="117"/>
        <v>8528.838310000001</v>
      </c>
      <c r="H308" s="460">
        <f t="shared" si="117"/>
        <v>3553.6899999999996</v>
      </c>
      <c r="I308" s="460">
        <f t="shared" si="117"/>
        <v>3958.4310500000001</v>
      </c>
      <c r="J308" s="460">
        <f t="shared" si="117"/>
        <v>111.38931786396678</v>
      </c>
      <c r="K308" s="410"/>
      <c r="L308" s="410"/>
      <c r="M308" s="410"/>
      <c r="N308" s="410"/>
      <c r="O308" s="410"/>
      <c r="P308" s="410"/>
      <c r="Q308" s="410"/>
      <c r="R308" s="410"/>
      <c r="S308" s="410"/>
      <c r="T308" s="410"/>
      <c r="U308" s="410"/>
      <c r="V308" s="410"/>
      <c r="W308" s="410"/>
      <c r="X308" s="410"/>
      <c r="Y308" s="410"/>
      <c r="Z308" s="410"/>
      <c r="AA308" s="410"/>
      <c r="AB308" s="410"/>
      <c r="AC308" s="410"/>
      <c r="AD308" s="410"/>
      <c r="AE308" s="410"/>
      <c r="AF308" s="410"/>
      <c r="AG308" s="410"/>
      <c r="AH308" s="410"/>
      <c r="AI308" s="410"/>
      <c r="AJ308" s="410"/>
      <c r="AK308" s="410"/>
      <c r="AL308" s="410"/>
      <c r="AM308" s="410"/>
      <c r="AN308" s="410"/>
      <c r="AO308" s="410"/>
      <c r="AP308" s="410"/>
      <c r="AQ308" s="410"/>
      <c r="AR308" s="410"/>
      <c r="AS308" s="410"/>
      <c r="AT308" s="410"/>
      <c r="AU308" s="410"/>
      <c r="AV308" s="410"/>
      <c r="AW308" s="410"/>
      <c r="AX308" s="410"/>
      <c r="AY308" s="410"/>
      <c r="AZ308" s="410"/>
      <c r="BA308" s="410"/>
      <c r="BB308" s="410"/>
      <c r="BC308" s="410"/>
      <c r="BD308" s="410"/>
      <c r="BE308" s="410"/>
      <c r="BF308" s="410"/>
      <c r="BG308" s="410"/>
      <c r="BH308" s="410"/>
      <c r="BI308" s="410"/>
      <c r="BJ308" s="410"/>
      <c r="BK308" s="410"/>
      <c r="BL308" s="410"/>
      <c r="BM308" s="410"/>
      <c r="BN308" s="410"/>
      <c r="BO308" s="410"/>
      <c r="BP308" s="410"/>
      <c r="BQ308" s="410"/>
      <c r="BR308" s="410"/>
      <c r="BS308" s="410"/>
      <c r="BT308" s="410"/>
      <c r="BU308" s="410"/>
      <c r="BV308" s="410"/>
      <c r="BW308" s="410"/>
      <c r="BX308" s="410"/>
      <c r="BY308" s="410"/>
      <c r="BZ308" s="410"/>
      <c r="CA308" s="410"/>
      <c r="CB308" s="410"/>
      <c r="CC308" s="410"/>
      <c r="CD308" s="410"/>
      <c r="CE308" s="410"/>
      <c r="CF308" s="410"/>
      <c r="CG308" s="410"/>
      <c r="CH308" s="410"/>
      <c r="CI308" s="410"/>
      <c r="CJ308" s="410"/>
      <c r="CK308" s="410"/>
      <c r="CL308" s="410"/>
      <c r="CM308" s="410"/>
      <c r="CN308" s="410"/>
      <c r="CO308" s="410"/>
      <c r="CP308" s="410"/>
      <c r="CQ308" s="410"/>
      <c r="CR308" s="410"/>
      <c r="CS308" s="410"/>
      <c r="CT308" s="410"/>
      <c r="CU308" s="410"/>
      <c r="CV308" s="410"/>
      <c r="CW308" s="410"/>
      <c r="CX308" s="410"/>
      <c r="CY308" s="410"/>
      <c r="CZ308" s="410"/>
      <c r="DA308" s="410"/>
      <c r="DB308" s="410"/>
      <c r="DC308" s="410"/>
      <c r="DD308" s="410"/>
      <c r="DE308" s="410"/>
      <c r="DF308" s="410"/>
      <c r="DG308" s="410"/>
      <c r="DH308" s="410"/>
      <c r="DI308" s="410"/>
      <c r="DJ308" s="410"/>
      <c r="DK308" s="410"/>
      <c r="DL308" s="410"/>
      <c r="DM308" s="410"/>
      <c r="DN308" s="410"/>
      <c r="DO308" s="410"/>
      <c r="DP308" s="410"/>
      <c r="DQ308" s="410"/>
      <c r="DR308" s="410"/>
      <c r="DS308" s="410"/>
      <c r="DT308" s="410"/>
      <c r="DU308" s="410"/>
      <c r="DV308" s="410"/>
      <c r="DW308" s="410"/>
      <c r="DX308" s="410"/>
      <c r="DY308" s="410"/>
      <c r="DZ308" s="410"/>
      <c r="EA308" s="410"/>
      <c r="EB308" s="410"/>
      <c r="EC308" s="410"/>
      <c r="ED308" s="410"/>
      <c r="EE308" s="410"/>
      <c r="EF308" s="410"/>
      <c r="EG308" s="410"/>
      <c r="EH308" s="410"/>
      <c r="EI308" s="410"/>
      <c r="EJ308" s="410"/>
      <c r="EK308" s="410"/>
      <c r="EL308" s="410"/>
      <c r="EM308" s="410"/>
      <c r="EN308" s="410"/>
      <c r="EO308" s="410"/>
      <c r="EP308" s="410"/>
      <c r="EQ308" s="410"/>
      <c r="ER308" s="410"/>
      <c r="ES308" s="410"/>
      <c r="ET308" s="410"/>
      <c r="EU308" s="410"/>
      <c r="EV308" s="410"/>
      <c r="EW308" s="410"/>
      <c r="EX308" s="410"/>
      <c r="EY308" s="410"/>
      <c r="EZ308" s="410"/>
      <c r="FA308" s="410"/>
      <c r="FB308" s="410"/>
      <c r="FC308" s="410"/>
      <c r="FD308" s="410"/>
      <c r="FE308" s="410"/>
      <c r="FF308" s="410"/>
      <c r="FG308" s="410"/>
      <c r="FH308" s="410"/>
      <c r="FI308" s="410"/>
      <c r="FJ308" s="410"/>
      <c r="FK308" s="410"/>
      <c r="FL308" s="410"/>
      <c r="FM308" s="410"/>
      <c r="FN308" s="410"/>
      <c r="FO308" s="410"/>
      <c r="FP308" s="410"/>
      <c r="FQ308" s="410"/>
      <c r="FR308" s="410"/>
      <c r="FS308" s="410"/>
      <c r="FT308" s="410"/>
      <c r="FU308" s="410"/>
      <c r="FV308" s="410"/>
      <c r="FW308" s="410"/>
      <c r="FX308" s="410"/>
      <c r="FY308" s="410"/>
      <c r="FZ308" s="410"/>
      <c r="GA308" s="410"/>
      <c r="GB308" s="410"/>
      <c r="GC308" s="410"/>
      <c r="GD308" s="410"/>
      <c r="GE308" s="410"/>
      <c r="GF308" s="410"/>
      <c r="GG308" s="410"/>
      <c r="GH308" s="410"/>
      <c r="GI308" s="410"/>
      <c r="GJ308" s="410"/>
      <c r="GK308" s="410"/>
      <c r="GL308" s="410"/>
      <c r="GM308" s="410"/>
      <c r="GN308" s="410"/>
      <c r="GO308" s="410"/>
      <c r="GP308" s="410"/>
      <c r="GQ308" s="410"/>
      <c r="GR308" s="410"/>
      <c r="GS308" s="410"/>
      <c r="GT308" s="410"/>
      <c r="GU308" s="410"/>
      <c r="GV308" s="410"/>
      <c r="GW308" s="410"/>
      <c r="GX308" s="410"/>
      <c r="GY308" s="410"/>
      <c r="GZ308" s="410"/>
      <c r="HA308" s="410"/>
      <c r="HB308" s="410"/>
      <c r="HC308" s="410"/>
      <c r="HD308" s="410"/>
      <c r="HE308" s="410"/>
      <c r="HF308" s="410"/>
      <c r="HG308" s="410"/>
      <c r="HH308" s="410"/>
      <c r="HI308" s="410"/>
      <c r="HJ308" s="410"/>
      <c r="HK308" s="410"/>
      <c r="HL308" s="410"/>
      <c r="HM308" s="410"/>
      <c r="HN308" s="410"/>
      <c r="HO308" s="410"/>
      <c r="HP308" s="410"/>
      <c r="HQ308" s="410"/>
      <c r="HR308" s="410"/>
      <c r="HS308" s="410"/>
      <c r="HT308" s="410"/>
      <c r="HU308" s="410"/>
      <c r="HV308" s="410"/>
      <c r="HW308" s="410"/>
      <c r="HX308" s="410"/>
      <c r="HY308" s="410"/>
      <c r="HZ308" s="410"/>
      <c r="IA308" s="410"/>
      <c r="IB308" s="410"/>
      <c r="IC308" s="410"/>
      <c r="ID308" s="410"/>
      <c r="IE308" s="410"/>
      <c r="IF308" s="410"/>
      <c r="IG308" s="410"/>
      <c r="IH308" s="410"/>
      <c r="II308" s="410"/>
      <c r="IJ308" s="410"/>
      <c r="IK308" s="410"/>
      <c r="IL308" s="410"/>
      <c r="IM308" s="410"/>
    </row>
    <row r="309" spans="1:247" s="415" customFormat="1" ht="30" x14ac:dyDescent="0.25">
      <c r="A309" s="99">
        <v>1</v>
      </c>
      <c r="B309" s="57" t="s">
        <v>79</v>
      </c>
      <c r="C309" s="459">
        <f t="shared" si="117"/>
        <v>3562</v>
      </c>
      <c r="D309" s="459">
        <f t="shared" si="117"/>
        <v>1484</v>
      </c>
      <c r="E309" s="459">
        <f t="shared" si="117"/>
        <v>1178</v>
      </c>
      <c r="F309" s="459">
        <f t="shared" si="117"/>
        <v>79.380053908355791</v>
      </c>
      <c r="G309" s="460">
        <f t="shared" si="117"/>
        <v>5021.9764000000005</v>
      </c>
      <c r="H309" s="460">
        <f t="shared" si="117"/>
        <v>2092.4899999999998</v>
      </c>
      <c r="I309" s="460">
        <f t="shared" si="117"/>
        <v>1688.6052099999999</v>
      </c>
      <c r="J309" s="460">
        <f t="shared" si="117"/>
        <v>80.698364627787953</v>
      </c>
      <c r="K309" s="410"/>
      <c r="L309" s="410"/>
      <c r="M309" s="410"/>
      <c r="N309" s="410"/>
      <c r="O309" s="410"/>
      <c r="P309" s="410"/>
      <c r="Q309" s="410"/>
      <c r="R309" s="410"/>
      <c r="S309" s="410"/>
      <c r="T309" s="410"/>
      <c r="U309" s="410"/>
      <c r="V309" s="410"/>
      <c r="W309" s="410"/>
      <c r="X309" s="410"/>
      <c r="Y309" s="410"/>
      <c r="Z309" s="410"/>
      <c r="AA309" s="410"/>
      <c r="AB309" s="410"/>
      <c r="AC309" s="410"/>
      <c r="AD309" s="410"/>
      <c r="AE309" s="410"/>
      <c r="AF309" s="410"/>
      <c r="AG309" s="410"/>
      <c r="AH309" s="410"/>
      <c r="AI309" s="410"/>
      <c r="AJ309" s="410"/>
      <c r="AK309" s="410"/>
      <c r="AL309" s="410"/>
      <c r="AM309" s="410"/>
      <c r="AN309" s="410"/>
      <c r="AO309" s="410"/>
      <c r="AP309" s="410"/>
      <c r="AQ309" s="410"/>
      <c r="AR309" s="410"/>
      <c r="AS309" s="410"/>
      <c r="AT309" s="410"/>
      <c r="AU309" s="410"/>
      <c r="AV309" s="410"/>
      <c r="AW309" s="410"/>
      <c r="AX309" s="410"/>
      <c r="AY309" s="410"/>
      <c r="AZ309" s="410"/>
      <c r="BA309" s="410"/>
      <c r="BB309" s="410"/>
      <c r="BC309" s="410"/>
      <c r="BD309" s="410"/>
      <c r="BE309" s="410"/>
      <c r="BF309" s="410"/>
      <c r="BG309" s="410"/>
      <c r="BH309" s="410"/>
      <c r="BI309" s="410"/>
      <c r="BJ309" s="410"/>
      <c r="BK309" s="410"/>
      <c r="BL309" s="410"/>
      <c r="BM309" s="410"/>
      <c r="BN309" s="410"/>
      <c r="BO309" s="410"/>
      <c r="BP309" s="410"/>
      <c r="BQ309" s="410"/>
      <c r="BR309" s="410"/>
      <c r="BS309" s="410"/>
      <c r="BT309" s="410"/>
      <c r="BU309" s="410"/>
      <c r="BV309" s="410"/>
      <c r="BW309" s="410"/>
      <c r="BX309" s="410"/>
      <c r="BY309" s="410"/>
      <c r="BZ309" s="410"/>
      <c r="CA309" s="410"/>
      <c r="CB309" s="410"/>
      <c r="CC309" s="410"/>
      <c r="CD309" s="410"/>
      <c r="CE309" s="410"/>
      <c r="CF309" s="410"/>
      <c r="CG309" s="410"/>
      <c r="CH309" s="410"/>
      <c r="CI309" s="410"/>
      <c r="CJ309" s="410"/>
      <c r="CK309" s="410"/>
      <c r="CL309" s="410"/>
      <c r="CM309" s="410"/>
      <c r="CN309" s="410"/>
      <c r="CO309" s="410"/>
      <c r="CP309" s="410"/>
      <c r="CQ309" s="410"/>
      <c r="CR309" s="410"/>
      <c r="CS309" s="410"/>
      <c r="CT309" s="410"/>
      <c r="CU309" s="410"/>
      <c r="CV309" s="410"/>
      <c r="CW309" s="410"/>
      <c r="CX309" s="410"/>
      <c r="CY309" s="410"/>
      <c r="CZ309" s="410"/>
      <c r="DA309" s="410"/>
      <c r="DB309" s="410"/>
      <c r="DC309" s="410"/>
      <c r="DD309" s="410"/>
      <c r="DE309" s="410"/>
      <c r="DF309" s="410"/>
      <c r="DG309" s="410"/>
      <c r="DH309" s="410"/>
      <c r="DI309" s="410"/>
      <c r="DJ309" s="410"/>
      <c r="DK309" s="410"/>
      <c r="DL309" s="410"/>
      <c r="DM309" s="410"/>
      <c r="DN309" s="410"/>
      <c r="DO309" s="410"/>
      <c r="DP309" s="410"/>
      <c r="DQ309" s="410"/>
      <c r="DR309" s="410"/>
      <c r="DS309" s="410"/>
      <c r="DT309" s="410"/>
      <c r="DU309" s="410"/>
      <c r="DV309" s="410"/>
      <c r="DW309" s="410"/>
      <c r="DX309" s="410"/>
      <c r="DY309" s="410"/>
      <c r="DZ309" s="410"/>
      <c r="EA309" s="410"/>
      <c r="EB309" s="410"/>
      <c r="EC309" s="410"/>
      <c r="ED309" s="410"/>
      <c r="EE309" s="410"/>
      <c r="EF309" s="410"/>
      <c r="EG309" s="410"/>
      <c r="EH309" s="410"/>
      <c r="EI309" s="410"/>
      <c r="EJ309" s="410"/>
      <c r="EK309" s="410"/>
      <c r="EL309" s="410"/>
      <c r="EM309" s="410"/>
      <c r="EN309" s="410"/>
      <c r="EO309" s="410"/>
      <c r="EP309" s="410"/>
      <c r="EQ309" s="410"/>
      <c r="ER309" s="410"/>
      <c r="ES309" s="410"/>
      <c r="ET309" s="410"/>
      <c r="EU309" s="410"/>
      <c r="EV309" s="410"/>
      <c r="EW309" s="410"/>
      <c r="EX309" s="410"/>
      <c r="EY309" s="410"/>
      <c r="EZ309" s="410"/>
      <c r="FA309" s="410"/>
      <c r="FB309" s="410"/>
      <c r="FC309" s="410"/>
      <c r="FD309" s="410"/>
      <c r="FE309" s="410"/>
      <c r="FF309" s="410"/>
      <c r="FG309" s="410"/>
      <c r="FH309" s="410"/>
      <c r="FI309" s="410"/>
      <c r="FJ309" s="410"/>
      <c r="FK309" s="410"/>
      <c r="FL309" s="410"/>
      <c r="FM309" s="410"/>
      <c r="FN309" s="410"/>
      <c r="FO309" s="410"/>
      <c r="FP309" s="410"/>
      <c r="FQ309" s="410"/>
      <c r="FR309" s="410"/>
      <c r="FS309" s="410"/>
      <c r="FT309" s="410"/>
      <c r="FU309" s="410"/>
      <c r="FV309" s="410"/>
      <c r="FW309" s="410"/>
      <c r="FX309" s="410"/>
      <c r="FY309" s="410"/>
      <c r="FZ309" s="410"/>
      <c r="GA309" s="410"/>
      <c r="GB309" s="410"/>
      <c r="GC309" s="410"/>
      <c r="GD309" s="410"/>
      <c r="GE309" s="410"/>
      <c r="GF309" s="410"/>
      <c r="GG309" s="410"/>
      <c r="GH309" s="410"/>
      <c r="GI309" s="410"/>
      <c r="GJ309" s="410"/>
      <c r="GK309" s="410"/>
      <c r="GL309" s="410"/>
      <c r="GM309" s="410"/>
      <c r="GN309" s="410"/>
      <c r="GO309" s="410"/>
      <c r="GP309" s="410"/>
      <c r="GQ309" s="410"/>
      <c r="GR309" s="410"/>
      <c r="GS309" s="410"/>
      <c r="GT309" s="410"/>
      <c r="GU309" s="410"/>
      <c r="GV309" s="410"/>
      <c r="GW309" s="410"/>
      <c r="GX309" s="410"/>
      <c r="GY309" s="410"/>
      <c r="GZ309" s="410"/>
      <c r="HA309" s="410"/>
      <c r="HB309" s="410"/>
      <c r="HC309" s="410"/>
      <c r="HD309" s="410"/>
      <c r="HE309" s="410"/>
      <c r="HF309" s="410"/>
      <c r="HG309" s="410"/>
      <c r="HH309" s="410"/>
      <c r="HI309" s="410"/>
      <c r="HJ309" s="410"/>
      <c r="HK309" s="410"/>
      <c r="HL309" s="410"/>
      <c r="HM309" s="410"/>
      <c r="HN309" s="410"/>
      <c r="HO309" s="410"/>
      <c r="HP309" s="410"/>
      <c r="HQ309" s="410"/>
      <c r="HR309" s="410"/>
      <c r="HS309" s="410"/>
      <c r="HT309" s="410"/>
      <c r="HU309" s="410"/>
      <c r="HV309" s="410"/>
      <c r="HW309" s="410"/>
      <c r="HX309" s="410"/>
      <c r="HY309" s="410"/>
      <c r="HZ309" s="410"/>
      <c r="IA309" s="410"/>
      <c r="IB309" s="410"/>
      <c r="IC309" s="410"/>
      <c r="ID309" s="410"/>
      <c r="IE309" s="410"/>
      <c r="IF309" s="410"/>
      <c r="IG309" s="410"/>
      <c r="IH309" s="410"/>
      <c r="II309" s="410"/>
      <c r="IJ309" s="410"/>
      <c r="IK309" s="410"/>
      <c r="IL309" s="410"/>
      <c r="IM309" s="410"/>
    </row>
    <row r="310" spans="1:247" s="415" customFormat="1" ht="30" x14ac:dyDescent="0.25">
      <c r="A310" s="99">
        <v>1</v>
      </c>
      <c r="B310" s="57" t="s">
        <v>80</v>
      </c>
      <c r="C310" s="459">
        <f t="shared" si="117"/>
        <v>1069</v>
      </c>
      <c r="D310" s="459">
        <f t="shared" si="117"/>
        <v>445</v>
      </c>
      <c r="E310" s="459">
        <f t="shared" si="117"/>
        <v>378</v>
      </c>
      <c r="F310" s="459">
        <f t="shared" si="117"/>
        <v>84.943820224719104</v>
      </c>
      <c r="G310" s="460">
        <f t="shared" si="117"/>
        <v>1997.5835100000002</v>
      </c>
      <c r="H310" s="460">
        <f t="shared" si="117"/>
        <v>832.33</v>
      </c>
      <c r="I310" s="460">
        <f t="shared" si="117"/>
        <v>694.92697999999984</v>
      </c>
      <c r="J310" s="460">
        <f t="shared" si="117"/>
        <v>83.491761681063977</v>
      </c>
      <c r="K310" s="410"/>
      <c r="L310" s="410"/>
      <c r="M310" s="410"/>
      <c r="N310" s="410"/>
      <c r="O310" s="410"/>
      <c r="P310" s="410"/>
      <c r="Q310" s="410"/>
      <c r="R310" s="410"/>
      <c r="S310" s="410"/>
      <c r="T310" s="410"/>
      <c r="U310" s="410"/>
      <c r="V310" s="410"/>
      <c r="W310" s="410"/>
      <c r="X310" s="410"/>
      <c r="Y310" s="410"/>
      <c r="Z310" s="410"/>
      <c r="AA310" s="410"/>
      <c r="AB310" s="410"/>
      <c r="AC310" s="410"/>
      <c r="AD310" s="410"/>
      <c r="AE310" s="410"/>
      <c r="AF310" s="410"/>
      <c r="AG310" s="410"/>
      <c r="AH310" s="410"/>
      <c r="AI310" s="410"/>
      <c r="AJ310" s="410"/>
      <c r="AK310" s="410"/>
      <c r="AL310" s="410"/>
      <c r="AM310" s="410"/>
      <c r="AN310" s="410"/>
      <c r="AO310" s="410"/>
      <c r="AP310" s="410"/>
      <c r="AQ310" s="410"/>
      <c r="AR310" s="410"/>
      <c r="AS310" s="410"/>
      <c r="AT310" s="410"/>
      <c r="AU310" s="410"/>
      <c r="AV310" s="410"/>
      <c r="AW310" s="410"/>
      <c r="AX310" s="410"/>
      <c r="AY310" s="410"/>
      <c r="AZ310" s="410"/>
      <c r="BA310" s="410"/>
      <c r="BB310" s="410"/>
      <c r="BC310" s="410"/>
      <c r="BD310" s="410"/>
      <c r="BE310" s="410"/>
      <c r="BF310" s="410"/>
      <c r="BG310" s="410"/>
      <c r="BH310" s="410"/>
      <c r="BI310" s="410"/>
      <c r="BJ310" s="410"/>
      <c r="BK310" s="410"/>
      <c r="BL310" s="410"/>
      <c r="BM310" s="410"/>
      <c r="BN310" s="410"/>
      <c r="BO310" s="410"/>
      <c r="BP310" s="410"/>
      <c r="BQ310" s="410"/>
      <c r="BR310" s="410"/>
      <c r="BS310" s="410"/>
      <c r="BT310" s="410"/>
      <c r="BU310" s="410"/>
      <c r="BV310" s="410"/>
      <c r="BW310" s="410"/>
      <c r="BX310" s="410"/>
      <c r="BY310" s="410"/>
      <c r="BZ310" s="410"/>
      <c r="CA310" s="410"/>
      <c r="CB310" s="410"/>
      <c r="CC310" s="410"/>
      <c r="CD310" s="410"/>
      <c r="CE310" s="410"/>
      <c r="CF310" s="410"/>
      <c r="CG310" s="410"/>
      <c r="CH310" s="410"/>
      <c r="CI310" s="410"/>
      <c r="CJ310" s="410"/>
      <c r="CK310" s="410"/>
      <c r="CL310" s="410"/>
      <c r="CM310" s="410"/>
      <c r="CN310" s="410"/>
      <c r="CO310" s="410"/>
      <c r="CP310" s="410"/>
      <c r="CQ310" s="410"/>
      <c r="CR310" s="410"/>
      <c r="CS310" s="410"/>
      <c r="CT310" s="410"/>
      <c r="CU310" s="410"/>
      <c r="CV310" s="410"/>
      <c r="CW310" s="410"/>
      <c r="CX310" s="410"/>
      <c r="CY310" s="410"/>
      <c r="CZ310" s="410"/>
      <c r="DA310" s="410"/>
      <c r="DB310" s="410"/>
      <c r="DC310" s="410"/>
      <c r="DD310" s="410"/>
      <c r="DE310" s="410"/>
      <c r="DF310" s="410"/>
      <c r="DG310" s="410"/>
      <c r="DH310" s="410"/>
      <c r="DI310" s="410"/>
      <c r="DJ310" s="410"/>
      <c r="DK310" s="410"/>
      <c r="DL310" s="410"/>
      <c r="DM310" s="410"/>
      <c r="DN310" s="410"/>
      <c r="DO310" s="410"/>
      <c r="DP310" s="410"/>
      <c r="DQ310" s="410"/>
      <c r="DR310" s="410"/>
      <c r="DS310" s="410"/>
      <c r="DT310" s="410"/>
      <c r="DU310" s="410"/>
      <c r="DV310" s="410"/>
      <c r="DW310" s="410"/>
      <c r="DX310" s="410"/>
      <c r="DY310" s="410"/>
      <c r="DZ310" s="410"/>
      <c r="EA310" s="410"/>
      <c r="EB310" s="410"/>
      <c r="EC310" s="410"/>
      <c r="ED310" s="410"/>
      <c r="EE310" s="410"/>
      <c r="EF310" s="410"/>
      <c r="EG310" s="410"/>
      <c r="EH310" s="410"/>
      <c r="EI310" s="410"/>
      <c r="EJ310" s="410"/>
      <c r="EK310" s="410"/>
      <c r="EL310" s="410"/>
      <c r="EM310" s="410"/>
      <c r="EN310" s="410"/>
      <c r="EO310" s="410"/>
      <c r="EP310" s="410"/>
      <c r="EQ310" s="410"/>
      <c r="ER310" s="410"/>
      <c r="ES310" s="410"/>
      <c r="ET310" s="410"/>
      <c r="EU310" s="410"/>
      <c r="EV310" s="410"/>
      <c r="EW310" s="410"/>
      <c r="EX310" s="410"/>
      <c r="EY310" s="410"/>
      <c r="EZ310" s="410"/>
      <c r="FA310" s="410"/>
      <c r="FB310" s="410"/>
      <c r="FC310" s="410"/>
      <c r="FD310" s="410"/>
      <c r="FE310" s="410"/>
      <c r="FF310" s="410"/>
      <c r="FG310" s="410"/>
      <c r="FH310" s="410"/>
      <c r="FI310" s="410"/>
      <c r="FJ310" s="410"/>
      <c r="FK310" s="410"/>
      <c r="FL310" s="410"/>
      <c r="FM310" s="410"/>
      <c r="FN310" s="410"/>
      <c r="FO310" s="410"/>
      <c r="FP310" s="410"/>
      <c r="FQ310" s="410"/>
      <c r="FR310" s="410"/>
      <c r="FS310" s="410"/>
      <c r="FT310" s="410"/>
      <c r="FU310" s="410"/>
      <c r="FV310" s="410"/>
      <c r="FW310" s="410"/>
      <c r="FX310" s="410"/>
      <c r="FY310" s="410"/>
      <c r="FZ310" s="410"/>
      <c r="GA310" s="410"/>
      <c r="GB310" s="410"/>
      <c r="GC310" s="410"/>
      <c r="GD310" s="410"/>
      <c r="GE310" s="410"/>
      <c r="GF310" s="410"/>
      <c r="GG310" s="410"/>
      <c r="GH310" s="410"/>
      <c r="GI310" s="410"/>
      <c r="GJ310" s="410"/>
      <c r="GK310" s="410"/>
      <c r="GL310" s="410"/>
      <c r="GM310" s="410"/>
      <c r="GN310" s="410"/>
      <c r="GO310" s="410"/>
      <c r="GP310" s="410"/>
      <c r="GQ310" s="410"/>
      <c r="GR310" s="410"/>
      <c r="GS310" s="410"/>
      <c r="GT310" s="410"/>
      <c r="GU310" s="410"/>
      <c r="GV310" s="410"/>
      <c r="GW310" s="410"/>
      <c r="GX310" s="410"/>
      <c r="GY310" s="410"/>
      <c r="GZ310" s="410"/>
      <c r="HA310" s="410"/>
      <c r="HB310" s="410"/>
      <c r="HC310" s="410"/>
      <c r="HD310" s="410"/>
      <c r="HE310" s="410"/>
      <c r="HF310" s="410"/>
      <c r="HG310" s="410"/>
      <c r="HH310" s="410"/>
      <c r="HI310" s="410"/>
      <c r="HJ310" s="410"/>
      <c r="HK310" s="410"/>
      <c r="HL310" s="410"/>
      <c r="HM310" s="410"/>
      <c r="HN310" s="410"/>
      <c r="HO310" s="410"/>
      <c r="HP310" s="410"/>
      <c r="HQ310" s="410"/>
      <c r="HR310" s="410"/>
      <c r="HS310" s="410"/>
      <c r="HT310" s="410"/>
      <c r="HU310" s="410"/>
      <c r="HV310" s="410"/>
      <c r="HW310" s="410"/>
      <c r="HX310" s="410"/>
      <c r="HY310" s="410"/>
      <c r="HZ310" s="410"/>
      <c r="IA310" s="410"/>
      <c r="IB310" s="410"/>
      <c r="IC310" s="410"/>
      <c r="ID310" s="410"/>
      <c r="IE310" s="410"/>
      <c r="IF310" s="410"/>
      <c r="IG310" s="410"/>
      <c r="IH310" s="410"/>
      <c r="II310" s="410"/>
      <c r="IJ310" s="410"/>
      <c r="IK310" s="410"/>
      <c r="IL310" s="410"/>
      <c r="IM310" s="410"/>
    </row>
    <row r="311" spans="1:247" s="415" customFormat="1" ht="45" x14ac:dyDescent="0.25">
      <c r="A311" s="99">
        <v>1</v>
      </c>
      <c r="B311" s="57" t="s">
        <v>114</v>
      </c>
      <c r="C311" s="459">
        <f t="shared" si="117"/>
        <v>80</v>
      </c>
      <c r="D311" s="459">
        <f t="shared" si="117"/>
        <v>33</v>
      </c>
      <c r="E311" s="459">
        <f t="shared" si="117"/>
        <v>91</v>
      </c>
      <c r="F311" s="459">
        <f t="shared" si="117"/>
        <v>275.75757575757575</v>
      </c>
      <c r="G311" s="460">
        <f t="shared" si="117"/>
        <v>524.96640000000002</v>
      </c>
      <c r="H311" s="460">
        <f t="shared" si="117"/>
        <v>218.74</v>
      </c>
      <c r="I311" s="460">
        <f t="shared" si="117"/>
        <v>597.14927999999998</v>
      </c>
      <c r="J311" s="460">
        <f t="shared" si="117"/>
        <v>272.99500777178383</v>
      </c>
      <c r="K311" s="410"/>
      <c r="L311" s="410"/>
      <c r="M311" s="410"/>
      <c r="N311" s="410"/>
      <c r="O311" s="410"/>
      <c r="P311" s="410"/>
      <c r="Q311" s="410"/>
      <c r="R311" s="410"/>
      <c r="S311" s="410"/>
      <c r="T311" s="410"/>
      <c r="U311" s="410"/>
      <c r="V311" s="410"/>
      <c r="W311" s="410"/>
      <c r="X311" s="410"/>
      <c r="Y311" s="410"/>
      <c r="Z311" s="410"/>
      <c r="AA311" s="410"/>
      <c r="AB311" s="410"/>
      <c r="AC311" s="410"/>
      <c r="AD311" s="410"/>
      <c r="AE311" s="410"/>
      <c r="AF311" s="410"/>
      <c r="AG311" s="410"/>
      <c r="AH311" s="410"/>
      <c r="AI311" s="410"/>
      <c r="AJ311" s="410"/>
      <c r="AK311" s="410"/>
      <c r="AL311" s="410"/>
      <c r="AM311" s="410"/>
      <c r="AN311" s="410"/>
      <c r="AO311" s="410"/>
      <c r="AP311" s="410"/>
      <c r="AQ311" s="410"/>
      <c r="AR311" s="410"/>
      <c r="AS311" s="410"/>
      <c r="AT311" s="410"/>
      <c r="AU311" s="410"/>
      <c r="AV311" s="410"/>
      <c r="AW311" s="410"/>
      <c r="AX311" s="410"/>
      <c r="AY311" s="410"/>
      <c r="AZ311" s="410"/>
      <c r="BA311" s="410"/>
      <c r="BB311" s="410"/>
      <c r="BC311" s="410"/>
      <c r="BD311" s="410"/>
      <c r="BE311" s="410"/>
      <c r="BF311" s="410"/>
      <c r="BG311" s="410"/>
      <c r="BH311" s="410"/>
      <c r="BI311" s="410"/>
      <c r="BJ311" s="410"/>
      <c r="BK311" s="410"/>
      <c r="BL311" s="410"/>
      <c r="BM311" s="410"/>
      <c r="BN311" s="410"/>
      <c r="BO311" s="410"/>
      <c r="BP311" s="410"/>
      <c r="BQ311" s="410"/>
      <c r="BR311" s="410"/>
      <c r="BS311" s="410"/>
      <c r="BT311" s="410"/>
      <c r="BU311" s="410"/>
      <c r="BV311" s="410"/>
      <c r="BW311" s="410"/>
      <c r="BX311" s="410"/>
      <c r="BY311" s="410"/>
      <c r="BZ311" s="410"/>
      <c r="CA311" s="410"/>
      <c r="CB311" s="410"/>
      <c r="CC311" s="410"/>
      <c r="CD311" s="410"/>
      <c r="CE311" s="410"/>
      <c r="CF311" s="410"/>
      <c r="CG311" s="410"/>
      <c r="CH311" s="410"/>
      <c r="CI311" s="410"/>
      <c r="CJ311" s="410"/>
      <c r="CK311" s="410"/>
      <c r="CL311" s="410"/>
      <c r="CM311" s="410"/>
      <c r="CN311" s="410"/>
      <c r="CO311" s="410"/>
      <c r="CP311" s="410"/>
      <c r="CQ311" s="410"/>
      <c r="CR311" s="410"/>
      <c r="CS311" s="410"/>
      <c r="CT311" s="410"/>
      <c r="CU311" s="410"/>
      <c r="CV311" s="410"/>
      <c r="CW311" s="410"/>
      <c r="CX311" s="410"/>
      <c r="CY311" s="410"/>
      <c r="CZ311" s="410"/>
      <c r="DA311" s="410"/>
      <c r="DB311" s="410"/>
      <c r="DC311" s="410"/>
      <c r="DD311" s="410"/>
      <c r="DE311" s="410"/>
      <c r="DF311" s="410"/>
      <c r="DG311" s="410"/>
      <c r="DH311" s="410"/>
      <c r="DI311" s="410"/>
      <c r="DJ311" s="410"/>
      <c r="DK311" s="410"/>
      <c r="DL311" s="410"/>
      <c r="DM311" s="410"/>
      <c r="DN311" s="410"/>
      <c r="DO311" s="410"/>
      <c r="DP311" s="410"/>
      <c r="DQ311" s="410"/>
      <c r="DR311" s="410"/>
      <c r="DS311" s="410"/>
      <c r="DT311" s="410"/>
      <c r="DU311" s="410"/>
      <c r="DV311" s="410"/>
      <c r="DW311" s="410"/>
      <c r="DX311" s="410"/>
      <c r="DY311" s="410"/>
      <c r="DZ311" s="410"/>
      <c r="EA311" s="410"/>
      <c r="EB311" s="410"/>
      <c r="EC311" s="410"/>
      <c r="ED311" s="410"/>
      <c r="EE311" s="410"/>
      <c r="EF311" s="410"/>
      <c r="EG311" s="410"/>
      <c r="EH311" s="410"/>
      <c r="EI311" s="410"/>
      <c r="EJ311" s="410"/>
      <c r="EK311" s="410"/>
      <c r="EL311" s="410"/>
      <c r="EM311" s="410"/>
      <c r="EN311" s="410"/>
      <c r="EO311" s="410"/>
      <c r="EP311" s="410"/>
      <c r="EQ311" s="410"/>
      <c r="ER311" s="410"/>
      <c r="ES311" s="410"/>
      <c r="ET311" s="410"/>
      <c r="EU311" s="410"/>
      <c r="EV311" s="410"/>
      <c r="EW311" s="410"/>
      <c r="EX311" s="410"/>
      <c r="EY311" s="410"/>
      <c r="EZ311" s="410"/>
      <c r="FA311" s="410"/>
      <c r="FB311" s="410"/>
      <c r="FC311" s="410"/>
      <c r="FD311" s="410"/>
      <c r="FE311" s="410"/>
      <c r="FF311" s="410"/>
      <c r="FG311" s="410"/>
      <c r="FH311" s="410"/>
      <c r="FI311" s="410"/>
      <c r="FJ311" s="410"/>
      <c r="FK311" s="410"/>
      <c r="FL311" s="410"/>
      <c r="FM311" s="410"/>
      <c r="FN311" s="410"/>
      <c r="FO311" s="410"/>
      <c r="FP311" s="410"/>
      <c r="FQ311" s="410"/>
      <c r="FR311" s="410"/>
      <c r="FS311" s="410"/>
      <c r="FT311" s="410"/>
      <c r="FU311" s="410"/>
      <c r="FV311" s="410"/>
      <c r="FW311" s="410"/>
      <c r="FX311" s="410"/>
      <c r="FY311" s="410"/>
      <c r="FZ311" s="410"/>
      <c r="GA311" s="410"/>
      <c r="GB311" s="410"/>
      <c r="GC311" s="410"/>
      <c r="GD311" s="410"/>
      <c r="GE311" s="410"/>
      <c r="GF311" s="410"/>
      <c r="GG311" s="410"/>
      <c r="GH311" s="410"/>
      <c r="GI311" s="410"/>
      <c r="GJ311" s="410"/>
      <c r="GK311" s="410"/>
      <c r="GL311" s="410"/>
      <c r="GM311" s="410"/>
      <c r="GN311" s="410"/>
      <c r="GO311" s="410"/>
      <c r="GP311" s="410"/>
      <c r="GQ311" s="410"/>
      <c r="GR311" s="410"/>
      <c r="GS311" s="410"/>
      <c r="GT311" s="410"/>
      <c r="GU311" s="410"/>
      <c r="GV311" s="410"/>
      <c r="GW311" s="410"/>
      <c r="GX311" s="410"/>
      <c r="GY311" s="410"/>
      <c r="GZ311" s="410"/>
      <c r="HA311" s="410"/>
      <c r="HB311" s="410"/>
      <c r="HC311" s="410"/>
      <c r="HD311" s="410"/>
      <c r="HE311" s="410"/>
      <c r="HF311" s="410"/>
      <c r="HG311" s="410"/>
      <c r="HH311" s="410"/>
      <c r="HI311" s="410"/>
      <c r="HJ311" s="410"/>
      <c r="HK311" s="410"/>
      <c r="HL311" s="410"/>
      <c r="HM311" s="410"/>
      <c r="HN311" s="410"/>
      <c r="HO311" s="410"/>
      <c r="HP311" s="410"/>
      <c r="HQ311" s="410"/>
      <c r="HR311" s="410"/>
      <c r="HS311" s="410"/>
      <c r="HT311" s="410"/>
      <c r="HU311" s="410"/>
      <c r="HV311" s="410"/>
      <c r="HW311" s="410"/>
      <c r="HX311" s="410"/>
      <c r="HY311" s="410"/>
      <c r="HZ311" s="410"/>
      <c r="IA311" s="410"/>
      <c r="IB311" s="410"/>
      <c r="IC311" s="410"/>
      <c r="ID311" s="410"/>
      <c r="IE311" s="410"/>
      <c r="IF311" s="410"/>
      <c r="IG311" s="410"/>
      <c r="IH311" s="410"/>
      <c r="II311" s="410"/>
      <c r="IJ311" s="410"/>
      <c r="IK311" s="410"/>
      <c r="IL311" s="410"/>
      <c r="IM311" s="410"/>
    </row>
    <row r="312" spans="1:247" s="415" customFormat="1" ht="30" x14ac:dyDescent="0.25">
      <c r="A312" s="99">
        <v>1</v>
      </c>
      <c r="B312" s="57" t="s">
        <v>115</v>
      </c>
      <c r="C312" s="459">
        <f t="shared" si="117"/>
        <v>150</v>
      </c>
      <c r="D312" s="459">
        <f t="shared" si="117"/>
        <v>63</v>
      </c>
      <c r="E312" s="459">
        <f t="shared" si="117"/>
        <v>151</v>
      </c>
      <c r="F312" s="459">
        <f t="shared" si="117"/>
        <v>239.68253968253967</v>
      </c>
      <c r="G312" s="460">
        <f t="shared" si="117"/>
        <v>984.31200000000001</v>
      </c>
      <c r="H312" s="460">
        <f t="shared" si="117"/>
        <v>410.13</v>
      </c>
      <c r="I312" s="460">
        <f t="shared" si="117"/>
        <v>977.74958000000004</v>
      </c>
      <c r="J312" s="460">
        <f t="shared" si="117"/>
        <v>238.39991709945627</v>
      </c>
      <c r="K312" s="410"/>
      <c r="L312" s="410"/>
      <c r="M312" s="410"/>
      <c r="N312" s="410"/>
      <c r="O312" s="410"/>
      <c r="P312" s="410"/>
      <c r="Q312" s="410"/>
      <c r="R312" s="410"/>
      <c r="S312" s="410"/>
      <c r="T312" s="410"/>
      <c r="U312" s="410"/>
      <c r="V312" s="410"/>
      <c r="W312" s="410"/>
      <c r="X312" s="410"/>
      <c r="Y312" s="410"/>
      <c r="Z312" s="410"/>
      <c r="AA312" s="410"/>
      <c r="AB312" s="410"/>
      <c r="AC312" s="410"/>
      <c r="AD312" s="410"/>
      <c r="AE312" s="410"/>
      <c r="AF312" s="410"/>
      <c r="AG312" s="410"/>
      <c r="AH312" s="410"/>
      <c r="AI312" s="410"/>
      <c r="AJ312" s="410"/>
      <c r="AK312" s="410"/>
      <c r="AL312" s="410"/>
      <c r="AM312" s="410"/>
      <c r="AN312" s="410"/>
      <c r="AO312" s="410"/>
      <c r="AP312" s="410"/>
      <c r="AQ312" s="410"/>
      <c r="AR312" s="410"/>
      <c r="AS312" s="410"/>
      <c r="AT312" s="410"/>
      <c r="AU312" s="410"/>
      <c r="AV312" s="410"/>
      <c r="AW312" s="410"/>
      <c r="AX312" s="410"/>
      <c r="AY312" s="410"/>
      <c r="AZ312" s="410"/>
      <c r="BA312" s="410"/>
      <c r="BB312" s="410"/>
      <c r="BC312" s="410"/>
      <c r="BD312" s="410"/>
      <c r="BE312" s="410"/>
      <c r="BF312" s="410"/>
      <c r="BG312" s="410"/>
      <c r="BH312" s="410"/>
      <c r="BI312" s="410"/>
      <c r="BJ312" s="410"/>
      <c r="BK312" s="410"/>
      <c r="BL312" s="410"/>
      <c r="BM312" s="410"/>
      <c r="BN312" s="410"/>
      <c r="BO312" s="410"/>
      <c r="BP312" s="410"/>
      <c r="BQ312" s="410"/>
      <c r="BR312" s="410"/>
      <c r="BS312" s="410"/>
      <c r="BT312" s="410"/>
      <c r="BU312" s="410"/>
      <c r="BV312" s="410"/>
      <c r="BW312" s="410"/>
      <c r="BX312" s="410"/>
      <c r="BY312" s="410"/>
      <c r="BZ312" s="410"/>
      <c r="CA312" s="410"/>
      <c r="CB312" s="410"/>
      <c r="CC312" s="410"/>
      <c r="CD312" s="410"/>
      <c r="CE312" s="410"/>
      <c r="CF312" s="410"/>
      <c r="CG312" s="410"/>
      <c r="CH312" s="410"/>
      <c r="CI312" s="410"/>
      <c r="CJ312" s="410"/>
      <c r="CK312" s="410"/>
      <c r="CL312" s="410"/>
      <c r="CM312" s="410"/>
      <c r="CN312" s="410"/>
      <c r="CO312" s="410"/>
      <c r="CP312" s="410"/>
      <c r="CQ312" s="410"/>
      <c r="CR312" s="410"/>
      <c r="CS312" s="410"/>
      <c r="CT312" s="410"/>
      <c r="CU312" s="410"/>
      <c r="CV312" s="410"/>
      <c r="CW312" s="410"/>
      <c r="CX312" s="410"/>
      <c r="CY312" s="410"/>
      <c r="CZ312" s="410"/>
      <c r="DA312" s="410"/>
      <c r="DB312" s="410"/>
      <c r="DC312" s="410"/>
      <c r="DD312" s="410"/>
      <c r="DE312" s="410"/>
      <c r="DF312" s="410"/>
      <c r="DG312" s="410"/>
      <c r="DH312" s="410"/>
      <c r="DI312" s="410"/>
      <c r="DJ312" s="410"/>
      <c r="DK312" s="410"/>
      <c r="DL312" s="410"/>
      <c r="DM312" s="410"/>
      <c r="DN312" s="410"/>
      <c r="DO312" s="410"/>
      <c r="DP312" s="410"/>
      <c r="DQ312" s="410"/>
      <c r="DR312" s="410"/>
      <c r="DS312" s="410"/>
      <c r="DT312" s="410"/>
      <c r="DU312" s="410"/>
      <c r="DV312" s="410"/>
      <c r="DW312" s="410"/>
      <c r="DX312" s="410"/>
      <c r="DY312" s="410"/>
      <c r="DZ312" s="410"/>
      <c r="EA312" s="410"/>
      <c r="EB312" s="410"/>
      <c r="EC312" s="410"/>
      <c r="ED312" s="410"/>
      <c r="EE312" s="410"/>
      <c r="EF312" s="410"/>
      <c r="EG312" s="410"/>
      <c r="EH312" s="410"/>
      <c r="EI312" s="410"/>
      <c r="EJ312" s="410"/>
      <c r="EK312" s="410"/>
      <c r="EL312" s="410"/>
      <c r="EM312" s="410"/>
      <c r="EN312" s="410"/>
      <c r="EO312" s="410"/>
      <c r="EP312" s="410"/>
      <c r="EQ312" s="410"/>
      <c r="ER312" s="410"/>
      <c r="ES312" s="410"/>
      <c r="ET312" s="410"/>
      <c r="EU312" s="410"/>
      <c r="EV312" s="410"/>
      <c r="EW312" s="410"/>
      <c r="EX312" s="410"/>
      <c r="EY312" s="410"/>
      <c r="EZ312" s="410"/>
      <c r="FA312" s="410"/>
      <c r="FB312" s="410"/>
      <c r="FC312" s="410"/>
      <c r="FD312" s="410"/>
      <c r="FE312" s="410"/>
      <c r="FF312" s="410"/>
      <c r="FG312" s="410"/>
      <c r="FH312" s="410"/>
      <c r="FI312" s="410"/>
      <c r="FJ312" s="410"/>
      <c r="FK312" s="410"/>
      <c r="FL312" s="410"/>
      <c r="FM312" s="410"/>
      <c r="FN312" s="410"/>
      <c r="FO312" s="410"/>
      <c r="FP312" s="410"/>
      <c r="FQ312" s="410"/>
      <c r="FR312" s="410"/>
      <c r="FS312" s="410"/>
      <c r="FT312" s="410"/>
      <c r="FU312" s="410"/>
      <c r="FV312" s="410"/>
      <c r="FW312" s="410"/>
      <c r="FX312" s="410"/>
      <c r="FY312" s="410"/>
      <c r="FZ312" s="410"/>
      <c r="GA312" s="410"/>
      <c r="GB312" s="410"/>
      <c r="GC312" s="410"/>
      <c r="GD312" s="410"/>
      <c r="GE312" s="410"/>
      <c r="GF312" s="410"/>
      <c r="GG312" s="410"/>
      <c r="GH312" s="410"/>
      <c r="GI312" s="410"/>
      <c r="GJ312" s="410"/>
      <c r="GK312" s="410"/>
      <c r="GL312" s="410"/>
      <c r="GM312" s="410"/>
      <c r="GN312" s="410"/>
      <c r="GO312" s="410"/>
      <c r="GP312" s="410"/>
      <c r="GQ312" s="410"/>
      <c r="GR312" s="410"/>
      <c r="GS312" s="410"/>
      <c r="GT312" s="410"/>
      <c r="GU312" s="410"/>
      <c r="GV312" s="410"/>
      <c r="GW312" s="410"/>
      <c r="GX312" s="410"/>
      <c r="GY312" s="410"/>
      <c r="GZ312" s="410"/>
      <c r="HA312" s="410"/>
      <c r="HB312" s="410"/>
      <c r="HC312" s="410"/>
      <c r="HD312" s="410"/>
      <c r="HE312" s="410"/>
      <c r="HF312" s="410"/>
      <c r="HG312" s="410"/>
      <c r="HH312" s="410"/>
      <c r="HI312" s="410"/>
      <c r="HJ312" s="410"/>
      <c r="HK312" s="410"/>
      <c r="HL312" s="410"/>
      <c r="HM312" s="410"/>
      <c r="HN312" s="410"/>
      <c r="HO312" s="410"/>
      <c r="HP312" s="410"/>
      <c r="HQ312" s="410"/>
      <c r="HR312" s="410"/>
      <c r="HS312" s="410"/>
      <c r="HT312" s="410"/>
      <c r="HU312" s="410"/>
      <c r="HV312" s="410"/>
      <c r="HW312" s="410"/>
      <c r="HX312" s="410"/>
      <c r="HY312" s="410"/>
      <c r="HZ312" s="410"/>
      <c r="IA312" s="410"/>
      <c r="IB312" s="410"/>
      <c r="IC312" s="410"/>
      <c r="ID312" s="410"/>
      <c r="IE312" s="410"/>
      <c r="IF312" s="410"/>
      <c r="IG312" s="410"/>
      <c r="IH312" s="410"/>
      <c r="II312" s="410"/>
      <c r="IJ312" s="410"/>
      <c r="IK312" s="410"/>
      <c r="IL312" s="410"/>
      <c r="IM312" s="410"/>
    </row>
    <row r="313" spans="1:247" s="415" customFormat="1" ht="30" x14ac:dyDescent="0.25">
      <c r="A313" s="99">
        <v>1</v>
      </c>
      <c r="B313" s="121" t="s">
        <v>112</v>
      </c>
      <c r="C313" s="459">
        <f t="shared" si="117"/>
        <v>11260</v>
      </c>
      <c r="D313" s="459">
        <f t="shared" si="117"/>
        <v>4692</v>
      </c>
      <c r="E313" s="459">
        <f t="shared" si="117"/>
        <v>3847</v>
      </c>
      <c r="F313" s="459">
        <f t="shared" si="117"/>
        <v>81.990622335890876</v>
      </c>
      <c r="G313" s="460">
        <f t="shared" si="117"/>
        <v>21966.778599999998</v>
      </c>
      <c r="H313" s="460">
        <f t="shared" si="117"/>
        <v>9152.82</v>
      </c>
      <c r="I313" s="460">
        <f t="shared" si="117"/>
        <v>10361.32625</v>
      </c>
      <c r="J313" s="460">
        <f t="shared" si="117"/>
        <v>113.20364925782438</v>
      </c>
      <c r="K313" s="410"/>
      <c r="L313" s="410"/>
      <c r="M313" s="410"/>
      <c r="N313" s="410"/>
      <c r="O313" s="410"/>
      <c r="P313" s="410"/>
      <c r="Q313" s="410"/>
      <c r="R313" s="410"/>
      <c r="S313" s="410"/>
      <c r="T313" s="410"/>
      <c r="U313" s="410"/>
      <c r="V313" s="410"/>
      <c r="W313" s="410"/>
      <c r="X313" s="410"/>
      <c r="Y313" s="410"/>
      <c r="Z313" s="410"/>
      <c r="AA313" s="410"/>
      <c r="AB313" s="410"/>
      <c r="AC313" s="410"/>
      <c r="AD313" s="410"/>
      <c r="AE313" s="410"/>
      <c r="AF313" s="410"/>
      <c r="AG313" s="410"/>
      <c r="AH313" s="410"/>
      <c r="AI313" s="410"/>
      <c r="AJ313" s="410"/>
      <c r="AK313" s="410"/>
      <c r="AL313" s="410"/>
      <c r="AM313" s="410"/>
      <c r="AN313" s="410"/>
      <c r="AO313" s="410"/>
      <c r="AP313" s="410"/>
      <c r="AQ313" s="410"/>
      <c r="AR313" s="410"/>
      <c r="AS313" s="410"/>
      <c r="AT313" s="410"/>
      <c r="AU313" s="410"/>
      <c r="AV313" s="410"/>
      <c r="AW313" s="410"/>
      <c r="AX313" s="410"/>
      <c r="AY313" s="410"/>
      <c r="AZ313" s="410"/>
      <c r="BA313" s="410"/>
      <c r="BB313" s="410"/>
      <c r="BC313" s="410"/>
      <c r="BD313" s="410"/>
      <c r="BE313" s="410"/>
      <c r="BF313" s="410"/>
      <c r="BG313" s="410"/>
      <c r="BH313" s="410"/>
      <c r="BI313" s="410"/>
      <c r="BJ313" s="410"/>
      <c r="BK313" s="410"/>
      <c r="BL313" s="410"/>
      <c r="BM313" s="410"/>
      <c r="BN313" s="410"/>
      <c r="BO313" s="410"/>
      <c r="BP313" s="410"/>
      <c r="BQ313" s="410"/>
      <c r="BR313" s="410"/>
      <c r="BS313" s="410"/>
      <c r="BT313" s="410"/>
      <c r="BU313" s="410"/>
      <c r="BV313" s="410"/>
      <c r="BW313" s="410"/>
      <c r="BX313" s="410"/>
      <c r="BY313" s="410"/>
      <c r="BZ313" s="410"/>
      <c r="CA313" s="410"/>
      <c r="CB313" s="410"/>
      <c r="CC313" s="410"/>
      <c r="CD313" s="410"/>
      <c r="CE313" s="410"/>
      <c r="CF313" s="410"/>
      <c r="CG313" s="410"/>
      <c r="CH313" s="410"/>
      <c r="CI313" s="410"/>
      <c r="CJ313" s="410"/>
      <c r="CK313" s="410"/>
      <c r="CL313" s="410"/>
      <c r="CM313" s="410"/>
      <c r="CN313" s="410"/>
      <c r="CO313" s="410"/>
      <c r="CP313" s="410"/>
      <c r="CQ313" s="410"/>
      <c r="CR313" s="410"/>
      <c r="CS313" s="410"/>
      <c r="CT313" s="410"/>
      <c r="CU313" s="410"/>
      <c r="CV313" s="410"/>
      <c r="CW313" s="410"/>
      <c r="CX313" s="410"/>
      <c r="CY313" s="410"/>
      <c r="CZ313" s="410"/>
      <c r="DA313" s="410"/>
      <c r="DB313" s="410"/>
      <c r="DC313" s="410"/>
      <c r="DD313" s="410"/>
      <c r="DE313" s="410"/>
      <c r="DF313" s="410"/>
      <c r="DG313" s="410"/>
      <c r="DH313" s="410"/>
      <c r="DI313" s="410"/>
      <c r="DJ313" s="410"/>
      <c r="DK313" s="410"/>
      <c r="DL313" s="410"/>
      <c r="DM313" s="410"/>
      <c r="DN313" s="410"/>
      <c r="DO313" s="410"/>
      <c r="DP313" s="410"/>
      <c r="DQ313" s="410"/>
      <c r="DR313" s="410"/>
      <c r="DS313" s="410"/>
      <c r="DT313" s="410"/>
      <c r="DU313" s="410"/>
      <c r="DV313" s="410"/>
      <c r="DW313" s="410"/>
      <c r="DX313" s="410"/>
      <c r="DY313" s="410"/>
      <c r="DZ313" s="410"/>
      <c r="EA313" s="410"/>
      <c r="EB313" s="410"/>
      <c r="EC313" s="410"/>
      <c r="ED313" s="410"/>
      <c r="EE313" s="410"/>
      <c r="EF313" s="410"/>
      <c r="EG313" s="410"/>
      <c r="EH313" s="410"/>
      <c r="EI313" s="410"/>
      <c r="EJ313" s="410"/>
      <c r="EK313" s="410"/>
      <c r="EL313" s="410"/>
      <c r="EM313" s="410"/>
      <c r="EN313" s="410"/>
      <c r="EO313" s="410"/>
      <c r="EP313" s="410"/>
      <c r="EQ313" s="410"/>
      <c r="ER313" s="410"/>
      <c r="ES313" s="410"/>
      <c r="ET313" s="410"/>
      <c r="EU313" s="410"/>
      <c r="EV313" s="410"/>
      <c r="EW313" s="410"/>
      <c r="EX313" s="410"/>
      <c r="EY313" s="410"/>
      <c r="EZ313" s="410"/>
      <c r="FA313" s="410"/>
      <c r="FB313" s="410"/>
      <c r="FC313" s="410"/>
      <c r="FD313" s="410"/>
      <c r="FE313" s="410"/>
      <c r="FF313" s="410"/>
      <c r="FG313" s="410"/>
      <c r="FH313" s="410"/>
      <c r="FI313" s="410"/>
      <c r="FJ313" s="410"/>
      <c r="FK313" s="410"/>
      <c r="FL313" s="410"/>
      <c r="FM313" s="410"/>
      <c r="FN313" s="410"/>
      <c r="FO313" s="410"/>
      <c r="FP313" s="410"/>
      <c r="FQ313" s="410"/>
      <c r="FR313" s="410"/>
      <c r="FS313" s="410"/>
      <c r="FT313" s="410"/>
      <c r="FU313" s="410"/>
      <c r="FV313" s="410"/>
      <c r="FW313" s="410"/>
      <c r="FX313" s="410"/>
      <c r="FY313" s="410"/>
      <c r="FZ313" s="410"/>
      <c r="GA313" s="410"/>
      <c r="GB313" s="410"/>
      <c r="GC313" s="410"/>
      <c r="GD313" s="410"/>
      <c r="GE313" s="410"/>
      <c r="GF313" s="410"/>
      <c r="GG313" s="410"/>
      <c r="GH313" s="410"/>
      <c r="GI313" s="410"/>
      <c r="GJ313" s="410"/>
      <c r="GK313" s="410"/>
      <c r="GL313" s="410"/>
      <c r="GM313" s="410"/>
      <c r="GN313" s="410"/>
      <c r="GO313" s="410"/>
      <c r="GP313" s="410"/>
      <c r="GQ313" s="410"/>
      <c r="GR313" s="410"/>
      <c r="GS313" s="410"/>
      <c r="GT313" s="410"/>
      <c r="GU313" s="410"/>
      <c r="GV313" s="410"/>
      <c r="GW313" s="410"/>
      <c r="GX313" s="410"/>
      <c r="GY313" s="410"/>
      <c r="GZ313" s="410"/>
      <c r="HA313" s="410"/>
      <c r="HB313" s="410"/>
      <c r="HC313" s="410"/>
      <c r="HD313" s="410"/>
      <c r="HE313" s="410"/>
      <c r="HF313" s="410"/>
      <c r="HG313" s="410"/>
      <c r="HH313" s="410"/>
      <c r="HI313" s="410"/>
      <c r="HJ313" s="410"/>
      <c r="HK313" s="410"/>
      <c r="HL313" s="410"/>
      <c r="HM313" s="410"/>
      <c r="HN313" s="410"/>
      <c r="HO313" s="410"/>
      <c r="HP313" s="410"/>
      <c r="HQ313" s="410"/>
      <c r="HR313" s="410"/>
      <c r="HS313" s="410"/>
      <c r="HT313" s="410"/>
      <c r="HU313" s="410"/>
      <c r="HV313" s="410"/>
      <c r="HW313" s="410"/>
      <c r="HX313" s="410"/>
      <c r="HY313" s="410"/>
      <c r="HZ313" s="410"/>
      <c r="IA313" s="410"/>
      <c r="IB313" s="410"/>
      <c r="IC313" s="410"/>
      <c r="ID313" s="410"/>
      <c r="IE313" s="410"/>
      <c r="IF313" s="410"/>
      <c r="IG313" s="410"/>
      <c r="IH313" s="410"/>
      <c r="II313" s="410"/>
      <c r="IJ313" s="410"/>
      <c r="IK313" s="410"/>
      <c r="IL313" s="410"/>
      <c r="IM313" s="410"/>
    </row>
    <row r="314" spans="1:247" s="415" customFormat="1" ht="30" x14ac:dyDescent="0.25">
      <c r="A314" s="99">
        <v>1</v>
      </c>
      <c r="B314" s="57" t="s">
        <v>108</v>
      </c>
      <c r="C314" s="459">
        <f t="shared" si="117"/>
        <v>1500</v>
      </c>
      <c r="D314" s="459">
        <f t="shared" si="117"/>
        <v>625</v>
      </c>
      <c r="E314" s="459">
        <f t="shared" si="117"/>
        <v>444</v>
      </c>
      <c r="F314" s="459">
        <f t="shared" si="117"/>
        <v>71.040000000000006</v>
      </c>
      <c r="G314" s="460">
        <f t="shared" si="117"/>
        <v>3180.7649999999999</v>
      </c>
      <c r="H314" s="460">
        <f t="shared" si="117"/>
        <v>1325.32</v>
      </c>
      <c r="I314" s="460">
        <f t="shared" si="117"/>
        <v>914.55687999999986</v>
      </c>
      <c r="J314" s="460">
        <f t="shared" si="117"/>
        <v>69.006495035161308</v>
      </c>
      <c r="K314" s="410"/>
      <c r="L314" s="410"/>
      <c r="M314" s="410"/>
      <c r="N314" s="410"/>
      <c r="O314" s="410"/>
      <c r="P314" s="410"/>
      <c r="Q314" s="410"/>
      <c r="R314" s="410"/>
      <c r="S314" s="410"/>
      <c r="T314" s="410"/>
      <c r="U314" s="410"/>
      <c r="V314" s="410"/>
      <c r="W314" s="410"/>
      <c r="X314" s="410"/>
      <c r="Y314" s="410"/>
      <c r="Z314" s="410"/>
      <c r="AA314" s="410"/>
      <c r="AB314" s="410"/>
      <c r="AC314" s="410"/>
      <c r="AD314" s="410"/>
      <c r="AE314" s="410"/>
      <c r="AF314" s="410"/>
      <c r="AG314" s="410"/>
      <c r="AH314" s="410"/>
      <c r="AI314" s="410"/>
      <c r="AJ314" s="410"/>
      <c r="AK314" s="410"/>
      <c r="AL314" s="410"/>
      <c r="AM314" s="410"/>
      <c r="AN314" s="410"/>
      <c r="AO314" s="410"/>
      <c r="AP314" s="410"/>
      <c r="AQ314" s="410"/>
      <c r="AR314" s="410"/>
      <c r="AS314" s="410"/>
      <c r="AT314" s="410"/>
      <c r="AU314" s="410"/>
      <c r="AV314" s="410"/>
      <c r="AW314" s="410"/>
      <c r="AX314" s="410"/>
      <c r="AY314" s="410"/>
      <c r="AZ314" s="410"/>
      <c r="BA314" s="410"/>
      <c r="BB314" s="410"/>
      <c r="BC314" s="410"/>
      <c r="BD314" s="410"/>
      <c r="BE314" s="410"/>
      <c r="BF314" s="410"/>
      <c r="BG314" s="410"/>
      <c r="BH314" s="410"/>
      <c r="BI314" s="410"/>
      <c r="BJ314" s="410"/>
      <c r="BK314" s="410"/>
      <c r="BL314" s="410"/>
      <c r="BM314" s="410"/>
      <c r="BN314" s="410"/>
      <c r="BO314" s="410"/>
      <c r="BP314" s="410"/>
      <c r="BQ314" s="410"/>
      <c r="BR314" s="410"/>
      <c r="BS314" s="410"/>
      <c r="BT314" s="410"/>
      <c r="BU314" s="410"/>
      <c r="BV314" s="410"/>
      <c r="BW314" s="410"/>
      <c r="BX314" s="410"/>
      <c r="BY314" s="410"/>
      <c r="BZ314" s="410"/>
      <c r="CA314" s="410"/>
      <c r="CB314" s="410"/>
      <c r="CC314" s="410"/>
      <c r="CD314" s="410"/>
      <c r="CE314" s="410"/>
      <c r="CF314" s="410"/>
      <c r="CG314" s="410"/>
      <c r="CH314" s="410"/>
      <c r="CI314" s="410"/>
      <c r="CJ314" s="410"/>
      <c r="CK314" s="410"/>
      <c r="CL314" s="410"/>
      <c r="CM314" s="410"/>
      <c r="CN314" s="410"/>
      <c r="CO314" s="410"/>
      <c r="CP314" s="410"/>
      <c r="CQ314" s="410"/>
      <c r="CR314" s="410"/>
      <c r="CS314" s="410"/>
      <c r="CT314" s="410"/>
      <c r="CU314" s="410"/>
      <c r="CV314" s="410"/>
      <c r="CW314" s="410"/>
      <c r="CX314" s="410"/>
      <c r="CY314" s="410"/>
      <c r="CZ314" s="410"/>
      <c r="DA314" s="410"/>
      <c r="DB314" s="410"/>
      <c r="DC314" s="410"/>
      <c r="DD314" s="410"/>
      <c r="DE314" s="410"/>
      <c r="DF314" s="410"/>
      <c r="DG314" s="410"/>
      <c r="DH314" s="410"/>
      <c r="DI314" s="410"/>
      <c r="DJ314" s="410"/>
      <c r="DK314" s="410"/>
      <c r="DL314" s="410"/>
      <c r="DM314" s="410"/>
      <c r="DN314" s="410"/>
      <c r="DO314" s="410"/>
      <c r="DP314" s="410"/>
      <c r="DQ314" s="410"/>
      <c r="DR314" s="410"/>
      <c r="DS314" s="410"/>
      <c r="DT314" s="410"/>
      <c r="DU314" s="410"/>
      <c r="DV314" s="410"/>
      <c r="DW314" s="410"/>
      <c r="DX314" s="410"/>
      <c r="DY314" s="410"/>
      <c r="DZ314" s="410"/>
      <c r="EA314" s="410"/>
      <c r="EB314" s="410"/>
      <c r="EC314" s="410"/>
      <c r="ED314" s="410"/>
      <c r="EE314" s="410"/>
      <c r="EF314" s="410"/>
      <c r="EG314" s="410"/>
      <c r="EH314" s="410"/>
      <c r="EI314" s="410"/>
      <c r="EJ314" s="410"/>
      <c r="EK314" s="410"/>
      <c r="EL314" s="410"/>
      <c r="EM314" s="410"/>
      <c r="EN314" s="410"/>
      <c r="EO314" s="410"/>
      <c r="EP314" s="410"/>
      <c r="EQ314" s="410"/>
      <c r="ER314" s="410"/>
      <c r="ES314" s="410"/>
      <c r="ET314" s="410"/>
      <c r="EU314" s="410"/>
      <c r="EV314" s="410"/>
      <c r="EW314" s="410"/>
      <c r="EX314" s="410"/>
      <c r="EY314" s="410"/>
      <c r="EZ314" s="410"/>
      <c r="FA314" s="410"/>
      <c r="FB314" s="410"/>
      <c r="FC314" s="410"/>
      <c r="FD314" s="410"/>
      <c r="FE314" s="410"/>
      <c r="FF314" s="410"/>
      <c r="FG314" s="410"/>
      <c r="FH314" s="410"/>
      <c r="FI314" s="410"/>
      <c r="FJ314" s="410"/>
      <c r="FK314" s="410"/>
      <c r="FL314" s="410"/>
      <c r="FM314" s="410"/>
      <c r="FN314" s="410"/>
      <c r="FO314" s="410"/>
      <c r="FP314" s="410"/>
      <c r="FQ314" s="410"/>
      <c r="FR314" s="410"/>
      <c r="FS314" s="410"/>
      <c r="FT314" s="410"/>
      <c r="FU314" s="410"/>
      <c r="FV314" s="410"/>
      <c r="FW314" s="410"/>
      <c r="FX314" s="410"/>
      <c r="FY314" s="410"/>
      <c r="FZ314" s="410"/>
      <c r="GA314" s="410"/>
      <c r="GB314" s="410"/>
      <c r="GC314" s="410"/>
      <c r="GD314" s="410"/>
      <c r="GE314" s="410"/>
      <c r="GF314" s="410"/>
      <c r="GG314" s="410"/>
      <c r="GH314" s="410"/>
      <c r="GI314" s="410"/>
      <c r="GJ314" s="410"/>
      <c r="GK314" s="410"/>
      <c r="GL314" s="410"/>
      <c r="GM314" s="410"/>
      <c r="GN314" s="410"/>
      <c r="GO314" s="410"/>
      <c r="GP314" s="410"/>
      <c r="GQ314" s="410"/>
      <c r="GR314" s="410"/>
      <c r="GS314" s="410"/>
      <c r="GT314" s="410"/>
      <c r="GU314" s="410"/>
      <c r="GV314" s="410"/>
      <c r="GW314" s="410"/>
      <c r="GX314" s="410"/>
      <c r="GY314" s="410"/>
      <c r="GZ314" s="410"/>
      <c r="HA314" s="410"/>
      <c r="HB314" s="410"/>
      <c r="HC314" s="410"/>
      <c r="HD314" s="410"/>
      <c r="HE314" s="410"/>
      <c r="HF314" s="410"/>
      <c r="HG314" s="410"/>
      <c r="HH314" s="410"/>
      <c r="HI314" s="410"/>
      <c r="HJ314" s="410"/>
      <c r="HK314" s="410"/>
      <c r="HL314" s="410"/>
      <c r="HM314" s="410"/>
      <c r="HN314" s="410"/>
      <c r="HO314" s="410"/>
      <c r="HP314" s="410"/>
      <c r="HQ314" s="410"/>
      <c r="HR314" s="410"/>
      <c r="HS314" s="410"/>
      <c r="HT314" s="410"/>
      <c r="HU314" s="410"/>
      <c r="HV314" s="410"/>
      <c r="HW314" s="410"/>
      <c r="HX314" s="410"/>
      <c r="HY314" s="410"/>
      <c r="HZ314" s="410"/>
      <c r="IA314" s="410"/>
      <c r="IB314" s="410"/>
      <c r="IC314" s="410"/>
      <c r="ID314" s="410"/>
      <c r="IE314" s="410"/>
      <c r="IF314" s="410"/>
      <c r="IG314" s="410"/>
      <c r="IH314" s="410"/>
      <c r="II314" s="410"/>
      <c r="IJ314" s="410"/>
      <c r="IK314" s="410"/>
      <c r="IL314" s="410"/>
      <c r="IM314" s="410"/>
    </row>
    <row r="315" spans="1:247" s="415" customFormat="1" ht="62.25" customHeight="1" x14ac:dyDescent="0.25">
      <c r="A315" s="99">
        <v>1</v>
      </c>
      <c r="B315" s="57" t="s">
        <v>81</v>
      </c>
      <c r="C315" s="459">
        <f t="shared" si="117"/>
        <v>5200</v>
      </c>
      <c r="D315" s="459">
        <f t="shared" si="117"/>
        <v>2167</v>
      </c>
      <c r="E315" s="459">
        <f t="shared" si="117"/>
        <v>2704</v>
      </c>
      <c r="F315" s="459">
        <f t="shared" si="117"/>
        <v>124.78080295339178</v>
      </c>
      <c r="G315" s="460">
        <f t="shared" si="117"/>
        <v>14316.484</v>
      </c>
      <c r="H315" s="460">
        <f t="shared" si="117"/>
        <v>5965.2</v>
      </c>
      <c r="I315" s="460">
        <f t="shared" si="117"/>
        <v>8670.6573499999995</v>
      </c>
      <c r="J315" s="460">
        <f t="shared" si="117"/>
        <v>145.35400908603231</v>
      </c>
      <c r="K315" s="410"/>
      <c r="L315" s="410"/>
      <c r="M315" s="410"/>
      <c r="N315" s="410"/>
      <c r="O315" s="410"/>
      <c r="P315" s="410"/>
      <c r="Q315" s="410"/>
      <c r="R315" s="410"/>
      <c r="S315" s="410"/>
      <c r="T315" s="410"/>
      <c r="U315" s="410"/>
      <c r="V315" s="410"/>
      <c r="W315" s="410"/>
      <c r="X315" s="410"/>
      <c r="Y315" s="410"/>
      <c r="Z315" s="410"/>
      <c r="AA315" s="410"/>
      <c r="AB315" s="410"/>
      <c r="AC315" s="410"/>
      <c r="AD315" s="410"/>
      <c r="AE315" s="410"/>
      <c r="AF315" s="410"/>
      <c r="AG315" s="410"/>
      <c r="AH315" s="410"/>
      <c r="AI315" s="410"/>
      <c r="AJ315" s="410"/>
      <c r="AK315" s="410"/>
      <c r="AL315" s="410"/>
      <c r="AM315" s="410"/>
      <c r="AN315" s="410"/>
      <c r="AO315" s="410"/>
      <c r="AP315" s="410"/>
      <c r="AQ315" s="410"/>
      <c r="AR315" s="410"/>
      <c r="AS315" s="410"/>
      <c r="AT315" s="410"/>
      <c r="AU315" s="410"/>
      <c r="AV315" s="410"/>
      <c r="AW315" s="410"/>
      <c r="AX315" s="410"/>
      <c r="AY315" s="410"/>
      <c r="AZ315" s="410"/>
      <c r="BA315" s="410"/>
      <c r="BB315" s="410"/>
      <c r="BC315" s="410"/>
      <c r="BD315" s="410"/>
      <c r="BE315" s="410"/>
      <c r="BF315" s="410"/>
      <c r="BG315" s="410"/>
      <c r="BH315" s="410"/>
      <c r="BI315" s="410"/>
      <c r="BJ315" s="410"/>
      <c r="BK315" s="410"/>
      <c r="BL315" s="410"/>
      <c r="BM315" s="410"/>
      <c r="BN315" s="410"/>
      <c r="BO315" s="410"/>
      <c r="BP315" s="410"/>
      <c r="BQ315" s="410"/>
      <c r="BR315" s="410"/>
      <c r="BS315" s="410"/>
      <c r="BT315" s="410"/>
      <c r="BU315" s="410"/>
      <c r="BV315" s="410"/>
      <c r="BW315" s="410"/>
      <c r="BX315" s="410"/>
      <c r="BY315" s="410"/>
      <c r="BZ315" s="410"/>
      <c r="CA315" s="410"/>
      <c r="CB315" s="410"/>
      <c r="CC315" s="410"/>
      <c r="CD315" s="410"/>
      <c r="CE315" s="410"/>
      <c r="CF315" s="410"/>
      <c r="CG315" s="410"/>
      <c r="CH315" s="410"/>
      <c r="CI315" s="410"/>
      <c r="CJ315" s="410"/>
      <c r="CK315" s="410"/>
      <c r="CL315" s="410"/>
      <c r="CM315" s="410"/>
      <c r="CN315" s="410"/>
      <c r="CO315" s="410"/>
      <c r="CP315" s="410"/>
      <c r="CQ315" s="410"/>
      <c r="CR315" s="410"/>
      <c r="CS315" s="410"/>
      <c r="CT315" s="410"/>
      <c r="CU315" s="410"/>
      <c r="CV315" s="410"/>
      <c r="CW315" s="410"/>
      <c r="CX315" s="410"/>
      <c r="CY315" s="410"/>
      <c r="CZ315" s="410"/>
      <c r="DA315" s="410"/>
      <c r="DB315" s="410"/>
      <c r="DC315" s="410"/>
      <c r="DD315" s="410"/>
      <c r="DE315" s="410"/>
      <c r="DF315" s="410"/>
      <c r="DG315" s="410"/>
      <c r="DH315" s="410"/>
      <c r="DI315" s="410"/>
      <c r="DJ315" s="410"/>
      <c r="DK315" s="410"/>
      <c r="DL315" s="410"/>
      <c r="DM315" s="410"/>
      <c r="DN315" s="410"/>
      <c r="DO315" s="410"/>
      <c r="DP315" s="410"/>
      <c r="DQ315" s="410"/>
      <c r="DR315" s="410"/>
      <c r="DS315" s="410"/>
      <c r="DT315" s="410"/>
      <c r="DU315" s="410"/>
      <c r="DV315" s="410"/>
      <c r="DW315" s="410"/>
      <c r="DX315" s="410"/>
      <c r="DY315" s="410"/>
      <c r="DZ315" s="410"/>
      <c r="EA315" s="410"/>
      <c r="EB315" s="410"/>
      <c r="EC315" s="410"/>
      <c r="ED315" s="410"/>
      <c r="EE315" s="410"/>
      <c r="EF315" s="410"/>
      <c r="EG315" s="410"/>
      <c r="EH315" s="410"/>
      <c r="EI315" s="410"/>
      <c r="EJ315" s="410"/>
      <c r="EK315" s="410"/>
      <c r="EL315" s="410"/>
      <c r="EM315" s="410"/>
      <c r="EN315" s="410"/>
      <c r="EO315" s="410"/>
      <c r="EP315" s="410"/>
      <c r="EQ315" s="410"/>
      <c r="ER315" s="410"/>
      <c r="ES315" s="410"/>
      <c r="ET315" s="410"/>
      <c r="EU315" s="410"/>
      <c r="EV315" s="410"/>
      <c r="EW315" s="410"/>
      <c r="EX315" s="410"/>
      <c r="EY315" s="410"/>
      <c r="EZ315" s="410"/>
      <c r="FA315" s="410"/>
      <c r="FB315" s="410"/>
      <c r="FC315" s="410"/>
      <c r="FD315" s="410"/>
      <c r="FE315" s="410"/>
      <c r="FF315" s="410"/>
      <c r="FG315" s="410"/>
      <c r="FH315" s="410"/>
      <c r="FI315" s="410"/>
      <c r="FJ315" s="410"/>
      <c r="FK315" s="410"/>
      <c r="FL315" s="410"/>
      <c r="FM315" s="410"/>
      <c r="FN315" s="410"/>
      <c r="FO315" s="410"/>
      <c r="FP315" s="410"/>
      <c r="FQ315" s="410"/>
      <c r="FR315" s="410"/>
      <c r="FS315" s="410"/>
      <c r="FT315" s="410"/>
      <c r="FU315" s="410"/>
      <c r="FV315" s="410"/>
      <c r="FW315" s="410"/>
      <c r="FX315" s="410"/>
      <c r="FY315" s="410"/>
      <c r="FZ315" s="410"/>
      <c r="GA315" s="410"/>
      <c r="GB315" s="410"/>
      <c r="GC315" s="410"/>
      <c r="GD315" s="410"/>
      <c r="GE315" s="410"/>
      <c r="GF315" s="410"/>
      <c r="GG315" s="410"/>
      <c r="GH315" s="410"/>
      <c r="GI315" s="410"/>
      <c r="GJ315" s="410"/>
      <c r="GK315" s="410"/>
      <c r="GL315" s="410"/>
      <c r="GM315" s="410"/>
      <c r="GN315" s="410"/>
      <c r="GO315" s="410"/>
      <c r="GP315" s="410"/>
      <c r="GQ315" s="410"/>
      <c r="GR315" s="410"/>
      <c r="GS315" s="410"/>
      <c r="GT315" s="410"/>
      <c r="GU315" s="410"/>
      <c r="GV315" s="410"/>
      <c r="GW315" s="410"/>
      <c r="GX315" s="410"/>
      <c r="GY315" s="410"/>
      <c r="GZ315" s="410"/>
      <c r="HA315" s="410"/>
      <c r="HB315" s="410"/>
      <c r="HC315" s="410"/>
      <c r="HD315" s="410"/>
      <c r="HE315" s="410"/>
      <c r="HF315" s="410"/>
      <c r="HG315" s="410"/>
      <c r="HH315" s="410"/>
      <c r="HI315" s="410"/>
      <c r="HJ315" s="410"/>
      <c r="HK315" s="410"/>
      <c r="HL315" s="410"/>
      <c r="HM315" s="410"/>
      <c r="HN315" s="410"/>
      <c r="HO315" s="410"/>
      <c r="HP315" s="410"/>
      <c r="HQ315" s="410"/>
      <c r="HR315" s="410"/>
      <c r="HS315" s="410"/>
      <c r="HT315" s="410"/>
      <c r="HU315" s="410"/>
      <c r="HV315" s="410"/>
      <c r="HW315" s="410"/>
      <c r="HX315" s="410"/>
      <c r="HY315" s="410"/>
      <c r="HZ315" s="410"/>
      <c r="IA315" s="410"/>
      <c r="IB315" s="410"/>
      <c r="IC315" s="410"/>
      <c r="ID315" s="410"/>
      <c r="IE315" s="410"/>
      <c r="IF315" s="410"/>
      <c r="IG315" s="410"/>
      <c r="IH315" s="410"/>
      <c r="II315" s="410"/>
      <c r="IJ315" s="410"/>
      <c r="IK315" s="410"/>
      <c r="IL315" s="410"/>
      <c r="IM315" s="410"/>
    </row>
    <row r="316" spans="1:247" s="415" customFormat="1" ht="45" x14ac:dyDescent="0.25">
      <c r="A316" s="99">
        <v>1</v>
      </c>
      <c r="B316" s="57" t="s">
        <v>109</v>
      </c>
      <c r="C316" s="459">
        <f t="shared" si="117"/>
        <v>4560</v>
      </c>
      <c r="D316" s="459">
        <f t="shared" si="117"/>
        <v>1900</v>
      </c>
      <c r="E316" s="459">
        <f t="shared" si="117"/>
        <v>699</v>
      </c>
      <c r="F316" s="459">
        <f t="shared" si="117"/>
        <v>36.789473684210527</v>
      </c>
      <c r="G316" s="460">
        <f t="shared" si="117"/>
        <v>4469.5295999999998</v>
      </c>
      <c r="H316" s="460">
        <f t="shared" si="117"/>
        <v>1862.3</v>
      </c>
      <c r="I316" s="460">
        <f t="shared" si="117"/>
        <v>776.11202000000003</v>
      </c>
      <c r="J316" s="460">
        <f t="shared" si="117"/>
        <v>41.674919185952859</v>
      </c>
      <c r="K316" s="410"/>
      <c r="L316" s="410"/>
      <c r="M316" s="410"/>
      <c r="N316" s="410"/>
      <c r="O316" s="410"/>
      <c r="P316" s="410"/>
      <c r="Q316" s="410"/>
      <c r="R316" s="410"/>
      <c r="S316" s="410"/>
      <c r="T316" s="410"/>
      <c r="U316" s="410"/>
      <c r="V316" s="410"/>
      <c r="W316" s="410"/>
      <c r="X316" s="410"/>
      <c r="Y316" s="410"/>
      <c r="Z316" s="410"/>
      <c r="AA316" s="410"/>
      <c r="AB316" s="410"/>
      <c r="AC316" s="410"/>
      <c r="AD316" s="410"/>
      <c r="AE316" s="410"/>
      <c r="AF316" s="410"/>
      <c r="AG316" s="410"/>
      <c r="AH316" s="410"/>
      <c r="AI316" s="410"/>
      <c r="AJ316" s="410"/>
      <c r="AK316" s="410"/>
      <c r="AL316" s="410"/>
      <c r="AM316" s="410"/>
      <c r="AN316" s="410"/>
      <c r="AO316" s="410"/>
      <c r="AP316" s="410"/>
      <c r="AQ316" s="410"/>
      <c r="AR316" s="410"/>
      <c r="AS316" s="410"/>
      <c r="AT316" s="410"/>
      <c r="AU316" s="410"/>
      <c r="AV316" s="410"/>
      <c r="AW316" s="410"/>
      <c r="AX316" s="410"/>
      <c r="AY316" s="410"/>
      <c r="AZ316" s="410"/>
      <c r="BA316" s="410"/>
      <c r="BB316" s="410"/>
      <c r="BC316" s="410"/>
      <c r="BD316" s="410"/>
      <c r="BE316" s="410"/>
      <c r="BF316" s="410"/>
      <c r="BG316" s="410"/>
      <c r="BH316" s="410"/>
      <c r="BI316" s="410"/>
      <c r="BJ316" s="410"/>
      <c r="BK316" s="410"/>
      <c r="BL316" s="410"/>
      <c r="BM316" s="410"/>
      <c r="BN316" s="410"/>
      <c r="BO316" s="410"/>
      <c r="BP316" s="410"/>
      <c r="BQ316" s="410"/>
      <c r="BR316" s="410"/>
      <c r="BS316" s="410"/>
      <c r="BT316" s="410"/>
      <c r="BU316" s="410"/>
      <c r="BV316" s="410"/>
      <c r="BW316" s="410"/>
      <c r="BX316" s="410"/>
      <c r="BY316" s="410"/>
      <c r="BZ316" s="410"/>
      <c r="CA316" s="410"/>
      <c r="CB316" s="410"/>
      <c r="CC316" s="410"/>
      <c r="CD316" s="410"/>
      <c r="CE316" s="410"/>
      <c r="CF316" s="410"/>
      <c r="CG316" s="410"/>
      <c r="CH316" s="410"/>
      <c r="CI316" s="410"/>
      <c r="CJ316" s="410"/>
      <c r="CK316" s="410"/>
      <c r="CL316" s="410"/>
      <c r="CM316" s="410"/>
      <c r="CN316" s="410"/>
      <c r="CO316" s="410"/>
      <c r="CP316" s="410"/>
      <c r="CQ316" s="410"/>
      <c r="CR316" s="410"/>
      <c r="CS316" s="410"/>
      <c r="CT316" s="410"/>
      <c r="CU316" s="410"/>
      <c r="CV316" s="410"/>
      <c r="CW316" s="410"/>
      <c r="CX316" s="410"/>
      <c r="CY316" s="410"/>
      <c r="CZ316" s="410"/>
      <c r="DA316" s="410"/>
      <c r="DB316" s="410"/>
      <c r="DC316" s="410"/>
      <c r="DD316" s="410"/>
      <c r="DE316" s="410"/>
      <c r="DF316" s="410"/>
      <c r="DG316" s="410"/>
      <c r="DH316" s="410"/>
      <c r="DI316" s="410"/>
      <c r="DJ316" s="410"/>
      <c r="DK316" s="410"/>
      <c r="DL316" s="410"/>
      <c r="DM316" s="410"/>
      <c r="DN316" s="410"/>
      <c r="DO316" s="410"/>
      <c r="DP316" s="410"/>
      <c r="DQ316" s="410"/>
      <c r="DR316" s="410"/>
      <c r="DS316" s="410"/>
      <c r="DT316" s="410"/>
      <c r="DU316" s="410"/>
      <c r="DV316" s="410"/>
      <c r="DW316" s="410"/>
      <c r="DX316" s="410"/>
      <c r="DY316" s="410"/>
      <c r="DZ316" s="410"/>
      <c r="EA316" s="410"/>
      <c r="EB316" s="410"/>
      <c r="EC316" s="410"/>
      <c r="ED316" s="410"/>
      <c r="EE316" s="410"/>
      <c r="EF316" s="410"/>
      <c r="EG316" s="410"/>
      <c r="EH316" s="410"/>
      <c r="EI316" s="410"/>
      <c r="EJ316" s="410"/>
      <c r="EK316" s="410"/>
      <c r="EL316" s="410"/>
      <c r="EM316" s="410"/>
      <c r="EN316" s="410"/>
      <c r="EO316" s="410"/>
      <c r="EP316" s="410"/>
      <c r="EQ316" s="410"/>
      <c r="ER316" s="410"/>
      <c r="ES316" s="410"/>
      <c r="ET316" s="410"/>
      <c r="EU316" s="410"/>
      <c r="EV316" s="410"/>
      <c r="EW316" s="410"/>
      <c r="EX316" s="410"/>
      <c r="EY316" s="410"/>
      <c r="EZ316" s="410"/>
      <c r="FA316" s="410"/>
      <c r="FB316" s="410"/>
      <c r="FC316" s="410"/>
      <c r="FD316" s="410"/>
      <c r="FE316" s="410"/>
      <c r="FF316" s="410"/>
      <c r="FG316" s="410"/>
      <c r="FH316" s="410"/>
      <c r="FI316" s="410"/>
      <c r="FJ316" s="410"/>
      <c r="FK316" s="410"/>
      <c r="FL316" s="410"/>
      <c r="FM316" s="410"/>
      <c r="FN316" s="410"/>
      <c r="FO316" s="410"/>
      <c r="FP316" s="410"/>
      <c r="FQ316" s="410"/>
      <c r="FR316" s="410"/>
      <c r="FS316" s="410"/>
      <c r="FT316" s="410"/>
      <c r="FU316" s="410"/>
      <c r="FV316" s="410"/>
      <c r="FW316" s="410"/>
      <c r="FX316" s="410"/>
      <c r="FY316" s="410"/>
      <c r="FZ316" s="410"/>
      <c r="GA316" s="410"/>
      <c r="GB316" s="410"/>
      <c r="GC316" s="410"/>
      <c r="GD316" s="410"/>
      <c r="GE316" s="410"/>
      <c r="GF316" s="410"/>
      <c r="GG316" s="410"/>
      <c r="GH316" s="410"/>
      <c r="GI316" s="410"/>
      <c r="GJ316" s="410"/>
      <c r="GK316" s="410"/>
      <c r="GL316" s="410"/>
      <c r="GM316" s="410"/>
      <c r="GN316" s="410"/>
      <c r="GO316" s="410"/>
      <c r="GP316" s="410"/>
      <c r="GQ316" s="410"/>
      <c r="GR316" s="410"/>
      <c r="GS316" s="410"/>
      <c r="GT316" s="410"/>
      <c r="GU316" s="410"/>
      <c r="GV316" s="410"/>
      <c r="GW316" s="410"/>
      <c r="GX316" s="410"/>
      <c r="GY316" s="410"/>
      <c r="GZ316" s="410"/>
      <c r="HA316" s="410"/>
      <c r="HB316" s="410"/>
      <c r="HC316" s="410"/>
      <c r="HD316" s="410"/>
      <c r="HE316" s="410"/>
      <c r="HF316" s="410"/>
      <c r="HG316" s="410"/>
      <c r="HH316" s="410"/>
      <c r="HI316" s="410"/>
      <c r="HJ316" s="410"/>
      <c r="HK316" s="410"/>
      <c r="HL316" s="410"/>
      <c r="HM316" s="410"/>
      <c r="HN316" s="410"/>
      <c r="HO316" s="410"/>
      <c r="HP316" s="410"/>
      <c r="HQ316" s="410"/>
      <c r="HR316" s="410"/>
      <c r="HS316" s="410"/>
      <c r="HT316" s="410"/>
      <c r="HU316" s="410"/>
      <c r="HV316" s="410"/>
      <c r="HW316" s="410"/>
      <c r="HX316" s="410"/>
      <c r="HY316" s="410"/>
      <c r="HZ316" s="410"/>
      <c r="IA316" s="410"/>
      <c r="IB316" s="410"/>
      <c r="IC316" s="410"/>
      <c r="ID316" s="410"/>
      <c r="IE316" s="410"/>
      <c r="IF316" s="410"/>
      <c r="IG316" s="410"/>
      <c r="IH316" s="410"/>
      <c r="II316" s="410"/>
      <c r="IJ316" s="410"/>
      <c r="IK316" s="410"/>
      <c r="IL316" s="410"/>
      <c r="IM316" s="410"/>
    </row>
    <row r="317" spans="1:247" s="415" customFormat="1" ht="38.1" customHeight="1" x14ac:dyDescent="0.25">
      <c r="A317" s="99"/>
      <c r="B317" s="57" t="s">
        <v>123</v>
      </c>
      <c r="C317" s="459">
        <f t="shared" si="117"/>
        <v>16671</v>
      </c>
      <c r="D317" s="459">
        <f t="shared" si="117"/>
        <v>6946</v>
      </c>
      <c r="E317" s="459">
        <f t="shared" si="117"/>
        <v>2599</v>
      </c>
      <c r="F317" s="459">
        <f t="shared" si="117"/>
        <v>37.41721854304636</v>
      </c>
      <c r="G317" s="460">
        <f t="shared" si="117"/>
        <v>16224.550620000002</v>
      </c>
      <c r="H317" s="460">
        <f t="shared" si="117"/>
        <v>6760.23</v>
      </c>
      <c r="I317" s="460">
        <f t="shared" si="117"/>
        <v>2505.41725</v>
      </c>
      <c r="J317" s="460">
        <f t="shared" si="117"/>
        <v>37.061124399613625</v>
      </c>
      <c r="K317" s="410"/>
      <c r="L317" s="410"/>
      <c r="M317" s="410"/>
      <c r="N317" s="410"/>
      <c r="O317" s="410"/>
      <c r="P317" s="410"/>
      <c r="Q317" s="410"/>
      <c r="R317" s="410"/>
      <c r="S317" s="410"/>
      <c r="T317" s="410"/>
      <c r="U317" s="410"/>
      <c r="V317" s="410"/>
      <c r="W317" s="410"/>
      <c r="X317" s="410"/>
      <c r="Y317" s="410"/>
      <c r="Z317" s="410"/>
      <c r="AA317" s="410"/>
      <c r="AB317" s="410"/>
      <c r="AC317" s="410"/>
      <c r="AD317" s="410"/>
      <c r="AE317" s="410"/>
      <c r="AF317" s="410"/>
      <c r="AG317" s="410"/>
      <c r="AH317" s="410"/>
      <c r="AI317" s="410"/>
      <c r="AJ317" s="410"/>
      <c r="AK317" s="410"/>
      <c r="AL317" s="410"/>
      <c r="AM317" s="410"/>
      <c r="AN317" s="410"/>
      <c r="AO317" s="410"/>
      <c r="AP317" s="410"/>
      <c r="AQ317" s="410"/>
      <c r="AR317" s="410"/>
      <c r="AS317" s="410"/>
      <c r="AT317" s="410"/>
      <c r="AU317" s="410"/>
      <c r="AV317" s="410"/>
      <c r="AW317" s="410"/>
      <c r="AX317" s="410"/>
      <c r="AY317" s="410"/>
      <c r="AZ317" s="410"/>
      <c r="BA317" s="410"/>
      <c r="BB317" s="410"/>
      <c r="BC317" s="410"/>
      <c r="BD317" s="410"/>
      <c r="BE317" s="410"/>
      <c r="BF317" s="410"/>
      <c r="BG317" s="410"/>
      <c r="BH317" s="410"/>
      <c r="BI317" s="410"/>
      <c r="BJ317" s="410"/>
      <c r="BK317" s="410"/>
      <c r="BL317" s="410"/>
      <c r="BM317" s="410"/>
      <c r="BN317" s="410"/>
      <c r="BO317" s="410"/>
      <c r="BP317" s="410"/>
      <c r="BQ317" s="410"/>
      <c r="BR317" s="410"/>
      <c r="BS317" s="410"/>
      <c r="BT317" s="410"/>
      <c r="BU317" s="410"/>
      <c r="BV317" s="410"/>
      <c r="BW317" s="410"/>
      <c r="BX317" s="410"/>
      <c r="BY317" s="410"/>
      <c r="BZ317" s="410"/>
      <c r="CA317" s="410"/>
      <c r="CB317" s="410"/>
      <c r="CC317" s="410"/>
      <c r="CD317" s="410"/>
      <c r="CE317" s="410"/>
      <c r="CF317" s="410"/>
      <c r="CG317" s="410"/>
      <c r="CH317" s="410"/>
      <c r="CI317" s="410"/>
      <c r="CJ317" s="410"/>
      <c r="CK317" s="410"/>
      <c r="CL317" s="410"/>
      <c r="CM317" s="410"/>
      <c r="CN317" s="410"/>
      <c r="CO317" s="410"/>
      <c r="CP317" s="410"/>
      <c r="CQ317" s="410"/>
      <c r="CR317" s="410"/>
      <c r="CS317" s="410"/>
      <c r="CT317" s="410"/>
      <c r="CU317" s="410"/>
      <c r="CV317" s="410"/>
      <c r="CW317" s="410"/>
      <c r="CX317" s="410"/>
      <c r="CY317" s="410"/>
      <c r="CZ317" s="410"/>
      <c r="DA317" s="410"/>
      <c r="DB317" s="410"/>
      <c r="DC317" s="410"/>
      <c r="DD317" s="410"/>
      <c r="DE317" s="410"/>
      <c r="DF317" s="410"/>
      <c r="DG317" s="410"/>
      <c r="DH317" s="410"/>
      <c r="DI317" s="410"/>
      <c r="DJ317" s="410"/>
      <c r="DK317" s="410"/>
      <c r="DL317" s="410"/>
      <c r="DM317" s="410"/>
      <c r="DN317" s="410"/>
      <c r="DO317" s="410"/>
      <c r="DP317" s="410"/>
      <c r="DQ317" s="410"/>
      <c r="DR317" s="410"/>
      <c r="DS317" s="410"/>
      <c r="DT317" s="410"/>
      <c r="DU317" s="410"/>
      <c r="DV317" s="410"/>
      <c r="DW317" s="410"/>
      <c r="DX317" s="410"/>
      <c r="DY317" s="410"/>
      <c r="DZ317" s="410"/>
      <c r="EA317" s="410"/>
      <c r="EB317" s="410"/>
      <c r="EC317" s="410"/>
      <c r="ED317" s="410"/>
      <c r="EE317" s="410"/>
      <c r="EF317" s="410"/>
      <c r="EG317" s="410"/>
      <c r="EH317" s="410"/>
      <c r="EI317" s="410"/>
      <c r="EJ317" s="410"/>
      <c r="EK317" s="410"/>
      <c r="EL317" s="410"/>
      <c r="EM317" s="410"/>
      <c r="EN317" s="410"/>
      <c r="EO317" s="410"/>
      <c r="EP317" s="410"/>
      <c r="EQ317" s="410"/>
      <c r="ER317" s="410"/>
      <c r="ES317" s="410"/>
      <c r="ET317" s="410"/>
      <c r="EU317" s="410"/>
      <c r="EV317" s="410"/>
      <c r="EW317" s="410"/>
      <c r="EX317" s="410"/>
      <c r="EY317" s="410"/>
      <c r="EZ317" s="410"/>
      <c r="FA317" s="410"/>
      <c r="FB317" s="410"/>
      <c r="FC317" s="410"/>
      <c r="FD317" s="410"/>
      <c r="FE317" s="410"/>
      <c r="FF317" s="410"/>
      <c r="FG317" s="410"/>
      <c r="FH317" s="410"/>
      <c r="FI317" s="410"/>
      <c r="FJ317" s="410"/>
      <c r="FK317" s="410"/>
      <c r="FL317" s="410"/>
      <c r="FM317" s="410"/>
      <c r="FN317" s="410"/>
      <c r="FO317" s="410"/>
      <c r="FP317" s="410"/>
      <c r="FQ317" s="410"/>
      <c r="FR317" s="410"/>
      <c r="FS317" s="410"/>
      <c r="FT317" s="410"/>
      <c r="FU317" s="410"/>
      <c r="FV317" s="410"/>
      <c r="FW317" s="410"/>
      <c r="FX317" s="410"/>
      <c r="FY317" s="410"/>
      <c r="FZ317" s="410"/>
      <c r="GA317" s="410"/>
      <c r="GB317" s="410"/>
      <c r="GC317" s="410"/>
      <c r="GD317" s="410"/>
      <c r="GE317" s="410"/>
      <c r="GF317" s="410"/>
      <c r="GG317" s="410"/>
      <c r="GH317" s="410"/>
      <c r="GI317" s="410"/>
      <c r="GJ317" s="410"/>
      <c r="GK317" s="410"/>
      <c r="GL317" s="410"/>
      <c r="GM317" s="410"/>
      <c r="GN317" s="410"/>
      <c r="GO317" s="410"/>
      <c r="GP317" s="410"/>
      <c r="GQ317" s="410"/>
      <c r="GR317" s="410"/>
      <c r="GS317" s="410"/>
      <c r="GT317" s="410"/>
      <c r="GU317" s="410"/>
      <c r="GV317" s="410"/>
      <c r="GW317" s="410"/>
      <c r="GX317" s="410"/>
      <c r="GY317" s="410"/>
      <c r="GZ317" s="410"/>
      <c r="HA317" s="410"/>
      <c r="HB317" s="410"/>
      <c r="HC317" s="410"/>
      <c r="HD317" s="410"/>
      <c r="HE317" s="410"/>
      <c r="HF317" s="410"/>
      <c r="HG317" s="410"/>
      <c r="HH317" s="410"/>
      <c r="HI317" s="410"/>
      <c r="HJ317" s="410"/>
      <c r="HK317" s="410"/>
      <c r="HL317" s="410"/>
      <c r="HM317" s="410"/>
      <c r="HN317" s="410"/>
      <c r="HO317" s="410"/>
      <c r="HP317" s="410"/>
      <c r="HQ317" s="410"/>
      <c r="HR317" s="410"/>
      <c r="HS317" s="410"/>
      <c r="HT317" s="410"/>
      <c r="HU317" s="410"/>
      <c r="HV317" s="410"/>
      <c r="HW317" s="410"/>
      <c r="HX317" s="410"/>
      <c r="HY317" s="410"/>
      <c r="HZ317" s="410"/>
      <c r="IA317" s="410"/>
      <c r="IB317" s="410"/>
      <c r="IC317" s="410"/>
      <c r="ID317" s="410"/>
      <c r="IE317" s="410"/>
      <c r="IF317" s="410"/>
      <c r="IG317" s="410"/>
      <c r="IH317" s="410"/>
      <c r="II317" s="410"/>
      <c r="IJ317" s="410"/>
      <c r="IK317" s="410"/>
      <c r="IL317" s="410"/>
      <c r="IM317" s="410"/>
    </row>
    <row r="318" spans="1:247" s="415" customFormat="1" x14ac:dyDescent="0.25">
      <c r="A318" s="99"/>
      <c r="B318" s="57" t="s">
        <v>125</v>
      </c>
      <c r="C318" s="459">
        <f t="shared" si="117"/>
        <v>1500</v>
      </c>
      <c r="D318" s="459">
        <f t="shared" si="117"/>
        <v>625</v>
      </c>
      <c r="E318" s="459">
        <f t="shared" si="117"/>
        <v>708</v>
      </c>
      <c r="F318" s="459">
        <f t="shared" si="117"/>
        <v>113.28</v>
      </c>
      <c r="G318" s="460">
        <f t="shared" si="117"/>
        <v>1459.8300000000002</v>
      </c>
      <c r="H318" s="460">
        <f t="shared" si="117"/>
        <v>608.26</v>
      </c>
      <c r="I318" s="460">
        <f t="shared" si="117"/>
        <v>683.45934</v>
      </c>
      <c r="J318" s="460">
        <f t="shared" si="117"/>
        <v>112.36302567980798</v>
      </c>
      <c r="K318" s="410"/>
      <c r="L318" s="410"/>
      <c r="M318" s="410"/>
      <c r="N318" s="410"/>
      <c r="O318" s="410"/>
      <c r="P318" s="410"/>
      <c r="Q318" s="410"/>
      <c r="R318" s="410"/>
      <c r="S318" s="410"/>
      <c r="T318" s="410"/>
      <c r="U318" s="410"/>
      <c r="V318" s="410"/>
      <c r="W318" s="410"/>
      <c r="X318" s="410"/>
      <c r="Y318" s="410"/>
      <c r="Z318" s="410"/>
      <c r="AA318" s="410"/>
      <c r="AB318" s="410"/>
      <c r="AC318" s="410"/>
      <c r="AD318" s="410"/>
      <c r="AE318" s="410"/>
      <c r="AF318" s="410"/>
      <c r="AG318" s="410"/>
      <c r="AH318" s="410"/>
      <c r="AI318" s="410"/>
      <c r="AJ318" s="410"/>
      <c r="AK318" s="410"/>
      <c r="AL318" s="410"/>
      <c r="AM318" s="410"/>
      <c r="AN318" s="410"/>
      <c r="AO318" s="410"/>
      <c r="AP318" s="410"/>
      <c r="AQ318" s="410"/>
      <c r="AR318" s="410"/>
      <c r="AS318" s="410"/>
      <c r="AT318" s="410"/>
      <c r="AU318" s="410"/>
      <c r="AV318" s="410"/>
      <c r="AW318" s="410"/>
      <c r="AX318" s="410"/>
      <c r="AY318" s="410"/>
      <c r="AZ318" s="410"/>
      <c r="BA318" s="410"/>
      <c r="BB318" s="410"/>
      <c r="BC318" s="410"/>
      <c r="BD318" s="410"/>
      <c r="BE318" s="410"/>
      <c r="BF318" s="410"/>
      <c r="BG318" s="410"/>
      <c r="BH318" s="410"/>
      <c r="BI318" s="410"/>
      <c r="BJ318" s="410"/>
      <c r="BK318" s="410"/>
      <c r="BL318" s="410"/>
      <c r="BM318" s="410"/>
      <c r="BN318" s="410"/>
      <c r="BO318" s="410"/>
      <c r="BP318" s="410"/>
      <c r="BQ318" s="410"/>
      <c r="BR318" s="410"/>
      <c r="BS318" s="410"/>
      <c r="BT318" s="410"/>
      <c r="BU318" s="410"/>
      <c r="BV318" s="410"/>
      <c r="BW318" s="410"/>
      <c r="BX318" s="410"/>
      <c r="BY318" s="410"/>
      <c r="BZ318" s="410"/>
      <c r="CA318" s="410"/>
      <c r="CB318" s="410"/>
      <c r="CC318" s="410"/>
      <c r="CD318" s="410"/>
      <c r="CE318" s="410"/>
      <c r="CF318" s="410"/>
      <c r="CG318" s="410"/>
      <c r="CH318" s="410"/>
      <c r="CI318" s="410"/>
      <c r="CJ318" s="410"/>
      <c r="CK318" s="410"/>
      <c r="CL318" s="410"/>
      <c r="CM318" s="410"/>
      <c r="CN318" s="410"/>
      <c r="CO318" s="410"/>
      <c r="CP318" s="410"/>
      <c r="CQ318" s="410"/>
      <c r="CR318" s="410"/>
      <c r="CS318" s="410"/>
      <c r="CT318" s="410"/>
      <c r="CU318" s="410"/>
      <c r="CV318" s="410"/>
      <c r="CW318" s="410"/>
      <c r="CX318" s="410"/>
      <c r="CY318" s="410"/>
      <c r="CZ318" s="410"/>
      <c r="DA318" s="410"/>
      <c r="DB318" s="410"/>
      <c r="DC318" s="410"/>
      <c r="DD318" s="410"/>
      <c r="DE318" s="410"/>
      <c r="DF318" s="410"/>
      <c r="DG318" s="410"/>
      <c r="DH318" s="410"/>
      <c r="DI318" s="410"/>
      <c r="DJ318" s="410"/>
      <c r="DK318" s="410"/>
      <c r="DL318" s="410"/>
      <c r="DM318" s="410"/>
      <c r="DN318" s="410"/>
      <c r="DO318" s="410"/>
      <c r="DP318" s="410"/>
      <c r="DQ318" s="410"/>
      <c r="DR318" s="410"/>
      <c r="DS318" s="410"/>
      <c r="DT318" s="410"/>
      <c r="DU318" s="410"/>
      <c r="DV318" s="410"/>
      <c r="DW318" s="410"/>
      <c r="DX318" s="410"/>
      <c r="DY318" s="410"/>
      <c r="DZ318" s="410"/>
      <c r="EA318" s="410"/>
      <c r="EB318" s="410"/>
      <c r="EC318" s="410"/>
      <c r="ED318" s="410"/>
      <c r="EE318" s="410"/>
      <c r="EF318" s="410"/>
      <c r="EG318" s="410"/>
      <c r="EH318" s="410"/>
      <c r="EI318" s="410"/>
      <c r="EJ318" s="410"/>
      <c r="EK318" s="410"/>
      <c r="EL318" s="410"/>
      <c r="EM318" s="410"/>
      <c r="EN318" s="410"/>
      <c r="EO318" s="410"/>
      <c r="EP318" s="410"/>
      <c r="EQ318" s="410"/>
      <c r="ER318" s="410"/>
      <c r="ES318" s="410"/>
      <c r="ET318" s="410"/>
      <c r="EU318" s="410"/>
      <c r="EV318" s="410"/>
      <c r="EW318" s="410"/>
      <c r="EX318" s="410"/>
      <c r="EY318" s="410"/>
      <c r="EZ318" s="410"/>
      <c r="FA318" s="410"/>
      <c r="FB318" s="410"/>
      <c r="FC318" s="410"/>
      <c r="FD318" s="410"/>
      <c r="FE318" s="410"/>
      <c r="FF318" s="410"/>
      <c r="FG318" s="410"/>
      <c r="FH318" s="410"/>
      <c r="FI318" s="410"/>
      <c r="FJ318" s="410"/>
      <c r="FK318" s="410"/>
      <c r="FL318" s="410"/>
      <c r="FM318" s="410"/>
      <c r="FN318" s="410"/>
      <c r="FO318" s="410"/>
      <c r="FP318" s="410"/>
      <c r="FQ318" s="410"/>
      <c r="FR318" s="410"/>
      <c r="FS318" s="410"/>
      <c r="FT318" s="410"/>
      <c r="FU318" s="410"/>
      <c r="FV318" s="410"/>
      <c r="FW318" s="410"/>
      <c r="FX318" s="410"/>
      <c r="FY318" s="410"/>
      <c r="FZ318" s="410"/>
      <c r="GA318" s="410"/>
      <c r="GB318" s="410"/>
      <c r="GC318" s="410"/>
      <c r="GD318" s="410"/>
      <c r="GE318" s="410"/>
      <c r="GF318" s="410"/>
      <c r="GG318" s="410"/>
      <c r="GH318" s="410"/>
      <c r="GI318" s="410"/>
      <c r="GJ318" s="410"/>
      <c r="GK318" s="410"/>
      <c r="GL318" s="410"/>
      <c r="GM318" s="410"/>
      <c r="GN318" s="410"/>
      <c r="GO318" s="410"/>
      <c r="GP318" s="410"/>
      <c r="GQ318" s="410"/>
      <c r="GR318" s="410"/>
      <c r="GS318" s="410"/>
      <c r="GT318" s="410"/>
      <c r="GU318" s="410"/>
      <c r="GV318" s="410"/>
      <c r="GW318" s="410"/>
      <c r="GX318" s="410"/>
      <c r="GY318" s="410"/>
      <c r="GZ318" s="410"/>
      <c r="HA318" s="410"/>
      <c r="HB318" s="410"/>
      <c r="HC318" s="410"/>
      <c r="HD318" s="410"/>
      <c r="HE318" s="410"/>
      <c r="HF318" s="410"/>
      <c r="HG318" s="410"/>
      <c r="HH318" s="410"/>
      <c r="HI318" s="410"/>
      <c r="HJ318" s="410"/>
      <c r="HK318" s="410"/>
      <c r="HL318" s="410"/>
      <c r="HM318" s="410"/>
      <c r="HN318" s="410"/>
      <c r="HO318" s="410"/>
      <c r="HP318" s="410"/>
      <c r="HQ318" s="410"/>
      <c r="HR318" s="410"/>
      <c r="HS318" s="410"/>
      <c r="HT318" s="410"/>
      <c r="HU318" s="410"/>
      <c r="HV318" s="410"/>
      <c r="HW318" s="410"/>
      <c r="HX318" s="410"/>
      <c r="HY318" s="410"/>
      <c r="HZ318" s="410"/>
      <c r="IA318" s="410"/>
      <c r="IB318" s="410"/>
      <c r="IC318" s="410"/>
      <c r="ID318" s="410"/>
      <c r="IE318" s="410"/>
      <c r="IF318" s="410"/>
      <c r="IG318" s="410"/>
      <c r="IH318" s="410"/>
      <c r="II318" s="410"/>
      <c r="IJ318" s="410"/>
      <c r="IK318" s="410"/>
      <c r="IL318" s="410"/>
      <c r="IM318" s="410"/>
    </row>
    <row r="319" spans="1:247" x14ac:dyDescent="0.25">
      <c r="A319" s="99">
        <v>1</v>
      </c>
      <c r="B319" s="53" t="s">
        <v>107</v>
      </c>
      <c r="C319" s="473">
        <f t="shared" ref="C319:J319" si="118">C306</f>
        <v>0</v>
      </c>
      <c r="D319" s="473">
        <f t="shared" si="118"/>
        <v>0</v>
      </c>
      <c r="E319" s="473">
        <f t="shared" si="118"/>
        <v>0</v>
      </c>
      <c r="F319" s="473">
        <f t="shared" si="118"/>
        <v>0</v>
      </c>
      <c r="G319" s="474">
        <f t="shared" si="118"/>
        <v>46720.167529999999</v>
      </c>
      <c r="H319" s="474">
        <f t="shared" si="118"/>
        <v>19466.739999999998</v>
      </c>
      <c r="I319" s="474">
        <f t="shared" si="118"/>
        <v>16825.17455</v>
      </c>
      <c r="J319" s="474">
        <f t="shared" si="118"/>
        <v>86.4303655876639</v>
      </c>
    </row>
    <row r="320" spans="1:247" ht="15.75" thickBot="1" x14ac:dyDescent="0.3">
      <c r="A320" s="99">
        <v>1</v>
      </c>
      <c r="B320" s="443" t="s">
        <v>10</v>
      </c>
      <c r="C320" s="97"/>
      <c r="D320" s="97"/>
      <c r="E320" s="97"/>
      <c r="F320" s="97"/>
      <c r="G320" s="220"/>
      <c r="H320" s="220"/>
      <c r="I320" s="220"/>
      <c r="J320" s="220"/>
    </row>
    <row r="321" spans="1:247" ht="29.25" x14ac:dyDescent="0.25">
      <c r="A321" s="99">
        <v>1</v>
      </c>
      <c r="B321" s="124" t="s">
        <v>78</v>
      </c>
      <c r="C321" s="69"/>
      <c r="D321" s="69"/>
      <c r="E321" s="69"/>
      <c r="F321" s="69"/>
      <c r="G321" s="330"/>
      <c r="H321" s="330"/>
      <c r="I321" s="223"/>
      <c r="J321" s="330"/>
    </row>
    <row r="322" spans="1:247" s="49" customFormat="1" ht="30" x14ac:dyDescent="0.25">
      <c r="A322" s="99">
        <v>1</v>
      </c>
      <c r="B322" s="57" t="s">
        <v>120</v>
      </c>
      <c r="C322" s="54">
        <f>SUM(C323:C326)</f>
        <v>3295</v>
      </c>
      <c r="D322" s="54">
        <f>SUM(D323:D326)</f>
        <v>1373</v>
      </c>
      <c r="E322" s="54">
        <f>SUM(E323:E326)</f>
        <v>1031</v>
      </c>
      <c r="F322" s="54">
        <f>E322/D322*100</f>
        <v>75.091041514930808</v>
      </c>
      <c r="G322" s="205">
        <f>SUM(G323:G326)</f>
        <v>6315.0936700000002</v>
      </c>
      <c r="H322" s="205">
        <f>SUM(H323:H326)</f>
        <v>2631.29</v>
      </c>
      <c r="I322" s="205">
        <f>SUM(I323:I326)</f>
        <v>1752.9007000000001</v>
      </c>
      <c r="J322" s="205">
        <f t="shared" ref="J322:J332" si="119">I322/H322*100</f>
        <v>66.617541206024427</v>
      </c>
    </row>
    <row r="323" spans="1:247" s="49" customFormat="1" ht="30" x14ac:dyDescent="0.25">
      <c r="A323" s="99">
        <v>1</v>
      </c>
      <c r="B323" s="57" t="s">
        <v>79</v>
      </c>
      <c r="C323" s="54">
        <v>2326</v>
      </c>
      <c r="D323" s="50">
        <f t="shared" ref="D323:D330" si="120">ROUND(C323/12*$B$3,0)</f>
        <v>969</v>
      </c>
      <c r="E323" s="54">
        <v>794</v>
      </c>
      <c r="F323" s="54">
        <f>E323/D323*100</f>
        <v>81.940144478844161</v>
      </c>
      <c r="G323" s="205">
        <v>3271.1419999999998</v>
      </c>
      <c r="H323" s="323">
        <f t="shared" ref="H323:H326" si="121">ROUND(G323/12*$B$3,2)</f>
        <v>1362.98</v>
      </c>
      <c r="I323" s="205">
        <v>1226.7803600000002</v>
      </c>
      <c r="J323" s="205">
        <f t="shared" si="119"/>
        <v>90.007216540228043</v>
      </c>
    </row>
    <row r="324" spans="1:247" s="49" customFormat="1" ht="30" x14ac:dyDescent="0.25">
      <c r="A324" s="99">
        <v>1</v>
      </c>
      <c r="B324" s="57" t="s">
        <v>80</v>
      </c>
      <c r="C324" s="54">
        <v>698</v>
      </c>
      <c r="D324" s="50">
        <f t="shared" si="120"/>
        <v>291</v>
      </c>
      <c r="E324" s="54">
        <v>216</v>
      </c>
      <c r="F324" s="54">
        <f>E324/D324*100</f>
        <v>74.226804123711347</v>
      </c>
      <c r="G324" s="205">
        <v>1265.62799</v>
      </c>
      <c r="H324" s="323">
        <f t="shared" si="121"/>
        <v>527.34</v>
      </c>
      <c r="I324" s="205">
        <v>388.31665999999996</v>
      </c>
      <c r="J324" s="205">
        <f t="shared" si="119"/>
        <v>73.636868054765415</v>
      </c>
    </row>
    <row r="325" spans="1:247" s="49" customFormat="1" ht="45" x14ac:dyDescent="0.25">
      <c r="A325" s="99">
        <v>1</v>
      </c>
      <c r="B325" s="57" t="s">
        <v>114</v>
      </c>
      <c r="C325" s="54">
        <v>21</v>
      </c>
      <c r="D325" s="50">
        <f t="shared" si="120"/>
        <v>9</v>
      </c>
      <c r="E325" s="54">
        <v>21</v>
      </c>
      <c r="F325" s="54">
        <f>E325/D325*100</f>
        <v>233.33333333333334</v>
      </c>
      <c r="G325" s="205">
        <v>137.80367999999999</v>
      </c>
      <c r="H325" s="323">
        <f t="shared" si="121"/>
        <v>57.42</v>
      </c>
      <c r="I325" s="205">
        <v>137.80367999999999</v>
      </c>
      <c r="J325" s="205">
        <f t="shared" si="119"/>
        <v>239.99247648902818</v>
      </c>
    </row>
    <row r="326" spans="1:247" s="49" customFormat="1" ht="30" x14ac:dyDescent="0.25">
      <c r="A326" s="99">
        <v>1</v>
      </c>
      <c r="B326" s="57" t="s">
        <v>115</v>
      </c>
      <c r="C326" s="54">
        <v>250</v>
      </c>
      <c r="D326" s="50">
        <f t="shared" si="120"/>
        <v>104</v>
      </c>
      <c r="E326" s="54">
        <v>0</v>
      </c>
      <c r="F326" s="54">
        <f t="shared" ref="F326:F330" si="122">E326/D326*100</f>
        <v>0</v>
      </c>
      <c r="G326" s="205">
        <v>1640.52</v>
      </c>
      <c r="H326" s="323">
        <f t="shared" si="121"/>
        <v>683.55</v>
      </c>
      <c r="I326" s="205">
        <v>0</v>
      </c>
      <c r="J326" s="205">
        <f t="shared" si="119"/>
        <v>0</v>
      </c>
    </row>
    <row r="327" spans="1:247" s="49" customFormat="1" ht="30" x14ac:dyDescent="0.25">
      <c r="A327" s="99">
        <v>1</v>
      </c>
      <c r="B327" s="57" t="s">
        <v>112</v>
      </c>
      <c r="C327" s="54">
        <f>SUM(C328:C330)</f>
        <v>7360</v>
      </c>
      <c r="D327" s="54">
        <f>SUM(D328:D330)</f>
        <v>3066</v>
      </c>
      <c r="E327" s="54">
        <f>SUM(E328:E330)</f>
        <v>2030</v>
      </c>
      <c r="F327" s="54">
        <f t="shared" si="122"/>
        <v>66.210045662100455</v>
      </c>
      <c r="G327" s="199">
        <f>SUM(G328:G330)</f>
        <v>15168.309600000001</v>
      </c>
      <c r="H327" s="199">
        <f>SUM(H328:H330)</f>
        <v>6320.12</v>
      </c>
      <c r="I327" s="199">
        <f>SUM(I328:I330)</f>
        <v>4381.73056</v>
      </c>
      <c r="J327" s="205">
        <f t="shared" si="119"/>
        <v>69.329863357024863</v>
      </c>
    </row>
    <row r="328" spans="1:247" s="49" customFormat="1" ht="30" x14ac:dyDescent="0.25">
      <c r="A328" s="99">
        <v>1</v>
      </c>
      <c r="B328" s="57" t="s">
        <v>108</v>
      </c>
      <c r="C328" s="54">
        <v>2000</v>
      </c>
      <c r="D328" s="50">
        <f t="shared" si="120"/>
        <v>833</v>
      </c>
      <c r="E328" s="54">
        <v>611</v>
      </c>
      <c r="F328" s="54">
        <f t="shared" si="122"/>
        <v>73.349339735894361</v>
      </c>
      <c r="G328" s="205">
        <f>4241020/1000</f>
        <v>4241.0200000000004</v>
      </c>
      <c r="H328" s="323">
        <f t="shared" ref="H328:H331" si="123">ROUND(G328/12*$B$3,2)</f>
        <v>1767.09</v>
      </c>
      <c r="I328" s="205">
        <v>1274.98902</v>
      </c>
      <c r="J328" s="205">
        <f t="shared" si="119"/>
        <v>72.151900582313303</v>
      </c>
    </row>
    <row r="329" spans="1:247" s="49" customFormat="1" ht="60" x14ac:dyDescent="0.25">
      <c r="A329" s="99">
        <v>1</v>
      </c>
      <c r="B329" s="57" t="s">
        <v>119</v>
      </c>
      <c r="C329" s="54">
        <v>3200</v>
      </c>
      <c r="D329" s="50">
        <f t="shared" si="120"/>
        <v>1333</v>
      </c>
      <c r="E329" s="54">
        <v>972</v>
      </c>
      <c r="F329" s="54">
        <f t="shared" si="122"/>
        <v>72.918229557389353</v>
      </c>
      <c r="G329" s="205">
        <f>8810144/1000</f>
        <v>8810.1440000000002</v>
      </c>
      <c r="H329" s="323">
        <f t="shared" si="123"/>
        <v>3670.89</v>
      </c>
      <c r="I329" s="205">
        <v>2634.6824200000001</v>
      </c>
      <c r="J329" s="205">
        <f t="shared" si="119"/>
        <v>71.772306443396559</v>
      </c>
    </row>
    <row r="330" spans="1:247" s="49" customFormat="1" ht="45" x14ac:dyDescent="0.25">
      <c r="A330" s="99">
        <v>1</v>
      </c>
      <c r="B330" s="57" t="s">
        <v>109</v>
      </c>
      <c r="C330" s="54">
        <v>2160</v>
      </c>
      <c r="D330" s="50">
        <f t="shared" si="120"/>
        <v>900</v>
      </c>
      <c r="E330" s="54">
        <v>447</v>
      </c>
      <c r="F330" s="54">
        <f t="shared" si="122"/>
        <v>49.666666666666664</v>
      </c>
      <c r="G330" s="205">
        <f>2117145.6/1000</f>
        <v>2117.1456000000003</v>
      </c>
      <c r="H330" s="323">
        <f t="shared" si="123"/>
        <v>882.14</v>
      </c>
      <c r="I330" s="205">
        <v>472.05912000000001</v>
      </c>
      <c r="J330" s="205">
        <f t="shared" si="119"/>
        <v>53.512948058131357</v>
      </c>
    </row>
    <row r="331" spans="1:247" s="49" customFormat="1" ht="30.75" thickBot="1" x14ac:dyDescent="0.3">
      <c r="A331" s="99"/>
      <c r="B331" s="408" t="s">
        <v>123</v>
      </c>
      <c r="C331" s="54">
        <v>12300</v>
      </c>
      <c r="D331" s="50">
        <f>ROUND(C331/12*$B$3,0)</f>
        <v>5125</v>
      </c>
      <c r="E331" s="54">
        <v>5836</v>
      </c>
      <c r="F331" s="56">
        <f>E331/D331*100</f>
        <v>113.8731707317073</v>
      </c>
      <c r="G331" s="205">
        <v>11970.606</v>
      </c>
      <c r="H331" s="323">
        <f t="shared" si="123"/>
        <v>4987.75</v>
      </c>
      <c r="I331" s="205">
        <v>5677.8510000000006</v>
      </c>
      <c r="J331" s="205">
        <f>I331/H331*100</f>
        <v>113.8359179990978</v>
      </c>
    </row>
    <row r="332" spans="1:247" s="49" customFormat="1" ht="15.75" thickBot="1" x14ac:dyDescent="0.3">
      <c r="A332" s="99">
        <v>1</v>
      </c>
      <c r="B332" s="445" t="s">
        <v>3</v>
      </c>
      <c r="C332" s="56"/>
      <c r="D332" s="56"/>
      <c r="E332" s="56"/>
      <c r="F332" s="56"/>
      <c r="G332" s="209">
        <f>G327+G322+G331</f>
        <v>33454.009270000002</v>
      </c>
      <c r="H332" s="209">
        <f>H327+H322+H331</f>
        <v>13939.16</v>
      </c>
      <c r="I332" s="209">
        <f>I327+I322+I331</f>
        <v>11812.482260000001</v>
      </c>
      <c r="J332" s="209">
        <f t="shared" si="119"/>
        <v>84.743142771874346</v>
      </c>
    </row>
    <row r="333" spans="1:247" x14ac:dyDescent="0.25">
      <c r="A333" s="99">
        <v>1</v>
      </c>
      <c r="B333" s="382" t="s">
        <v>46</v>
      </c>
      <c r="C333" s="59"/>
      <c r="D333" s="59"/>
      <c r="E333" s="59"/>
      <c r="F333" s="59"/>
      <c r="G333" s="465"/>
      <c r="H333" s="465"/>
      <c r="I333" s="465"/>
      <c r="J333" s="465"/>
    </row>
    <row r="334" spans="1:247" s="415" customFormat="1" ht="30" x14ac:dyDescent="0.25">
      <c r="A334" s="99">
        <v>1</v>
      </c>
      <c r="B334" s="121" t="s">
        <v>120</v>
      </c>
      <c r="C334" s="459">
        <f t="shared" ref="C334:J342" si="124">C322</f>
        <v>3295</v>
      </c>
      <c r="D334" s="459">
        <f t="shared" si="124"/>
        <v>1373</v>
      </c>
      <c r="E334" s="459">
        <f t="shared" si="124"/>
        <v>1031</v>
      </c>
      <c r="F334" s="459">
        <f t="shared" si="124"/>
        <v>75.091041514930808</v>
      </c>
      <c r="G334" s="460">
        <f t="shared" si="124"/>
        <v>6315.0936700000002</v>
      </c>
      <c r="H334" s="460">
        <f t="shared" si="124"/>
        <v>2631.29</v>
      </c>
      <c r="I334" s="460">
        <f t="shared" si="124"/>
        <v>1752.9007000000001</v>
      </c>
      <c r="J334" s="460">
        <f t="shared" si="124"/>
        <v>66.617541206024427</v>
      </c>
      <c r="K334" s="410"/>
      <c r="L334" s="410"/>
      <c r="M334" s="410"/>
      <c r="N334" s="410"/>
      <c r="O334" s="410"/>
      <c r="P334" s="410"/>
      <c r="Q334" s="410"/>
      <c r="R334" s="410"/>
      <c r="S334" s="410"/>
      <c r="T334" s="410"/>
      <c r="U334" s="410"/>
      <c r="V334" s="410"/>
      <c r="W334" s="410"/>
      <c r="X334" s="410"/>
      <c r="Y334" s="410"/>
      <c r="Z334" s="410"/>
      <c r="AA334" s="410"/>
      <c r="AB334" s="410"/>
      <c r="AC334" s="410"/>
      <c r="AD334" s="410"/>
      <c r="AE334" s="410"/>
      <c r="AF334" s="410"/>
      <c r="AG334" s="410"/>
      <c r="AH334" s="410"/>
      <c r="AI334" s="410"/>
      <c r="AJ334" s="410"/>
      <c r="AK334" s="410"/>
      <c r="AL334" s="410"/>
      <c r="AM334" s="410"/>
      <c r="AN334" s="410"/>
      <c r="AO334" s="410"/>
      <c r="AP334" s="410"/>
      <c r="AQ334" s="410"/>
      <c r="AR334" s="410"/>
      <c r="AS334" s="410"/>
      <c r="AT334" s="410"/>
      <c r="AU334" s="410"/>
      <c r="AV334" s="410"/>
      <c r="AW334" s="410"/>
      <c r="AX334" s="410"/>
      <c r="AY334" s="410"/>
      <c r="AZ334" s="410"/>
      <c r="BA334" s="410"/>
      <c r="BB334" s="410"/>
      <c r="BC334" s="410"/>
      <c r="BD334" s="410"/>
      <c r="BE334" s="410"/>
      <c r="BF334" s="410"/>
      <c r="BG334" s="410"/>
      <c r="BH334" s="410"/>
      <c r="BI334" s="410"/>
      <c r="BJ334" s="410"/>
      <c r="BK334" s="410"/>
      <c r="BL334" s="410"/>
      <c r="BM334" s="410"/>
      <c r="BN334" s="410"/>
      <c r="BO334" s="410"/>
      <c r="BP334" s="410"/>
      <c r="BQ334" s="410"/>
      <c r="BR334" s="410"/>
      <c r="BS334" s="410"/>
      <c r="BT334" s="410"/>
      <c r="BU334" s="410"/>
      <c r="BV334" s="410"/>
      <c r="BW334" s="410"/>
      <c r="BX334" s="410"/>
      <c r="BY334" s="410"/>
      <c r="BZ334" s="410"/>
      <c r="CA334" s="410"/>
      <c r="CB334" s="410"/>
      <c r="CC334" s="410"/>
      <c r="CD334" s="410"/>
      <c r="CE334" s="410"/>
      <c r="CF334" s="410"/>
      <c r="CG334" s="410"/>
      <c r="CH334" s="410"/>
      <c r="CI334" s="410"/>
      <c r="CJ334" s="410"/>
      <c r="CK334" s="410"/>
      <c r="CL334" s="410"/>
      <c r="CM334" s="410"/>
      <c r="CN334" s="410"/>
      <c r="CO334" s="410"/>
      <c r="CP334" s="410"/>
      <c r="CQ334" s="410"/>
      <c r="CR334" s="410"/>
      <c r="CS334" s="410"/>
      <c r="CT334" s="410"/>
      <c r="CU334" s="410"/>
      <c r="CV334" s="410"/>
      <c r="CW334" s="410"/>
      <c r="CX334" s="410"/>
      <c r="CY334" s="410"/>
      <c r="CZ334" s="410"/>
      <c r="DA334" s="410"/>
      <c r="DB334" s="410"/>
      <c r="DC334" s="410"/>
      <c r="DD334" s="410"/>
      <c r="DE334" s="410"/>
      <c r="DF334" s="410"/>
      <c r="DG334" s="410"/>
      <c r="DH334" s="410"/>
      <c r="DI334" s="410"/>
      <c r="DJ334" s="410"/>
      <c r="DK334" s="410"/>
      <c r="DL334" s="410"/>
      <c r="DM334" s="410"/>
      <c r="DN334" s="410"/>
      <c r="DO334" s="410"/>
      <c r="DP334" s="410"/>
      <c r="DQ334" s="410"/>
      <c r="DR334" s="410"/>
      <c r="DS334" s="410"/>
      <c r="DT334" s="410"/>
      <c r="DU334" s="410"/>
      <c r="DV334" s="410"/>
      <c r="DW334" s="410"/>
      <c r="DX334" s="410"/>
      <c r="DY334" s="410"/>
      <c r="DZ334" s="410"/>
      <c r="EA334" s="410"/>
      <c r="EB334" s="410"/>
      <c r="EC334" s="410"/>
      <c r="ED334" s="410"/>
      <c r="EE334" s="410"/>
      <c r="EF334" s="410"/>
      <c r="EG334" s="410"/>
      <c r="EH334" s="410"/>
      <c r="EI334" s="410"/>
      <c r="EJ334" s="410"/>
      <c r="EK334" s="410"/>
      <c r="EL334" s="410"/>
      <c r="EM334" s="410"/>
      <c r="EN334" s="410"/>
      <c r="EO334" s="410"/>
      <c r="EP334" s="410"/>
      <c r="EQ334" s="410"/>
      <c r="ER334" s="410"/>
      <c r="ES334" s="410"/>
      <c r="ET334" s="410"/>
      <c r="EU334" s="410"/>
      <c r="EV334" s="410"/>
      <c r="EW334" s="410"/>
      <c r="EX334" s="410"/>
      <c r="EY334" s="410"/>
      <c r="EZ334" s="410"/>
      <c r="FA334" s="410"/>
      <c r="FB334" s="410"/>
      <c r="FC334" s="410"/>
      <c r="FD334" s="410"/>
      <c r="FE334" s="410"/>
      <c r="FF334" s="410"/>
      <c r="FG334" s="410"/>
      <c r="FH334" s="410"/>
      <c r="FI334" s="410"/>
      <c r="FJ334" s="410"/>
      <c r="FK334" s="410"/>
      <c r="FL334" s="410"/>
      <c r="FM334" s="410"/>
      <c r="FN334" s="410"/>
      <c r="FO334" s="410"/>
      <c r="FP334" s="410"/>
      <c r="FQ334" s="410"/>
      <c r="FR334" s="410"/>
      <c r="FS334" s="410"/>
      <c r="FT334" s="410"/>
      <c r="FU334" s="410"/>
      <c r="FV334" s="410"/>
      <c r="FW334" s="410"/>
      <c r="FX334" s="410"/>
      <c r="FY334" s="410"/>
      <c r="FZ334" s="410"/>
      <c r="GA334" s="410"/>
      <c r="GB334" s="410"/>
      <c r="GC334" s="410"/>
      <c r="GD334" s="410"/>
      <c r="GE334" s="410"/>
      <c r="GF334" s="410"/>
      <c r="GG334" s="410"/>
      <c r="GH334" s="410"/>
      <c r="GI334" s="410"/>
      <c r="GJ334" s="410"/>
      <c r="GK334" s="410"/>
      <c r="GL334" s="410"/>
      <c r="GM334" s="410"/>
      <c r="GN334" s="410"/>
      <c r="GO334" s="410"/>
      <c r="GP334" s="410"/>
      <c r="GQ334" s="410"/>
      <c r="GR334" s="410"/>
      <c r="GS334" s="410"/>
      <c r="GT334" s="410"/>
      <c r="GU334" s="410"/>
      <c r="GV334" s="410"/>
      <c r="GW334" s="410"/>
      <c r="GX334" s="410"/>
      <c r="GY334" s="410"/>
      <c r="GZ334" s="410"/>
      <c r="HA334" s="410"/>
      <c r="HB334" s="410"/>
      <c r="HC334" s="410"/>
      <c r="HD334" s="410"/>
      <c r="HE334" s="410"/>
      <c r="HF334" s="410"/>
      <c r="HG334" s="410"/>
      <c r="HH334" s="410"/>
      <c r="HI334" s="410"/>
      <c r="HJ334" s="410"/>
      <c r="HK334" s="410"/>
      <c r="HL334" s="410"/>
      <c r="HM334" s="410"/>
      <c r="HN334" s="410"/>
      <c r="HO334" s="410"/>
      <c r="HP334" s="410"/>
      <c r="HQ334" s="410"/>
      <c r="HR334" s="410"/>
      <c r="HS334" s="410"/>
      <c r="HT334" s="410"/>
      <c r="HU334" s="410"/>
      <c r="HV334" s="410"/>
      <c r="HW334" s="410"/>
      <c r="HX334" s="410"/>
      <c r="HY334" s="410"/>
      <c r="HZ334" s="410"/>
      <c r="IA334" s="410"/>
      <c r="IB334" s="410"/>
      <c r="IC334" s="410"/>
      <c r="ID334" s="410"/>
      <c r="IE334" s="410"/>
      <c r="IF334" s="410"/>
      <c r="IG334" s="410"/>
      <c r="IH334" s="410"/>
      <c r="II334" s="410"/>
      <c r="IJ334" s="410"/>
      <c r="IK334" s="410"/>
      <c r="IL334" s="410"/>
      <c r="IM334" s="410"/>
    </row>
    <row r="335" spans="1:247" s="415" customFormat="1" ht="30" x14ac:dyDescent="0.25">
      <c r="A335" s="99">
        <v>1</v>
      </c>
      <c r="B335" s="57" t="s">
        <v>79</v>
      </c>
      <c r="C335" s="459">
        <f t="shared" si="124"/>
        <v>2326</v>
      </c>
      <c r="D335" s="459">
        <f t="shared" si="124"/>
        <v>969</v>
      </c>
      <c r="E335" s="459">
        <f t="shared" si="124"/>
        <v>794</v>
      </c>
      <c r="F335" s="459">
        <f t="shared" si="124"/>
        <v>81.940144478844161</v>
      </c>
      <c r="G335" s="460">
        <f t="shared" si="124"/>
        <v>3271.1419999999998</v>
      </c>
      <c r="H335" s="460">
        <f t="shared" si="124"/>
        <v>1362.98</v>
      </c>
      <c r="I335" s="460">
        <f t="shared" si="124"/>
        <v>1226.7803600000002</v>
      </c>
      <c r="J335" s="460">
        <f t="shared" si="124"/>
        <v>90.007216540228043</v>
      </c>
      <c r="K335" s="410"/>
      <c r="L335" s="410"/>
      <c r="M335" s="410"/>
      <c r="N335" s="410"/>
      <c r="O335" s="410"/>
      <c r="P335" s="410"/>
      <c r="Q335" s="410"/>
      <c r="R335" s="410"/>
      <c r="S335" s="410"/>
      <c r="T335" s="410"/>
      <c r="U335" s="410"/>
      <c r="V335" s="410"/>
      <c r="W335" s="410"/>
      <c r="X335" s="410"/>
      <c r="Y335" s="410"/>
      <c r="Z335" s="410"/>
      <c r="AA335" s="410"/>
      <c r="AB335" s="410"/>
      <c r="AC335" s="410"/>
      <c r="AD335" s="410"/>
      <c r="AE335" s="410"/>
      <c r="AF335" s="410"/>
      <c r="AG335" s="410"/>
      <c r="AH335" s="410"/>
      <c r="AI335" s="410"/>
      <c r="AJ335" s="410"/>
      <c r="AK335" s="410"/>
      <c r="AL335" s="410"/>
      <c r="AM335" s="410"/>
      <c r="AN335" s="410"/>
      <c r="AO335" s="410"/>
      <c r="AP335" s="410"/>
      <c r="AQ335" s="410"/>
      <c r="AR335" s="410"/>
      <c r="AS335" s="410"/>
      <c r="AT335" s="410"/>
      <c r="AU335" s="410"/>
      <c r="AV335" s="410"/>
      <c r="AW335" s="410"/>
      <c r="AX335" s="410"/>
      <c r="AY335" s="410"/>
      <c r="AZ335" s="410"/>
      <c r="BA335" s="410"/>
      <c r="BB335" s="410"/>
      <c r="BC335" s="410"/>
      <c r="BD335" s="410"/>
      <c r="BE335" s="410"/>
      <c r="BF335" s="410"/>
      <c r="BG335" s="410"/>
      <c r="BH335" s="410"/>
      <c r="BI335" s="410"/>
      <c r="BJ335" s="410"/>
      <c r="BK335" s="410"/>
      <c r="BL335" s="410"/>
      <c r="BM335" s="410"/>
      <c r="BN335" s="410"/>
      <c r="BO335" s="410"/>
      <c r="BP335" s="410"/>
      <c r="BQ335" s="410"/>
      <c r="BR335" s="410"/>
      <c r="BS335" s="410"/>
      <c r="BT335" s="410"/>
      <c r="BU335" s="410"/>
      <c r="BV335" s="410"/>
      <c r="BW335" s="410"/>
      <c r="BX335" s="410"/>
      <c r="BY335" s="410"/>
      <c r="BZ335" s="410"/>
      <c r="CA335" s="410"/>
      <c r="CB335" s="410"/>
      <c r="CC335" s="410"/>
      <c r="CD335" s="410"/>
      <c r="CE335" s="410"/>
      <c r="CF335" s="410"/>
      <c r="CG335" s="410"/>
      <c r="CH335" s="410"/>
      <c r="CI335" s="410"/>
      <c r="CJ335" s="410"/>
      <c r="CK335" s="410"/>
      <c r="CL335" s="410"/>
      <c r="CM335" s="410"/>
      <c r="CN335" s="410"/>
      <c r="CO335" s="410"/>
      <c r="CP335" s="410"/>
      <c r="CQ335" s="410"/>
      <c r="CR335" s="410"/>
      <c r="CS335" s="410"/>
      <c r="CT335" s="410"/>
      <c r="CU335" s="410"/>
      <c r="CV335" s="410"/>
      <c r="CW335" s="410"/>
      <c r="CX335" s="410"/>
      <c r="CY335" s="410"/>
      <c r="CZ335" s="410"/>
      <c r="DA335" s="410"/>
      <c r="DB335" s="410"/>
      <c r="DC335" s="410"/>
      <c r="DD335" s="410"/>
      <c r="DE335" s="410"/>
      <c r="DF335" s="410"/>
      <c r="DG335" s="410"/>
      <c r="DH335" s="410"/>
      <c r="DI335" s="410"/>
      <c r="DJ335" s="410"/>
      <c r="DK335" s="410"/>
      <c r="DL335" s="410"/>
      <c r="DM335" s="410"/>
      <c r="DN335" s="410"/>
      <c r="DO335" s="410"/>
      <c r="DP335" s="410"/>
      <c r="DQ335" s="410"/>
      <c r="DR335" s="410"/>
      <c r="DS335" s="410"/>
      <c r="DT335" s="410"/>
      <c r="DU335" s="410"/>
      <c r="DV335" s="410"/>
      <c r="DW335" s="410"/>
      <c r="DX335" s="410"/>
      <c r="DY335" s="410"/>
      <c r="DZ335" s="410"/>
      <c r="EA335" s="410"/>
      <c r="EB335" s="410"/>
      <c r="EC335" s="410"/>
      <c r="ED335" s="410"/>
      <c r="EE335" s="410"/>
      <c r="EF335" s="410"/>
      <c r="EG335" s="410"/>
      <c r="EH335" s="410"/>
      <c r="EI335" s="410"/>
      <c r="EJ335" s="410"/>
      <c r="EK335" s="410"/>
      <c r="EL335" s="410"/>
      <c r="EM335" s="410"/>
      <c r="EN335" s="410"/>
      <c r="EO335" s="410"/>
      <c r="EP335" s="410"/>
      <c r="EQ335" s="410"/>
      <c r="ER335" s="410"/>
      <c r="ES335" s="410"/>
      <c r="ET335" s="410"/>
      <c r="EU335" s="410"/>
      <c r="EV335" s="410"/>
      <c r="EW335" s="410"/>
      <c r="EX335" s="410"/>
      <c r="EY335" s="410"/>
      <c r="EZ335" s="410"/>
      <c r="FA335" s="410"/>
      <c r="FB335" s="410"/>
      <c r="FC335" s="410"/>
      <c r="FD335" s="410"/>
      <c r="FE335" s="410"/>
      <c r="FF335" s="410"/>
      <c r="FG335" s="410"/>
      <c r="FH335" s="410"/>
      <c r="FI335" s="410"/>
      <c r="FJ335" s="410"/>
      <c r="FK335" s="410"/>
      <c r="FL335" s="410"/>
      <c r="FM335" s="410"/>
      <c r="FN335" s="410"/>
      <c r="FO335" s="410"/>
      <c r="FP335" s="410"/>
      <c r="FQ335" s="410"/>
      <c r="FR335" s="410"/>
      <c r="FS335" s="410"/>
      <c r="FT335" s="410"/>
      <c r="FU335" s="410"/>
      <c r="FV335" s="410"/>
      <c r="FW335" s="410"/>
      <c r="FX335" s="410"/>
      <c r="FY335" s="410"/>
      <c r="FZ335" s="410"/>
      <c r="GA335" s="410"/>
      <c r="GB335" s="410"/>
      <c r="GC335" s="410"/>
      <c r="GD335" s="410"/>
      <c r="GE335" s="410"/>
      <c r="GF335" s="410"/>
      <c r="GG335" s="410"/>
      <c r="GH335" s="410"/>
      <c r="GI335" s="410"/>
      <c r="GJ335" s="410"/>
      <c r="GK335" s="410"/>
      <c r="GL335" s="410"/>
      <c r="GM335" s="410"/>
      <c r="GN335" s="410"/>
      <c r="GO335" s="410"/>
      <c r="GP335" s="410"/>
      <c r="GQ335" s="410"/>
      <c r="GR335" s="410"/>
      <c r="GS335" s="410"/>
      <c r="GT335" s="410"/>
      <c r="GU335" s="410"/>
      <c r="GV335" s="410"/>
      <c r="GW335" s="410"/>
      <c r="GX335" s="410"/>
      <c r="GY335" s="410"/>
      <c r="GZ335" s="410"/>
      <c r="HA335" s="410"/>
      <c r="HB335" s="410"/>
      <c r="HC335" s="410"/>
      <c r="HD335" s="410"/>
      <c r="HE335" s="410"/>
      <c r="HF335" s="410"/>
      <c r="HG335" s="410"/>
      <c r="HH335" s="410"/>
      <c r="HI335" s="410"/>
      <c r="HJ335" s="410"/>
      <c r="HK335" s="410"/>
      <c r="HL335" s="410"/>
      <c r="HM335" s="410"/>
      <c r="HN335" s="410"/>
      <c r="HO335" s="410"/>
      <c r="HP335" s="410"/>
      <c r="HQ335" s="410"/>
      <c r="HR335" s="410"/>
      <c r="HS335" s="410"/>
      <c r="HT335" s="410"/>
      <c r="HU335" s="410"/>
      <c r="HV335" s="410"/>
      <c r="HW335" s="410"/>
      <c r="HX335" s="410"/>
      <c r="HY335" s="410"/>
      <c r="HZ335" s="410"/>
      <c r="IA335" s="410"/>
      <c r="IB335" s="410"/>
      <c r="IC335" s="410"/>
      <c r="ID335" s="410"/>
      <c r="IE335" s="410"/>
      <c r="IF335" s="410"/>
      <c r="IG335" s="410"/>
      <c r="IH335" s="410"/>
      <c r="II335" s="410"/>
      <c r="IJ335" s="410"/>
      <c r="IK335" s="410"/>
      <c r="IL335" s="410"/>
      <c r="IM335" s="410"/>
    </row>
    <row r="336" spans="1:247" s="415" customFormat="1" ht="30" x14ac:dyDescent="0.25">
      <c r="A336" s="99">
        <v>1</v>
      </c>
      <c r="B336" s="57" t="s">
        <v>80</v>
      </c>
      <c r="C336" s="459">
        <f t="shared" si="124"/>
        <v>698</v>
      </c>
      <c r="D336" s="459">
        <f t="shared" si="124"/>
        <v>291</v>
      </c>
      <c r="E336" s="459">
        <f t="shared" si="124"/>
        <v>216</v>
      </c>
      <c r="F336" s="459">
        <f t="shared" si="124"/>
        <v>74.226804123711347</v>
      </c>
      <c r="G336" s="460">
        <f t="shared" si="124"/>
        <v>1265.62799</v>
      </c>
      <c r="H336" s="460">
        <f t="shared" si="124"/>
        <v>527.34</v>
      </c>
      <c r="I336" s="460">
        <f t="shared" si="124"/>
        <v>388.31665999999996</v>
      </c>
      <c r="J336" s="460">
        <f t="shared" si="124"/>
        <v>73.636868054765415</v>
      </c>
      <c r="K336" s="410"/>
      <c r="L336" s="410"/>
      <c r="M336" s="410"/>
      <c r="N336" s="410"/>
      <c r="O336" s="410"/>
      <c r="P336" s="410"/>
      <c r="Q336" s="410"/>
      <c r="R336" s="410"/>
      <c r="S336" s="410"/>
      <c r="T336" s="410"/>
      <c r="U336" s="410"/>
      <c r="V336" s="410"/>
      <c r="W336" s="410"/>
      <c r="X336" s="410"/>
      <c r="Y336" s="410"/>
      <c r="Z336" s="410"/>
      <c r="AA336" s="410"/>
      <c r="AB336" s="410"/>
      <c r="AC336" s="410"/>
      <c r="AD336" s="410"/>
      <c r="AE336" s="410"/>
      <c r="AF336" s="410"/>
      <c r="AG336" s="410"/>
      <c r="AH336" s="410"/>
      <c r="AI336" s="410"/>
      <c r="AJ336" s="410"/>
      <c r="AK336" s="410"/>
      <c r="AL336" s="410"/>
      <c r="AM336" s="410"/>
      <c r="AN336" s="410"/>
      <c r="AO336" s="410"/>
      <c r="AP336" s="410"/>
      <c r="AQ336" s="410"/>
      <c r="AR336" s="410"/>
      <c r="AS336" s="410"/>
      <c r="AT336" s="410"/>
      <c r="AU336" s="410"/>
      <c r="AV336" s="410"/>
      <c r="AW336" s="410"/>
      <c r="AX336" s="410"/>
      <c r="AY336" s="410"/>
      <c r="AZ336" s="410"/>
      <c r="BA336" s="410"/>
      <c r="BB336" s="410"/>
      <c r="BC336" s="410"/>
      <c r="BD336" s="410"/>
      <c r="BE336" s="410"/>
      <c r="BF336" s="410"/>
      <c r="BG336" s="410"/>
      <c r="BH336" s="410"/>
      <c r="BI336" s="410"/>
      <c r="BJ336" s="410"/>
      <c r="BK336" s="410"/>
      <c r="BL336" s="410"/>
      <c r="BM336" s="410"/>
      <c r="BN336" s="410"/>
      <c r="BO336" s="410"/>
      <c r="BP336" s="410"/>
      <c r="BQ336" s="410"/>
      <c r="BR336" s="410"/>
      <c r="BS336" s="410"/>
      <c r="BT336" s="410"/>
      <c r="BU336" s="410"/>
      <c r="BV336" s="410"/>
      <c r="BW336" s="410"/>
      <c r="BX336" s="410"/>
      <c r="BY336" s="410"/>
      <c r="BZ336" s="410"/>
      <c r="CA336" s="410"/>
      <c r="CB336" s="410"/>
      <c r="CC336" s="410"/>
      <c r="CD336" s="410"/>
      <c r="CE336" s="410"/>
      <c r="CF336" s="410"/>
      <c r="CG336" s="410"/>
      <c r="CH336" s="410"/>
      <c r="CI336" s="410"/>
      <c r="CJ336" s="410"/>
      <c r="CK336" s="410"/>
      <c r="CL336" s="410"/>
      <c r="CM336" s="410"/>
      <c r="CN336" s="410"/>
      <c r="CO336" s="410"/>
      <c r="CP336" s="410"/>
      <c r="CQ336" s="410"/>
      <c r="CR336" s="410"/>
      <c r="CS336" s="410"/>
      <c r="CT336" s="410"/>
      <c r="CU336" s="410"/>
      <c r="CV336" s="410"/>
      <c r="CW336" s="410"/>
      <c r="CX336" s="410"/>
      <c r="CY336" s="410"/>
      <c r="CZ336" s="410"/>
      <c r="DA336" s="410"/>
      <c r="DB336" s="410"/>
      <c r="DC336" s="410"/>
      <c r="DD336" s="410"/>
      <c r="DE336" s="410"/>
      <c r="DF336" s="410"/>
      <c r="DG336" s="410"/>
      <c r="DH336" s="410"/>
      <c r="DI336" s="410"/>
      <c r="DJ336" s="410"/>
      <c r="DK336" s="410"/>
      <c r="DL336" s="410"/>
      <c r="DM336" s="410"/>
      <c r="DN336" s="410"/>
      <c r="DO336" s="410"/>
      <c r="DP336" s="410"/>
      <c r="DQ336" s="410"/>
      <c r="DR336" s="410"/>
      <c r="DS336" s="410"/>
      <c r="DT336" s="410"/>
      <c r="DU336" s="410"/>
      <c r="DV336" s="410"/>
      <c r="DW336" s="410"/>
      <c r="DX336" s="410"/>
      <c r="DY336" s="410"/>
      <c r="DZ336" s="410"/>
      <c r="EA336" s="410"/>
      <c r="EB336" s="410"/>
      <c r="EC336" s="410"/>
      <c r="ED336" s="410"/>
      <c r="EE336" s="410"/>
      <c r="EF336" s="410"/>
      <c r="EG336" s="410"/>
      <c r="EH336" s="410"/>
      <c r="EI336" s="410"/>
      <c r="EJ336" s="410"/>
      <c r="EK336" s="410"/>
      <c r="EL336" s="410"/>
      <c r="EM336" s="410"/>
      <c r="EN336" s="410"/>
      <c r="EO336" s="410"/>
      <c r="EP336" s="410"/>
      <c r="EQ336" s="410"/>
      <c r="ER336" s="410"/>
      <c r="ES336" s="410"/>
      <c r="ET336" s="410"/>
      <c r="EU336" s="410"/>
      <c r="EV336" s="410"/>
      <c r="EW336" s="410"/>
      <c r="EX336" s="410"/>
      <c r="EY336" s="410"/>
      <c r="EZ336" s="410"/>
      <c r="FA336" s="410"/>
      <c r="FB336" s="410"/>
      <c r="FC336" s="410"/>
      <c r="FD336" s="410"/>
      <c r="FE336" s="410"/>
      <c r="FF336" s="410"/>
      <c r="FG336" s="410"/>
      <c r="FH336" s="410"/>
      <c r="FI336" s="410"/>
      <c r="FJ336" s="410"/>
      <c r="FK336" s="410"/>
      <c r="FL336" s="410"/>
      <c r="FM336" s="410"/>
      <c r="FN336" s="410"/>
      <c r="FO336" s="410"/>
      <c r="FP336" s="410"/>
      <c r="FQ336" s="410"/>
      <c r="FR336" s="410"/>
      <c r="FS336" s="410"/>
      <c r="FT336" s="410"/>
      <c r="FU336" s="410"/>
      <c r="FV336" s="410"/>
      <c r="FW336" s="410"/>
      <c r="FX336" s="410"/>
      <c r="FY336" s="410"/>
      <c r="FZ336" s="410"/>
      <c r="GA336" s="410"/>
      <c r="GB336" s="410"/>
      <c r="GC336" s="410"/>
      <c r="GD336" s="410"/>
      <c r="GE336" s="410"/>
      <c r="GF336" s="410"/>
      <c r="GG336" s="410"/>
      <c r="GH336" s="410"/>
      <c r="GI336" s="410"/>
      <c r="GJ336" s="410"/>
      <c r="GK336" s="410"/>
      <c r="GL336" s="410"/>
      <c r="GM336" s="410"/>
      <c r="GN336" s="410"/>
      <c r="GO336" s="410"/>
      <c r="GP336" s="410"/>
      <c r="GQ336" s="410"/>
      <c r="GR336" s="410"/>
      <c r="GS336" s="410"/>
      <c r="GT336" s="410"/>
      <c r="GU336" s="410"/>
      <c r="GV336" s="410"/>
      <c r="GW336" s="410"/>
      <c r="GX336" s="410"/>
      <c r="GY336" s="410"/>
      <c r="GZ336" s="410"/>
      <c r="HA336" s="410"/>
      <c r="HB336" s="410"/>
      <c r="HC336" s="410"/>
      <c r="HD336" s="410"/>
      <c r="HE336" s="410"/>
      <c r="HF336" s="410"/>
      <c r="HG336" s="410"/>
      <c r="HH336" s="410"/>
      <c r="HI336" s="410"/>
      <c r="HJ336" s="410"/>
      <c r="HK336" s="410"/>
      <c r="HL336" s="410"/>
      <c r="HM336" s="410"/>
      <c r="HN336" s="410"/>
      <c r="HO336" s="410"/>
      <c r="HP336" s="410"/>
      <c r="HQ336" s="410"/>
      <c r="HR336" s="410"/>
      <c r="HS336" s="410"/>
      <c r="HT336" s="410"/>
      <c r="HU336" s="410"/>
      <c r="HV336" s="410"/>
      <c r="HW336" s="410"/>
      <c r="HX336" s="410"/>
      <c r="HY336" s="410"/>
      <c r="HZ336" s="410"/>
      <c r="IA336" s="410"/>
      <c r="IB336" s="410"/>
      <c r="IC336" s="410"/>
      <c r="ID336" s="410"/>
      <c r="IE336" s="410"/>
      <c r="IF336" s="410"/>
      <c r="IG336" s="410"/>
      <c r="IH336" s="410"/>
      <c r="II336" s="410"/>
      <c r="IJ336" s="410"/>
      <c r="IK336" s="410"/>
      <c r="IL336" s="410"/>
      <c r="IM336" s="410"/>
    </row>
    <row r="337" spans="1:247" s="415" customFormat="1" ht="45" x14ac:dyDescent="0.25">
      <c r="A337" s="99">
        <v>1</v>
      </c>
      <c r="B337" s="57" t="s">
        <v>114</v>
      </c>
      <c r="C337" s="459">
        <f t="shared" si="124"/>
        <v>21</v>
      </c>
      <c r="D337" s="459">
        <f t="shared" si="124"/>
        <v>9</v>
      </c>
      <c r="E337" s="459">
        <f t="shared" si="124"/>
        <v>21</v>
      </c>
      <c r="F337" s="459">
        <f t="shared" si="124"/>
        <v>233.33333333333334</v>
      </c>
      <c r="G337" s="460">
        <f t="shared" si="124"/>
        <v>137.80367999999999</v>
      </c>
      <c r="H337" s="460">
        <f t="shared" si="124"/>
        <v>57.42</v>
      </c>
      <c r="I337" s="460">
        <f t="shared" si="124"/>
        <v>137.80367999999999</v>
      </c>
      <c r="J337" s="460">
        <f t="shared" si="124"/>
        <v>239.99247648902818</v>
      </c>
      <c r="K337" s="410"/>
      <c r="L337" s="410"/>
      <c r="M337" s="410"/>
      <c r="N337" s="410"/>
      <c r="O337" s="410"/>
      <c r="P337" s="410"/>
      <c r="Q337" s="410"/>
      <c r="R337" s="410"/>
      <c r="S337" s="410"/>
      <c r="T337" s="410"/>
      <c r="U337" s="410"/>
      <c r="V337" s="410"/>
      <c r="W337" s="410"/>
      <c r="X337" s="410"/>
      <c r="Y337" s="410"/>
      <c r="Z337" s="410"/>
      <c r="AA337" s="410"/>
      <c r="AB337" s="410"/>
      <c r="AC337" s="410"/>
      <c r="AD337" s="410"/>
      <c r="AE337" s="410"/>
      <c r="AF337" s="410"/>
      <c r="AG337" s="410"/>
      <c r="AH337" s="410"/>
      <c r="AI337" s="410"/>
      <c r="AJ337" s="410"/>
      <c r="AK337" s="410"/>
      <c r="AL337" s="410"/>
      <c r="AM337" s="410"/>
      <c r="AN337" s="410"/>
      <c r="AO337" s="410"/>
      <c r="AP337" s="410"/>
      <c r="AQ337" s="410"/>
      <c r="AR337" s="410"/>
      <c r="AS337" s="410"/>
      <c r="AT337" s="410"/>
      <c r="AU337" s="410"/>
      <c r="AV337" s="410"/>
      <c r="AW337" s="410"/>
      <c r="AX337" s="410"/>
      <c r="AY337" s="410"/>
      <c r="AZ337" s="410"/>
      <c r="BA337" s="410"/>
      <c r="BB337" s="410"/>
      <c r="BC337" s="410"/>
      <c r="BD337" s="410"/>
      <c r="BE337" s="410"/>
      <c r="BF337" s="410"/>
      <c r="BG337" s="410"/>
      <c r="BH337" s="410"/>
      <c r="BI337" s="410"/>
      <c r="BJ337" s="410"/>
      <c r="BK337" s="410"/>
      <c r="BL337" s="410"/>
      <c r="BM337" s="410"/>
      <c r="BN337" s="410"/>
      <c r="BO337" s="410"/>
      <c r="BP337" s="410"/>
      <c r="BQ337" s="410"/>
      <c r="BR337" s="410"/>
      <c r="BS337" s="410"/>
      <c r="BT337" s="410"/>
      <c r="BU337" s="410"/>
      <c r="BV337" s="410"/>
      <c r="BW337" s="410"/>
      <c r="BX337" s="410"/>
      <c r="BY337" s="410"/>
      <c r="BZ337" s="410"/>
      <c r="CA337" s="410"/>
      <c r="CB337" s="410"/>
      <c r="CC337" s="410"/>
      <c r="CD337" s="410"/>
      <c r="CE337" s="410"/>
      <c r="CF337" s="410"/>
      <c r="CG337" s="410"/>
      <c r="CH337" s="410"/>
      <c r="CI337" s="410"/>
      <c r="CJ337" s="410"/>
      <c r="CK337" s="410"/>
      <c r="CL337" s="410"/>
      <c r="CM337" s="410"/>
      <c r="CN337" s="410"/>
      <c r="CO337" s="410"/>
      <c r="CP337" s="410"/>
      <c r="CQ337" s="410"/>
      <c r="CR337" s="410"/>
      <c r="CS337" s="410"/>
      <c r="CT337" s="410"/>
      <c r="CU337" s="410"/>
      <c r="CV337" s="410"/>
      <c r="CW337" s="410"/>
      <c r="CX337" s="410"/>
      <c r="CY337" s="410"/>
      <c r="CZ337" s="410"/>
      <c r="DA337" s="410"/>
      <c r="DB337" s="410"/>
      <c r="DC337" s="410"/>
      <c r="DD337" s="410"/>
      <c r="DE337" s="410"/>
      <c r="DF337" s="410"/>
      <c r="DG337" s="410"/>
      <c r="DH337" s="410"/>
      <c r="DI337" s="410"/>
      <c r="DJ337" s="410"/>
      <c r="DK337" s="410"/>
      <c r="DL337" s="410"/>
      <c r="DM337" s="410"/>
      <c r="DN337" s="410"/>
      <c r="DO337" s="410"/>
      <c r="DP337" s="410"/>
      <c r="DQ337" s="410"/>
      <c r="DR337" s="410"/>
      <c r="DS337" s="410"/>
      <c r="DT337" s="410"/>
      <c r="DU337" s="410"/>
      <c r="DV337" s="410"/>
      <c r="DW337" s="410"/>
      <c r="DX337" s="410"/>
      <c r="DY337" s="410"/>
      <c r="DZ337" s="410"/>
      <c r="EA337" s="410"/>
      <c r="EB337" s="410"/>
      <c r="EC337" s="410"/>
      <c r="ED337" s="410"/>
      <c r="EE337" s="410"/>
      <c r="EF337" s="410"/>
      <c r="EG337" s="410"/>
      <c r="EH337" s="410"/>
      <c r="EI337" s="410"/>
      <c r="EJ337" s="410"/>
      <c r="EK337" s="410"/>
      <c r="EL337" s="410"/>
      <c r="EM337" s="410"/>
      <c r="EN337" s="410"/>
      <c r="EO337" s="410"/>
      <c r="EP337" s="410"/>
      <c r="EQ337" s="410"/>
      <c r="ER337" s="410"/>
      <c r="ES337" s="410"/>
      <c r="ET337" s="410"/>
      <c r="EU337" s="410"/>
      <c r="EV337" s="410"/>
      <c r="EW337" s="410"/>
      <c r="EX337" s="410"/>
      <c r="EY337" s="410"/>
      <c r="EZ337" s="410"/>
      <c r="FA337" s="410"/>
      <c r="FB337" s="410"/>
      <c r="FC337" s="410"/>
      <c r="FD337" s="410"/>
      <c r="FE337" s="410"/>
      <c r="FF337" s="410"/>
      <c r="FG337" s="410"/>
      <c r="FH337" s="410"/>
      <c r="FI337" s="410"/>
      <c r="FJ337" s="410"/>
      <c r="FK337" s="410"/>
      <c r="FL337" s="410"/>
      <c r="FM337" s="410"/>
      <c r="FN337" s="410"/>
      <c r="FO337" s="410"/>
      <c r="FP337" s="410"/>
      <c r="FQ337" s="410"/>
      <c r="FR337" s="410"/>
      <c r="FS337" s="410"/>
      <c r="FT337" s="410"/>
      <c r="FU337" s="410"/>
      <c r="FV337" s="410"/>
      <c r="FW337" s="410"/>
      <c r="FX337" s="410"/>
      <c r="FY337" s="410"/>
      <c r="FZ337" s="410"/>
      <c r="GA337" s="410"/>
      <c r="GB337" s="410"/>
      <c r="GC337" s="410"/>
      <c r="GD337" s="410"/>
      <c r="GE337" s="410"/>
      <c r="GF337" s="410"/>
      <c r="GG337" s="410"/>
      <c r="GH337" s="410"/>
      <c r="GI337" s="410"/>
      <c r="GJ337" s="410"/>
      <c r="GK337" s="410"/>
      <c r="GL337" s="410"/>
      <c r="GM337" s="410"/>
      <c r="GN337" s="410"/>
      <c r="GO337" s="410"/>
      <c r="GP337" s="410"/>
      <c r="GQ337" s="410"/>
      <c r="GR337" s="410"/>
      <c r="GS337" s="410"/>
      <c r="GT337" s="410"/>
      <c r="GU337" s="410"/>
      <c r="GV337" s="410"/>
      <c r="GW337" s="410"/>
      <c r="GX337" s="410"/>
      <c r="GY337" s="410"/>
      <c r="GZ337" s="410"/>
      <c r="HA337" s="410"/>
      <c r="HB337" s="410"/>
      <c r="HC337" s="410"/>
      <c r="HD337" s="410"/>
      <c r="HE337" s="410"/>
      <c r="HF337" s="410"/>
      <c r="HG337" s="410"/>
      <c r="HH337" s="410"/>
      <c r="HI337" s="410"/>
      <c r="HJ337" s="410"/>
      <c r="HK337" s="410"/>
      <c r="HL337" s="410"/>
      <c r="HM337" s="410"/>
      <c r="HN337" s="410"/>
      <c r="HO337" s="410"/>
      <c r="HP337" s="410"/>
      <c r="HQ337" s="410"/>
      <c r="HR337" s="410"/>
      <c r="HS337" s="410"/>
      <c r="HT337" s="410"/>
      <c r="HU337" s="410"/>
      <c r="HV337" s="410"/>
      <c r="HW337" s="410"/>
      <c r="HX337" s="410"/>
      <c r="HY337" s="410"/>
      <c r="HZ337" s="410"/>
      <c r="IA337" s="410"/>
      <c r="IB337" s="410"/>
      <c r="IC337" s="410"/>
      <c r="ID337" s="410"/>
      <c r="IE337" s="410"/>
      <c r="IF337" s="410"/>
      <c r="IG337" s="410"/>
      <c r="IH337" s="410"/>
      <c r="II337" s="410"/>
      <c r="IJ337" s="410"/>
      <c r="IK337" s="410"/>
      <c r="IL337" s="410"/>
      <c r="IM337" s="410"/>
    </row>
    <row r="338" spans="1:247" s="415" customFormat="1" ht="30" x14ac:dyDescent="0.25">
      <c r="A338" s="99">
        <v>1</v>
      </c>
      <c r="B338" s="57" t="s">
        <v>115</v>
      </c>
      <c r="C338" s="459">
        <f t="shared" si="124"/>
        <v>250</v>
      </c>
      <c r="D338" s="459">
        <f t="shared" si="124"/>
        <v>104</v>
      </c>
      <c r="E338" s="459">
        <f t="shared" si="124"/>
        <v>0</v>
      </c>
      <c r="F338" s="459">
        <f t="shared" si="124"/>
        <v>0</v>
      </c>
      <c r="G338" s="460">
        <f t="shared" si="124"/>
        <v>1640.52</v>
      </c>
      <c r="H338" s="460">
        <f t="shared" si="124"/>
        <v>683.55</v>
      </c>
      <c r="I338" s="460">
        <f t="shared" si="124"/>
        <v>0</v>
      </c>
      <c r="J338" s="460">
        <f t="shared" si="124"/>
        <v>0</v>
      </c>
      <c r="K338" s="410"/>
      <c r="L338" s="410"/>
      <c r="M338" s="410"/>
      <c r="N338" s="410"/>
      <c r="O338" s="410"/>
      <c r="P338" s="410"/>
      <c r="Q338" s="410"/>
      <c r="R338" s="410"/>
      <c r="S338" s="410"/>
      <c r="T338" s="410"/>
      <c r="U338" s="410"/>
      <c r="V338" s="410"/>
      <c r="W338" s="410"/>
      <c r="X338" s="410"/>
      <c r="Y338" s="410"/>
      <c r="Z338" s="410"/>
      <c r="AA338" s="410"/>
      <c r="AB338" s="410"/>
      <c r="AC338" s="410"/>
      <c r="AD338" s="410"/>
      <c r="AE338" s="410"/>
      <c r="AF338" s="410"/>
      <c r="AG338" s="410"/>
      <c r="AH338" s="410"/>
      <c r="AI338" s="410"/>
      <c r="AJ338" s="410"/>
      <c r="AK338" s="410"/>
      <c r="AL338" s="410"/>
      <c r="AM338" s="410"/>
      <c r="AN338" s="410"/>
      <c r="AO338" s="410"/>
      <c r="AP338" s="410"/>
      <c r="AQ338" s="410"/>
      <c r="AR338" s="410"/>
      <c r="AS338" s="410"/>
      <c r="AT338" s="410"/>
      <c r="AU338" s="410"/>
      <c r="AV338" s="410"/>
      <c r="AW338" s="410"/>
      <c r="AX338" s="410"/>
      <c r="AY338" s="410"/>
      <c r="AZ338" s="410"/>
      <c r="BA338" s="410"/>
      <c r="BB338" s="410"/>
      <c r="BC338" s="410"/>
      <c r="BD338" s="410"/>
      <c r="BE338" s="410"/>
      <c r="BF338" s="410"/>
      <c r="BG338" s="410"/>
      <c r="BH338" s="410"/>
      <c r="BI338" s="410"/>
      <c r="BJ338" s="410"/>
      <c r="BK338" s="410"/>
      <c r="BL338" s="410"/>
      <c r="BM338" s="410"/>
      <c r="BN338" s="410"/>
      <c r="BO338" s="410"/>
      <c r="BP338" s="410"/>
      <c r="BQ338" s="410"/>
      <c r="BR338" s="410"/>
      <c r="BS338" s="410"/>
      <c r="BT338" s="410"/>
      <c r="BU338" s="410"/>
      <c r="BV338" s="410"/>
      <c r="BW338" s="410"/>
      <c r="BX338" s="410"/>
      <c r="BY338" s="410"/>
      <c r="BZ338" s="410"/>
      <c r="CA338" s="410"/>
      <c r="CB338" s="410"/>
      <c r="CC338" s="410"/>
      <c r="CD338" s="410"/>
      <c r="CE338" s="410"/>
      <c r="CF338" s="410"/>
      <c r="CG338" s="410"/>
      <c r="CH338" s="410"/>
      <c r="CI338" s="410"/>
      <c r="CJ338" s="410"/>
      <c r="CK338" s="410"/>
      <c r="CL338" s="410"/>
      <c r="CM338" s="410"/>
      <c r="CN338" s="410"/>
      <c r="CO338" s="410"/>
      <c r="CP338" s="410"/>
      <c r="CQ338" s="410"/>
      <c r="CR338" s="410"/>
      <c r="CS338" s="410"/>
      <c r="CT338" s="410"/>
      <c r="CU338" s="410"/>
      <c r="CV338" s="410"/>
      <c r="CW338" s="410"/>
      <c r="CX338" s="410"/>
      <c r="CY338" s="410"/>
      <c r="CZ338" s="410"/>
      <c r="DA338" s="410"/>
      <c r="DB338" s="410"/>
      <c r="DC338" s="410"/>
      <c r="DD338" s="410"/>
      <c r="DE338" s="410"/>
      <c r="DF338" s="410"/>
      <c r="DG338" s="410"/>
      <c r="DH338" s="410"/>
      <c r="DI338" s="410"/>
      <c r="DJ338" s="410"/>
      <c r="DK338" s="410"/>
      <c r="DL338" s="410"/>
      <c r="DM338" s="410"/>
      <c r="DN338" s="410"/>
      <c r="DO338" s="410"/>
      <c r="DP338" s="410"/>
      <c r="DQ338" s="410"/>
      <c r="DR338" s="410"/>
      <c r="DS338" s="410"/>
      <c r="DT338" s="410"/>
      <c r="DU338" s="410"/>
      <c r="DV338" s="410"/>
      <c r="DW338" s="410"/>
      <c r="DX338" s="410"/>
      <c r="DY338" s="410"/>
      <c r="DZ338" s="410"/>
      <c r="EA338" s="410"/>
      <c r="EB338" s="410"/>
      <c r="EC338" s="410"/>
      <c r="ED338" s="410"/>
      <c r="EE338" s="410"/>
      <c r="EF338" s="410"/>
      <c r="EG338" s="410"/>
      <c r="EH338" s="410"/>
      <c r="EI338" s="410"/>
      <c r="EJ338" s="410"/>
      <c r="EK338" s="410"/>
      <c r="EL338" s="410"/>
      <c r="EM338" s="410"/>
      <c r="EN338" s="410"/>
      <c r="EO338" s="410"/>
      <c r="EP338" s="410"/>
      <c r="EQ338" s="410"/>
      <c r="ER338" s="410"/>
      <c r="ES338" s="410"/>
      <c r="ET338" s="410"/>
      <c r="EU338" s="410"/>
      <c r="EV338" s="410"/>
      <c r="EW338" s="410"/>
      <c r="EX338" s="410"/>
      <c r="EY338" s="410"/>
      <c r="EZ338" s="410"/>
      <c r="FA338" s="410"/>
      <c r="FB338" s="410"/>
      <c r="FC338" s="410"/>
      <c r="FD338" s="410"/>
      <c r="FE338" s="410"/>
      <c r="FF338" s="410"/>
      <c r="FG338" s="410"/>
      <c r="FH338" s="410"/>
      <c r="FI338" s="410"/>
      <c r="FJ338" s="410"/>
      <c r="FK338" s="410"/>
      <c r="FL338" s="410"/>
      <c r="FM338" s="410"/>
      <c r="FN338" s="410"/>
      <c r="FO338" s="410"/>
      <c r="FP338" s="410"/>
      <c r="FQ338" s="410"/>
      <c r="FR338" s="410"/>
      <c r="FS338" s="410"/>
      <c r="FT338" s="410"/>
      <c r="FU338" s="410"/>
      <c r="FV338" s="410"/>
      <c r="FW338" s="410"/>
      <c r="FX338" s="410"/>
      <c r="FY338" s="410"/>
      <c r="FZ338" s="410"/>
      <c r="GA338" s="410"/>
      <c r="GB338" s="410"/>
      <c r="GC338" s="410"/>
      <c r="GD338" s="410"/>
      <c r="GE338" s="410"/>
      <c r="GF338" s="410"/>
      <c r="GG338" s="410"/>
      <c r="GH338" s="410"/>
      <c r="GI338" s="410"/>
      <c r="GJ338" s="410"/>
      <c r="GK338" s="410"/>
      <c r="GL338" s="410"/>
      <c r="GM338" s="410"/>
      <c r="GN338" s="410"/>
      <c r="GO338" s="410"/>
      <c r="GP338" s="410"/>
      <c r="GQ338" s="410"/>
      <c r="GR338" s="410"/>
      <c r="GS338" s="410"/>
      <c r="GT338" s="410"/>
      <c r="GU338" s="410"/>
      <c r="GV338" s="410"/>
      <c r="GW338" s="410"/>
      <c r="GX338" s="410"/>
      <c r="GY338" s="410"/>
      <c r="GZ338" s="410"/>
      <c r="HA338" s="410"/>
      <c r="HB338" s="410"/>
      <c r="HC338" s="410"/>
      <c r="HD338" s="410"/>
      <c r="HE338" s="410"/>
      <c r="HF338" s="410"/>
      <c r="HG338" s="410"/>
      <c r="HH338" s="410"/>
      <c r="HI338" s="410"/>
      <c r="HJ338" s="410"/>
      <c r="HK338" s="410"/>
      <c r="HL338" s="410"/>
      <c r="HM338" s="410"/>
      <c r="HN338" s="410"/>
      <c r="HO338" s="410"/>
      <c r="HP338" s="410"/>
      <c r="HQ338" s="410"/>
      <c r="HR338" s="410"/>
      <c r="HS338" s="410"/>
      <c r="HT338" s="410"/>
      <c r="HU338" s="410"/>
      <c r="HV338" s="410"/>
      <c r="HW338" s="410"/>
      <c r="HX338" s="410"/>
      <c r="HY338" s="410"/>
      <c r="HZ338" s="410"/>
      <c r="IA338" s="410"/>
      <c r="IB338" s="410"/>
      <c r="IC338" s="410"/>
      <c r="ID338" s="410"/>
      <c r="IE338" s="410"/>
      <c r="IF338" s="410"/>
      <c r="IG338" s="410"/>
      <c r="IH338" s="410"/>
      <c r="II338" s="410"/>
      <c r="IJ338" s="410"/>
      <c r="IK338" s="410"/>
      <c r="IL338" s="410"/>
      <c r="IM338" s="410"/>
    </row>
    <row r="339" spans="1:247" s="415" customFormat="1" ht="30" x14ac:dyDescent="0.25">
      <c r="A339" s="99">
        <v>1</v>
      </c>
      <c r="B339" s="121" t="s">
        <v>112</v>
      </c>
      <c r="C339" s="459">
        <f t="shared" si="124"/>
        <v>7360</v>
      </c>
      <c r="D339" s="459">
        <f t="shared" si="124"/>
        <v>3066</v>
      </c>
      <c r="E339" s="459">
        <f t="shared" si="124"/>
        <v>2030</v>
      </c>
      <c r="F339" s="459">
        <f t="shared" si="124"/>
        <v>66.210045662100455</v>
      </c>
      <c r="G339" s="460">
        <f t="shared" si="124"/>
        <v>15168.309600000001</v>
      </c>
      <c r="H339" s="460">
        <f t="shared" si="124"/>
        <v>6320.12</v>
      </c>
      <c r="I339" s="460">
        <f t="shared" si="124"/>
        <v>4381.73056</v>
      </c>
      <c r="J339" s="460">
        <f t="shared" si="124"/>
        <v>69.329863357024863</v>
      </c>
      <c r="K339" s="410"/>
      <c r="L339" s="410"/>
      <c r="M339" s="410"/>
      <c r="N339" s="410"/>
      <c r="O339" s="410"/>
      <c r="P339" s="410"/>
      <c r="Q339" s="410"/>
      <c r="R339" s="410"/>
      <c r="S339" s="410"/>
      <c r="T339" s="410"/>
      <c r="U339" s="410"/>
      <c r="V339" s="410"/>
      <c r="W339" s="410"/>
      <c r="X339" s="410"/>
      <c r="Y339" s="410"/>
      <c r="Z339" s="410"/>
      <c r="AA339" s="410"/>
      <c r="AB339" s="410"/>
      <c r="AC339" s="410"/>
      <c r="AD339" s="410"/>
      <c r="AE339" s="410"/>
      <c r="AF339" s="410"/>
      <c r="AG339" s="410"/>
      <c r="AH339" s="410"/>
      <c r="AI339" s="410"/>
      <c r="AJ339" s="410"/>
      <c r="AK339" s="410"/>
      <c r="AL339" s="410"/>
      <c r="AM339" s="410"/>
      <c r="AN339" s="410"/>
      <c r="AO339" s="410"/>
      <c r="AP339" s="410"/>
      <c r="AQ339" s="410"/>
      <c r="AR339" s="410"/>
      <c r="AS339" s="410"/>
      <c r="AT339" s="410"/>
      <c r="AU339" s="410"/>
      <c r="AV339" s="410"/>
      <c r="AW339" s="410"/>
      <c r="AX339" s="410"/>
      <c r="AY339" s="410"/>
      <c r="AZ339" s="410"/>
      <c r="BA339" s="410"/>
      <c r="BB339" s="410"/>
      <c r="BC339" s="410"/>
      <c r="BD339" s="410"/>
      <c r="BE339" s="410"/>
      <c r="BF339" s="410"/>
      <c r="BG339" s="410"/>
      <c r="BH339" s="410"/>
      <c r="BI339" s="410"/>
      <c r="BJ339" s="410"/>
      <c r="BK339" s="410"/>
      <c r="BL339" s="410"/>
      <c r="BM339" s="410"/>
      <c r="BN339" s="410"/>
      <c r="BO339" s="410"/>
      <c r="BP339" s="410"/>
      <c r="BQ339" s="410"/>
      <c r="BR339" s="410"/>
      <c r="BS339" s="410"/>
      <c r="BT339" s="410"/>
      <c r="BU339" s="410"/>
      <c r="BV339" s="410"/>
      <c r="BW339" s="410"/>
      <c r="BX339" s="410"/>
      <c r="BY339" s="410"/>
      <c r="BZ339" s="410"/>
      <c r="CA339" s="410"/>
      <c r="CB339" s="410"/>
      <c r="CC339" s="410"/>
      <c r="CD339" s="410"/>
      <c r="CE339" s="410"/>
      <c r="CF339" s="410"/>
      <c r="CG339" s="410"/>
      <c r="CH339" s="410"/>
      <c r="CI339" s="410"/>
      <c r="CJ339" s="410"/>
      <c r="CK339" s="410"/>
      <c r="CL339" s="410"/>
      <c r="CM339" s="410"/>
      <c r="CN339" s="410"/>
      <c r="CO339" s="410"/>
      <c r="CP339" s="410"/>
      <c r="CQ339" s="410"/>
      <c r="CR339" s="410"/>
      <c r="CS339" s="410"/>
      <c r="CT339" s="410"/>
      <c r="CU339" s="410"/>
      <c r="CV339" s="410"/>
      <c r="CW339" s="410"/>
      <c r="CX339" s="410"/>
      <c r="CY339" s="410"/>
      <c r="CZ339" s="410"/>
      <c r="DA339" s="410"/>
      <c r="DB339" s="410"/>
      <c r="DC339" s="410"/>
      <c r="DD339" s="410"/>
      <c r="DE339" s="410"/>
      <c r="DF339" s="410"/>
      <c r="DG339" s="410"/>
      <c r="DH339" s="410"/>
      <c r="DI339" s="410"/>
      <c r="DJ339" s="410"/>
      <c r="DK339" s="410"/>
      <c r="DL339" s="410"/>
      <c r="DM339" s="410"/>
      <c r="DN339" s="410"/>
      <c r="DO339" s="410"/>
      <c r="DP339" s="410"/>
      <c r="DQ339" s="410"/>
      <c r="DR339" s="410"/>
      <c r="DS339" s="410"/>
      <c r="DT339" s="410"/>
      <c r="DU339" s="410"/>
      <c r="DV339" s="410"/>
      <c r="DW339" s="410"/>
      <c r="DX339" s="410"/>
      <c r="DY339" s="410"/>
      <c r="DZ339" s="410"/>
      <c r="EA339" s="410"/>
      <c r="EB339" s="410"/>
      <c r="EC339" s="410"/>
      <c r="ED339" s="410"/>
      <c r="EE339" s="410"/>
      <c r="EF339" s="410"/>
      <c r="EG339" s="410"/>
      <c r="EH339" s="410"/>
      <c r="EI339" s="410"/>
      <c r="EJ339" s="410"/>
      <c r="EK339" s="410"/>
      <c r="EL339" s="410"/>
      <c r="EM339" s="410"/>
      <c r="EN339" s="410"/>
      <c r="EO339" s="410"/>
      <c r="EP339" s="410"/>
      <c r="EQ339" s="410"/>
      <c r="ER339" s="410"/>
      <c r="ES339" s="410"/>
      <c r="ET339" s="410"/>
      <c r="EU339" s="410"/>
      <c r="EV339" s="410"/>
      <c r="EW339" s="410"/>
      <c r="EX339" s="410"/>
      <c r="EY339" s="410"/>
      <c r="EZ339" s="410"/>
      <c r="FA339" s="410"/>
      <c r="FB339" s="410"/>
      <c r="FC339" s="410"/>
      <c r="FD339" s="410"/>
      <c r="FE339" s="410"/>
      <c r="FF339" s="410"/>
      <c r="FG339" s="410"/>
      <c r="FH339" s="410"/>
      <c r="FI339" s="410"/>
      <c r="FJ339" s="410"/>
      <c r="FK339" s="410"/>
      <c r="FL339" s="410"/>
      <c r="FM339" s="410"/>
      <c r="FN339" s="410"/>
      <c r="FO339" s="410"/>
      <c r="FP339" s="410"/>
      <c r="FQ339" s="410"/>
      <c r="FR339" s="410"/>
      <c r="FS339" s="410"/>
      <c r="FT339" s="410"/>
      <c r="FU339" s="410"/>
      <c r="FV339" s="410"/>
      <c r="FW339" s="410"/>
      <c r="FX339" s="410"/>
      <c r="FY339" s="410"/>
      <c r="FZ339" s="410"/>
      <c r="GA339" s="410"/>
      <c r="GB339" s="410"/>
      <c r="GC339" s="410"/>
      <c r="GD339" s="410"/>
      <c r="GE339" s="410"/>
      <c r="GF339" s="410"/>
      <c r="GG339" s="410"/>
      <c r="GH339" s="410"/>
      <c r="GI339" s="410"/>
      <c r="GJ339" s="410"/>
      <c r="GK339" s="410"/>
      <c r="GL339" s="410"/>
      <c r="GM339" s="410"/>
      <c r="GN339" s="410"/>
      <c r="GO339" s="410"/>
      <c r="GP339" s="410"/>
      <c r="GQ339" s="410"/>
      <c r="GR339" s="410"/>
      <c r="GS339" s="410"/>
      <c r="GT339" s="410"/>
      <c r="GU339" s="410"/>
      <c r="GV339" s="410"/>
      <c r="GW339" s="410"/>
      <c r="GX339" s="410"/>
      <c r="GY339" s="410"/>
      <c r="GZ339" s="410"/>
      <c r="HA339" s="410"/>
      <c r="HB339" s="410"/>
      <c r="HC339" s="410"/>
      <c r="HD339" s="410"/>
      <c r="HE339" s="410"/>
      <c r="HF339" s="410"/>
      <c r="HG339" s="410"/>
      <c r="HH339" s="410"/>
      <c r="HI339" s="410"/>
      <c r="HJ339" s="410"/>
      <c r="HK339" s="410"/>
      <c r="HL339" s="410"/>
      <c r="HM339" s="410"/>
      <c r="HN339" s="410"/>
      <c r="HO339" s="410"/>
      <c r="HP339" s="410"/>
      <c r="HQ339" s="410"/>
      <c r="HR339" s="410"/>
      <c r="HS339" s="410"/>
      <c r="HT339" s="410"/>
      <c r="HU339" s="410"/>
      <c r="HV339" s="410"/>
      <c r="HW339" s="410"/>
      <c r="HX339" s="410"/>
      <c r="HY339" s="410"/>
      <c r="HZ339" s="410"/>
      <c r="IA339" s="410"/>
      <c r="IB339" s="410"/>
      <c r="IC339" s="410"/>
      <c r="ID339" s="410"/>
      <c r="IE339" s="410"/>
      <c r="IF339" s="410"/>
      <c r="IG339" s="410"/>
      <c r="IH339" s="410"/>
      <c r="II339" s="410"/>
      <c r="IJ339" s="410"/>
      <c r="IK339" s="410"/>
      <c r="IL339" s="410"/>
      <c r="IM339" s="410"/>
    </row>
    <row r="340" spans="1:247" s="415" customFormat="1" ht="30" x14ac:dyDescent="0.25">
      <c r="A340" s="99">
        <v>1</v>
      </c>
      <c r="B340" s="57" t="s">
        <v>108</v>
      </c>
      <c r="C340" s="459">
        <f t="shared" si="124"/>
        <v>2000</v>
      </c>
      <c r="D340" s="459">
        <f t="shared" si="124"/>
        <v>833</v>
      </c>
      <c r="E340" s="459">
        <f t="shared" si="124"/>
        <v>611</v>
      </c>
      <c r="F340" s="459">
        <f t="shared" si="124"/>
        <v>73.349339735894361</v>
      </c>
      <c r="G340" s="460">
        <f t="shared" si="124"/>
        <v>4241.0200000000004</v>
      </c>
      <c r="H340" s="460">
        <f t="shared" si="124"/>
        <v>1767.09</v>
      </c>
      <c r="I340" s="460">
        <f t="shared" si="124"/>
        <v>1274.98902</v>
      </c>
      <c r="J340" s="460">
        <f t="shared" si="124"/>
        <v>72.151900582313303</v>
      </c>
      <c r="K340" s="410"/>
      <c r="L340" s="410"/>
      <c r="M340" s="410"/>
      <c r="N340" s="410"/>
      <c r="O340" s="410"/>
      <c r="P340" s="410"/>
      <c r="Q340" s="410"/>
      <c r="R340" s="410"/>
      <c r="S340" s="410"/>
      <c r="T340" s="410"/>
      <c r="U340" s="410"/>
      <c r="V340" s="410"/>
      <c r="W340" s="410"/>
      <c r="X340" s="410"/>
      <c r="Y340" s="410"/>
      <c r="Z340" s="410"/>
      <c r="AA340" s="410"/>
      <c r="AB340" s="410"/>
      <c r="AC340" s="410"/>
      <c r="AD340" s="410"/>
      <c r="AE340" s="410"/>
      <c r="AF340" s="410"/>
      <c r="AG340" s="410"/>
      <c r="AH340" s="410"/>
      <c r="AI340" s="410"/>
      <c r="AJ340" s="410"/>
      <c r="AK340" s="410"/>
      <c r="AL340" s="410"/>
      <c r="AM340" s="410"/>
      <c r="AN340" s="410"/>
      <c r="AO340" s="410"/>
      <c r="AP340" s="410"/>
      <c r="AQ340" s="410"/>
      <c r="AR340" s="410"/>
      <c r="AS340" s="410"/>
      <c r="AT340" s="410"/>
      <c r="AU340" s="410"/>
      <c r="AV340" s="410"/>
      <c r="AW340" s="410"/>
      <c r="AX340" s="410"/>
      <c r="AY340" s="410"/>
      <c r="AZ340" s="410"/>
      <c r="BA340" s="410"/>
      <c r="BB340" s="410"/>
      <c r="BC340" s="410"/>
      <c r="BD340" s="410"/>
      <c r="BE340" s="410"/>
      <c r="BF340" s="410"/>
      <c r="BG340" s="410"/>
      <c r="BH340" s="410"/>
      <c r="BI340" s="410"/>
      <c r="BJ340" s="410"/>
      <c r="BK340" s="410"/>
      <c r="BL340" s="410"/>
      <c r="BM340" s="410"/>
      <c r="BN340" s="410"/>
      <c r="BO340" s="410"/>
      <c r="BP340" s="410"/>
      <c r="BQ340" s="410"/>
      <c r="BR340" s="410"/>
      <c r="BS340" s="410"/>
      <c r="BT340" s="410"/>
      <c r="BU340" s="410"/>
      <c r="BV340" s="410"/>
      <c r="BW340" s="410"/>
      <c r="BX340" s="410"/>
      <c r="BY340" s="410"/>
      <c r="BZ340" s="410"/>
      <c r="CA340" s="410"/>
      <c r="CB340" s="410"/>
      <c r="CC340" s="410"/>
      <c r="CD340" s="410"/>
      <c r="CE340" s="410"/>
      <c r="CF340" s="410"/>
      <c r="CG340" s="410"/>
      <c r="CH340" s="410"/>
      <c r="CI340" s="410"/>
      <c r="CJ340" s="410"/>
      <c r="CK340" s="410"/>
      <c r="CL340" s="410"/>
      <c r="CM340" s="410"/>
      <c r="CN340" s="410"/>
      <c r="CO340" s="410"/>
      <c r="CP340" s="410"/>
      <c r="CQ340" s="410"/>
      <c r="CR340" s="410"/>
      <c r="CS340" s="410"/>
      <c r="CT340" s="410"/>
      <c r="CU340" s="410"/>
      <c r="CV340" s="410"/>
      <c r="CW340" s="410"/>
      <c r="CX340" s="410"/>
      <c r="CY340" s="410"/>
      <c r="CZ340" s="410"/>
      <c r="DA340" s="410"/>
      <c r="DB340" s="410"/>
      <c r="DC340" s="410"/>
      <c r="DD340" s="410"/>
      <c r="DE340" s="410"/>
      <c r="DF340" s="410"/>
      <c r="DG340" s="410"/>
      <c r="DH340" s="410"/>
      <c r="DI340" s="410"/>
      <c r="DJ340" s="410"/>
      <c r="DK340" s="410"/>
      <c r="DL340" s="410"/>
      <c r="DM340" s="410"/>
      <c r="DN340" s="410"/>
      <c r="DO340" s="410"/>
      <c r="DP340" s="410"/>
      <c r="DQ340" s="410"/>
      <c r="DR340" s="410"/>
      <c r="DS340" s="410"/>
      <c r="DT340" s="410"/>
      <c r="DU340" s="410"/>
      <c r="DV340" s="410"/>
      <c r="DW340" s="410"/>
      <c r="DX340" s="410"/>
      <c r="DY340" s="410"/>
      <c r="DZ340" s="410"/>
      <c r="EA340" s="410"/>
      <c r="EB340" s="410"/>
      <c r="EC340" s="410"/>
      <c r="ED340" s="410"/>
      <c r="EE340" s="410"/>
      <c r="EF340" s="410"/>
      <c r="EG340" s="410"/>
      <c r="EH340" s="410"/>
      <c r="EI340" s="410"/>
      <c r="EJ340" s="410"/>
      <c r="EK340" s="410"/>
      <c r="EL340" s="410"/>
      <c r="EM340" s="410"/>
      <c r="EN340" s="410"/>
      <c r="EO340" s="410"/>
      <c r="EP340" s="410"/>
      <c r="EQ340" s="410"/>
      <c r="ER340" s="410"/>
      <c r="ES340" s="410"/>
      <c r="ET340" s="410"/>
      <c r="EU340" s="410"/>
      <c r="EV340" s="410"/>
      <c r="EW340" s="410"/>
      <c r="EX340" s="410"/>
      <c r="EY340" s="410"/>
      <c r="EZ340" s="410"/>
      <c r="FA340" s="410"/>
      <c r="FB340" s="410"/>
      <c r="FC340" s="410"/>
      <c r="FD340" s="410"/>
      <c r="FE340" s="410"/>
      <c r="FF340" s="410"/>
      <c r="FG340" s="410"/>
      <c r="FH340" s="410"/>
      <c r="FI340" s="410"/>
      <c r="FJ340" s="410"/>
      <c r="FK340" s="410"/>
      <c r="FL340" s="410"/>
      <c r="FM340" s="410"/>
      <c r="FN340" s="410"/>
      <c r="FO340" s="410"/>
      <c r="FP340" s="410"/>
      <c r="FQ340" s="410"/>
      <c r="FR340" s="410"/>
      <c r="FS340" s="410"/>
      <c r="FT340" s="410"/>
      <c r="FU340" s="410"/>
      <c r="FV340" s="410"/>
      <c r="FW340" s="410"/>
      <c r="FX340" s="410"/>
      <c r="FY340" s="410"/>
      <c r="FZ340" s="410"/>
      <c r="GA340" s="410"/>
      <c r="GB340" s="410"/>
      <c r="GC340" s="410"/>
      <c r="GD340" s="410"/>
      <c r="GE340" s="410"/>
      <c r="GF340" s="410"/>
      <c r="GG340" s="410"/>
      <c r="GH340" s="410"/>
      <c r="GI340" s="410"/>
      <c r="GJ340" s="410"/>
      <c r="GK340" s="410"/>
      <c r="GL340" s="410"/>
      <c r="GM340" s="410"/>
      <c r="GN340" s="410"/>
      <c r="GO340" s="410"/>
      <c r="GP340" s="410"/>
      <c r="GQ340" s="410"/>
      <c r="GR340" s="410"/>
      <c r="GS340" s="410"/>
      <c r="GT340" s="410"/>
      <c r="GU340" s="410"/>
      <c r="GV340" s="410"/>
      <c r="GW340" s="410"/>
      <c r="GX340" s="410"/>
      <c r="GY340" s="410"/>
      <c r="GZ340" s="410"/>
      <c r="HA340" s="410"/>
      <c r="HB340" s="410"/>
      <c r="HC340" s="410"/>
      <c r="HD340" s="410"/>
      <c r="HE340" s="410"/>
      <c r="HF340" s="410"/>
      <c r="HG340" s="410"/>
      <c r="HH340" s="410"/>
      <c r="HI340" s="410"/>
      <c r="HJ340" s="410"/>
      <c r="HK340" s="410"/>
      <c r="HL340" s="410"/>
      <c r="HM340" s="410"/>
      <c r="HN340" s="410"/>
      <c r="HO340" s="410"/>
      <c r="HP340" s="410"/>
      <c r="HQ340" s="410"/>
      <c r="HR340" s="410"/>
      <c r="HS340" s="410"/>
      <c r="HT340" s="410"/>
      <c r="HU340" s="410"/>
      <c r="HV340" s="410"/>
      <c r="HW340" s="410"/>
      <c r="HX340" s="410"/>
      <c r="HY340" s="410"/>
      <c r="HZ340" s="410"/>
      <c r="IA340" s="410"/>
      <c r="IB340" s="410"/>
      <c r="IC340" s="410"/>
      <c r="ID340" s="410"/>
      <c r="IE340" s="410"/>
      <c r="IF340" s="410"/>
      <c r="IG340" s="410"/>
      <c r="IH340" s="410"/>
      <c r="II340" s="410"/>
      <c r="IJ340" s="410"/>
      <c r="IK340" s="410"/>
      <c r="IL340" s="410"/>
      <c r="IM340" s="410"/>
    </row>
    <row r="341" spans="1:247" s="415" customFormat="1" ht="60" x14ac:dyDescent="0.25">
      <c r="A341" s="99">
        <v>1</v>
      </c>
      <c r="B341" s="57" t="s">
        <v>81</v>
      </c>
      <c r="C341" s="459">
        <f t="shared" si="124"/>
        <v>3200</v>
      </c>
      <c r="D341" s="459">
        <f t="shared" si="124"/>
        <v>1333</v>
      </c>
      <c r="E341" s="459">
        <f t="shared" si="124"/>
        <v>972</v>
      </c>
      <c r="F341" s="459">
        <f t="shared" si="124"/>
        <v>72.918229557389353</v>
      </c>
      <c r="G341" s="460">
        <f t="shared" si="124"/>
        <v>8810.1440000000002</v>
      </c>
      <c r="H341" s="460">
        <f t="shared" si="124"/>
        <v>3670.89</v>
      </c>
      <c r="I341" s="460">
        <f t="shared" si="124"/>
        <v>2634.6824200000001</v>
      </c>
      <c r="J341" s="460">
        <f t="shared" si="124"/>
        <v>71.772306443396559</v>
      </c>
      <c r="K341" s="410"/>
      <c r="L341" s="410"/>
      <c r="M341" s="410"/>
      <c r="N341" s="410"/>
      <c r="O341" s="410"/>
      <c r="P341" s="410"/>
      <c r="Q341" s="410"/>
      <c r="R341" s="410"/>
      <c r="S341" s="410"/>
      <c r="T341" s="410"/>
      <c r="U341" s="410"/>
      <c r="V341" s="410"/>
      <c r="W341" s="410"/>
      <c r="X341" s="410"/>
      <c r="Y341" s="410"/>
      <c r="Z341" s="410"/>
      <c r="AA341" s="410"/>
      <c r="AB341" s="410"/>
      <c r="AC341" s="410"/>
      <c r="AD341" s="410"/>
      <c r="AE341" s="410"/>
      <c r="AF341" s="410"/>
      <c r="AG341" s="410"/>
      <c r="AH341" s="410"/>
      <c r="AI341" s="410"/>
      <c r="AJ341" s="410"/>
      <c r="AK341" s="410"/>
      <c r="AL341" s="410"/>
      <c r="AM341" s="410"/>
      <c r="AN341" s="410"/>
      <c r="AO341" s="410"/>
      <c r="AP341" s="410"/>
      <c r="AQ341" s="410"/>
      <c r="AR341" s="410"/>
      <c r="AS341" s="410"/>
      <c r="AT341" s="410"/>
      <c r="AU341" s="410"/>
      <c r="AV341" s="410"/>
      <c r="AW341" s="410"/>
      <c r="AX341" s="410"/>
      <c r="AY341" s="410"/>
      <c r="AZ341" s="410"/>
      <c r="BA341" s="410"/>
      <c r="BB341" s="410"/>
      <c r="BC341" s="410"/>
      <c r="BD341" s="410"/>
      <c r="BE341" s="410"/>
      <c r="BF341" s="410"/>
      <c r="BG341" s="410"/>
      <c r="BH341" s="410"/>
      <c r="BI341" s="410"/>
      <c r="BJ341" s="410"/>
      <c r="BK341" s="410"/>
      <c r="BL341" s="410"/>
      <c r="BM341" s="410"/>
      <c r="BN341" s="410"/>
      <c r="BO341" s="410"/>
      <c r="BP341" s="410"/>
      <c r="BQ341" s="410"/>
      <c r="BR341" s="410"/>
      <c r="BS341" s="410"/>
      <c r="BT341" s="410"/>
      <c r="BU341" s="410"/>
      <c r="BV341" s="410"/>
      <c r="BW341" s="410"/>
      <c r="BX341" s="410"/>
      <c r="BY341" s="410"/>
      <c r="BZ341" s="410"/>
      <c r="CA341" s="410"/>
      <c r="CB341" s="410"/>
      <c r="CC341" s="410"/>
      <c r="CD341" s="410"/>
      <c r="CE341" s="410"/>
      <c r="CF341" s="410"/>
      <c r="CG341" s="410"/>
      <c r="CH341" s="410"/>
      <c r="CI341" s="410"/>
      <c r="CJ341" s="410"/>
      <c r="CK341" s="410"/>
      <c r="CL341" s="410"/>
      <c r="CM341" s="410"/>
      <c r="CN341" s="410"/>
      <c r="CO341" s="410"/>
      <c r="CP341" s="410"/>
      <c r="CQ341" s="410"/>
      <c r="CR341" s="410"/>
      <c r="CS341" s="410"/>
      <c r="CT341" s="410"/>
      <c r="CU341" s="410"/>
      <c r="CV341" s="410"/>
      <c r="CW341" s="410"/>
      <c r="CX341" s="410"/>
      <c r="CY341" s="410"/>
      <c r="CZ341" s="410"/>
      <c r="DA341" s="410"/>
      <c r="DB341" s="410"/>
      <c r="DC341" s="410"/>
      <c r="DD341" s="410"/>
      <c r="DE341" s="410"/>
      <c r="DF341" s="410"/>
      <c r="DG341" s="410"/>
      <c r="DH341" s="410"/>
      <c r="DI341" s="410"/>
      <c r="DJ341" s="410"/>
      <c r="DK341" s="410"/>
      <c r="DL341" s="410"/>
      <c r="DM341" s="410"/>
      <c r="DN341" s="410"/>
      <c r="DO341" s="410"/>
      <c r="DP341" s="410"/>
      <c r="DQ341" s="410"/>
      <c r="DR341" s="410"/>
      <c r="DS341" s="410"/>
      <c r="DT341" s="410"/>
      <c r="DU341" s="410"/>
      <c r="DV341" s="410"/>
      <c r="DW341" s="410"/>
      <c r="DX341" s="410"/>
      <c r="DY341" s="410"/>
      <c r="DZ341" s="410"/>
      <c r="EA341" s="410"/>
      <c r="EB341" s="410"/>
      <c r="EC341" s="410"/>
      <c r="ED341" s="410"/>
      <c r="EE341" s="410"/>
      <c r="EF341" s="410"/>
      <c r="EG341" s="410"/>
      <c r="EH341" s="410"/>
      <c r="EI341" s="410"/>
      <c r="EJ341" s="410"/>
      <c r="EK341" s="410"/>
      <c r="EL341" s="410"/>
      <c r="EM341" s="410"/>
      <c r="EN341" s="410"/>
      <c r="EO341" s="410"/>
      <c r="EP341" s="410"/>
      <c r="EQ341" s="410"/>
      <c r="ER341" s="410"/>
      <c r="ES341" s="410"/>
      <c r="ET341" s="410"/>
      <c r="EU341" s="410"/>
      <c r="EV341" s="410"/>
      <c r="EW341" s="410"/>
      <c r="EX341" s="410"/>
      <c r="EY341" s="410"/>
      <c r="EZ341" s="410"/>
      <c r="FA341" s="410"/>
      <c r="FB341" s="410"/>
      <c r="FC341" s="410"/>
      <c r="FD341" s="410"/>
      <c r="FE341" s="410"/>
      <c r="FF341" s="410"/>
      <c r="FG341" s="410"/>
      <c r="FH341" s="410"/>
      <c r="FI341" s="410"/>
      <c r="FJ341" s="410"/>
      <c r="FK341" s="410"/>
      <c r="FL341" s="410"/>
      <c r="FM341" s="410"/>
      <c r="FN341" s="410"/>
      <c r="FO341" s="410"/>
      <c r="FP341" s="410"/>
      <c r="FQ341" s="410"/>
      <c r="FR341" s="410"/>
      <c r="FS341" s="410"/>
      <c r="FT341" s="410"/>
      <c r="FU341" s="410"/>
      <c r="FV341" s="410"/>
      <c r="FW341" s="410"/>
      <c r="FX341" s="410"/>
      <c r="FY341" s="410"/>
      <c r="FZ341" s="410"/>
      <c r="GA341" s="410"/>
      <c r="GB341" s="410"/>
      <c r="GC341" s="410"/>
      <c r="GD341" s="410"/>
      <c r="GE341" s="410"/>
      <c r="GF341" s="410"/>
      <c r="GG341" s="410"/>
      <c r="GH341" s="410"/>
      <c r="GI341" s="410"/>
      <c r="GJ341" s="410"/>
      <c r="GK341" s="410"/>
      <c r="GL341" s="410"/>
      <c r="GM341" s="410"/>
      <c r="GN341" s="410"/>
      <c r="GO341" s="410"/>
      <c r="GP341" s="410"/>
      <c r="GQ341" s="410"/>
      <c r="GR341" s="410"/>
      <c r="GS341" s="410"/>
      <c r="GT341" s="410"/>
      <c r="GU341" s="410"/>
      <c r="GV341" s="410"/>
      <c r="GW341" s="410"/>
      <c r="GX341" s="410"/>
      <c r="GY341" s="410"/>
      <c r="GZ341" s="410"/>
      <c r="HA341" s="410"/>
      <c r="HB341" s="410"/>
      <c r="HC341" s="410"/>
      <c r="HD341" s="410"/>
      <c r="HE341" s="410"/>
      <c r="HF341" s="410"/>
      <c r="HG341" s="410"/>
      <c r="HH341" s="410"/>
      <c r="HI341" s="410"/>
      <c r="HJ341" s="410"/>
      <c r="HK341" s="410"/>
      <c r="HL341" s="410"/>
      <c r="HM341" s="410"/>
      <c r="HN341" s="410"/>
      <c r="HO341" s="410"/>
      <c r="HP341" s="410"/>
      <c r="HQ341" s="410"/>
      <c r="HR341" s="410"/>
      <c r="HS341" s="410"/>
      <c r="HT341" s="410"/>
      <c r="HU341" s="410"/>
      <c r="HV341" s="410"/>
      <c r="HW341" s="410"/>
      <c r="HX341" s="410"/>
      <c r="HY341" s="410"/>
      <c r="HZ341" s="410"/>
      <c r="IA341" s="410"/>
      <c r="IB341" s="410"/>
      <c r="IC341" s="410"/>
      <c r="ID341" s="410"/>
      <c r="IE341" s="410"/>
      <c r="IF341" s="410"/>
      <c r="IG341" s="410"/>
      <c r="IH341" s="410"/>
      <c r="II341" s="410"/>
      <c r="IJ341" s="410"/>
      <c r="IK341" s="410"/>
      <c r="IL341" s="410"/>
      <c r="IM341" s="410"/>
    </row>
    <row r="342" spans="1:247" s="415" customFormat="1" ht="45" x14ac:dyDescent="0.25">
      <c r="A342" s="99">
        <v>1</v>
      </c>
      <c r="B342" s="57" t="s">
        <v>109</v>
      </c>
      <c r="C342" s="459">
        <f t="shared" si="124"/>
        <v>2160</v>
      </c>
      <c r="D342" s="459">
        <f t="shared" si="124"/>
        <v>900</v>
      </c>
      <c r="E342" s="459">
        <f t="shared" si="124"/>
        <v>447</v>
      </c>
      <c r="F342" s="459">
        <f t="shared" si="124"/>
        <v>49.666666666666664</v>
      </c>
      <c r="G342" s="460">
        <f t="shared" si="124"/>
        <v>2117.1456000000003</v>
      </c>
      <c r="H342" s="460">
        <f t="shared" si="124"/>
        <v>882.14</v>
      </c>
      <c r="I342" s="460">
        <f t="shared" si="124"/>
        <v>472.05912000000001</v>
      </c>
      <c r="J342" s="460">
        <f t="shared" si="124"/>
        <v>53.512948058131357</v>
      </c>
      <c r="K342" s="410"/>
      <c r="L342" s="410"/>
      <c r="M342" s="410"/>
      <c r="N342" s="410"/>
      <c r="O342" s="410"/>
      <c r="P342" s="410"/>
      <c r="Q342" s="410"/>
      <c r="R342" s="410"/>
      <c r="S342" s="410"/>
      <c r="T342" s="410"/>
      <c r="U342" s="410"/>
      <c r="V342" s="410"/>
      <c r="W342" s="410"/>
      <c r="X342" s="410"/>
      <c r="Y342" s="410"/>
      <c r="Z342" s="410"/>
      <c r="AA342" s="410"/>
      <c r="AB342" s="410"/>
      <c r="AC342" s="410"/>
      <c r="AD342" s="410"/>
      <c r="AE342" s="410"/>
      <c r="AF342" s="410"/>
      <c r="AG342" s="410"/>
      <c r="AH342" s="410"/>
      <c r="AI342" s="410"/>
      <c r="AJ342" s="410"/>
      <c r="AK342" s="410"/>
      <c r="AL342" s="410"/>
      <c r="AM342" s="410"/>
      <c r="AN342" s="410"/>
      <c r="AO342" s="410"/>
      <c r="AP342" s="410"/>
      <c r="AQ342" s="410"/>
      <c r="AR342" s="410"/>
      <c r="AS342" s="410"/>
      <c r="AT342" s="410"/>
      <c r="AU342" s="410"/>
      <c r="AV342" s="410"/>
      <c r="AW342" s="410"/>
      <c r="AX342" s="410"/>
      <c r="AY342" s="410"/>
      <c r="AZ342" s="410"/>
      <c r="BA342" s="410"/>
      <c r="BB342" s="410"/>
      <c r="BC342" s="410"/>
      <c r="BD342" s="410"/>
      <c r="BE342" s="410"/>
      <c r="BF342" s="410"/>
      <c r="BG342" s="410"/>
      <c r="BH342" s="410"/>
      <c r="BI342" s="410"/>
      <c r="BJ342" s="410"/>
      <c r="BK342" s="410"/>
      <c r="BL342" s="410"/>
      <c r="BM342" s="410"/>
      <c r="BN342" s="410"/>
      <c r="BO342" s="410"/>
      <c r="BP342" s="410"/>
      <c r="BQ342" s="410"/>
      <c r="BR342" s="410"/>
      <c r="BS342" s="410"/>
      <c r="BT342" s="410"/>
      <c r="BU342" s="410"/>
      <c r="BV342" s="410"/>
      <c r="BW342" s="410"/>
      <c r="BX342" s="410"/>
      <c r="BY342" s="410"/>
      <c r="BZ342" s="410"/>
      <c r="CA342" s="410"/>
      <c r="CB342" s="410"/>
      <c r="CC342" s="410"/>
      <c r="CD342" s="410"/>
      <c r="CE342" s="410"/>
      <c r="CF342" s="410"/>
      <c r="CG342" s="410"/>
      <c r="CH342" s="410"/>
      <c r="CI342" s="410"/>
      <c r="CJ342" s="410"/>
      <c r="CK342" s="410"/>
      <c r="CL342" s="410"/>
      <c r="CM342" s="410"/>
      <c r="CN342" s="410"/>
      <c r="CO342" s="410"/>
      <c r="CP342" s="410"/>
      <c r="CQ342" s="410"/>
      <c r="CR342" s="410"/>
      <c r="CS342" s="410"/>
      <c r="CT342" s="410"/>
      <c r="CU342" s="410"/>
      <c r="CV342" s="410"/>
      <c r="CW342" s="410"/>
      <c r="CX342" s="410"/>
      <c r="CY342" s="410"/>
      <c r="CZ342" s="410"/>
      <c r="DA342" s="410"/>
      <c r="DB342" s="410"/>
      <c r="DC342" s="410"/>
      <c r="DD342" s="410"/>
      <c r="DE342" s="410"/>
      <c r="DF342" s="410"/>
      <c r="DG342" s="410"/>
      <c r="DH342" s="410"/>
      <c r="DI342" s="410"/>
      <c r="DJ342" s="410"/>
      <c r="DK342" s="410"/>
      <c r="DL342" s="410"/>
      <c r="DM342" s="410"/>
      <c r="DN342" s="410"/>
      <c r="DO342" s="410"/>
      <c r="DP342" s="410"/>
      <c r="DQ342" s="410"/>
      <c r="DR342" s="410"/>
      <c r="DS342" s="410"/>
      <c r="DT342" s="410"/>
      <c r="DU342" s="410"/>
      <c r="DV342" s="410"/>
      <c r="DW342" s="410"/>
      <c r="DX342" s="410"/>
      <c r="DY342" s="410"/>
      <c r="DZ342" s="410"/>
      <c r="EA342" s="410"/>
      <c r="EB342" s="410"/>
      <c r="EC342" s="410"/>
      <c r="ED342" s="410"/>
      <c r="EE342" s="410"/>
      <c r="EF342" s="410"/>
      <c r="EG342" s="410"/>
      <c r="EH342" s="410"/>
      <c r="EI342" s="410"/>
      <c r="EJ342" s="410"/>
      <c r="EK342" s="410"/>
      <c r="EL342" s="410"/>
      <c r="EM342" s="410"/>
      <c r="EN342" s="410"/>
      <c r="EO342" s="410"/>
      <c r="EP342" s="410"/>
      <c r="EQ342" s="410"/>
      <c r="ER342" s="410"/>
      <c r="ES342" s="410"/>
      <c r="ET342" s="410"/>
      <c r="EU342" s="410"/>
      <c r="EV342" s="410"/>
      <c r="EW342" s="410"/>
      <c r="EX342" s="410"/>
      <c r="EY342" s="410"/>
      <c r="EZ342" s="410"/>
      <c r="FA342" s="410"/>
      <c r="FB342" s="410"/>
      <c r="FC342" s="410"/>
      <c r="FD342" s="410"/>
      <c r="FE342" s="410"/>
      <c r="FF342" s="410"/>
      <c r="FG342" s="410"/>
      <c r="FH342" s="410"/>
      <c r="FI342" s="410"/>
      <c r="FJ342" s="410"/>
      <c r="FK342" s="410"/>
      <c r="FL342" s="410"/>
      <c r="FM342" s="410"/>
      <c r="FN342" s="410"/>
      <c r="FO342" s="410"/>
      <c r="FP342" s="410"/>
      <c r="FQ342" s="410"/>
      <c r="FR342" s="410"/>
      <c r="FS342" s="410"/>
      <c r="FT342" s="410"/>
      <c r="FU342" s="410"/>
      <c r="FV342" s="410"/>
      <c r="FW342" s="410"/>
      <c r="FX342" s="410"/>
      <c r="FY342" s="410"/>
      <c r="FZ342" s="410"/>
      <c r="GA342" s="410"/>
      <c r="GB342" s="410"/>
      <c r="GC342" s="410"/>
      <c r="GD342" s="410"/>
      <c r="GE342" s="410"/>
      <c r="GF342" s="410"/>
      <c r="GG342" s="410"/>
      <c r="GH342" s="410"/>
      <c r="GI342" s="410"/>
      <c r="GJ342" s="410"/>
      <c r="GK342" s="410"/>
      <c r="GL342" s="410"/>
      <c r="GM342" s="410"/>
      <c r="GN342" s="410"/>
      <c r="GO342" s="410"/>
      <c r="GP342" s="410"/>
      <c r="GQ342" s="410"/>
      <c r="GR342" s="410"/>
      <c r="GS342" s="410"/>
      <c r="GT342" s="410"/>
      <c r="GU342" s="410"/>
      <c r="GV342" s="410"/>
      <c r="GW342" s="410"/>
      <c r="GX342" s="410"/>
      <c r="GY342" s="410"/>
      <c r="GZ342" s="410"/>
      <c r="HA342" s="410"/>
      <c r="HB342" s="410"/>
      <c r="HC342" s="410"/>
      <c r="HD342" s="410"/>
      <c r="HE342" s="410"/>
      <c r="HF342" s="410"/>
      <c r="HG342" s="410"/>
      <c r="HH342" s="410"/>
      <c r="HI342" s="410"/>
      <c r="HJ342" s="410"/>
      <c r="HK342" s="410"/>
      <c r="HL342" s="410"/>
      <c r="HM342" s="410"/>
      <c r="HN342" s="410"/>
      <c r="HO342" s="410"/>
      <c r="HP342" s="410"/>
      <c r="HQ342" s="410"/>
      <c r="HR342" s="410"/>
      <c r="HS342" s="410"/>
      <c r="HT342" s="410"/>
      <c r="HU342" s="410"/>
      <c r="HV342" s="410"/>
      <c r="HW342" s="410"/>
      <c r="HX342" s="410"/>
      <c r="HY342" s="410"/>
      <c r="HZ342" s="410"/>
      <c r="IA342" s="410"/>
      <c r="IB342" s="410"/>
      <c r="IC342" s="410"/>
      <c r="ID342" s="410"/>
      <c r="IE342" s="410"/>
      <c r="IF342" s="410"/>
      <c r="IG342" s="410"/>
      <c r="IH342" s="410"/>
      <c r="II342" s="410"/>
      <c r="IJ342" s="410"/>
      <c r="IK342" s="410"/>
      <c r="IL342" s="410"/>
      <c r="IM342" s="410"/>
    </row>
    <row r="343" spans="1:247" s="415" customFormat="1" ht="30.75" thickBot="1" x14ac:dyDescent="0.3">
      <c r="A343" s="99"/>
      <c r="B343" s="146" t="s">
        <v>123</v>
      </c>
      <c r="C343" s="461">
        <f t="shared" ref="C343:J343" si="125">SUM(C331)</f>
        <v>12300</v>
      </c>
      <c r="D343" s="461">
        <f t="shared" si="125"/>
        <v>5125</v>
      </c>
      <c r="E343" s="461">
        <f t="shared" si="125"/>
        <v>5836</v>
      </c>
      <c r="F343" s="461">
        <f t="shared" si="125"/>
        <v>113.8731707317073</v>
      </c>
      <c r="G343" s="461">
        <f t="shared" si="125"/>
        <v>11970.606</v>
      </c>
      <c r="H343" s="461">
        <f t="shared" si="125"/>
        <v>4987.75</v>
      </c>
      <c r="I343" s="461">
        <f t="shared" si="125"/>
        <v>5677.8510000000006</v>
      </c>
      <c r="J343" s="459">
        <f t="shared" si="125"/>
        <v>113.8359179990978</v>
      </c>
      <c r="K343" s="410"/>
      <c r="L343" s="410"/>
      <c r="M343" s="410"/>
      <c r="N343" s="410"/>
      <c r="O343" s="410"/>
      <c r="P343" s="410"/>
      <c r="Q343" s="410"/>
      <c r="R343" s="410"/>
      <c r="S343" s="410"/>
      <c r="T343" s="410"/>
      <c r="U343" s="410"/>
      <c r="V343" s="410"/>
      <c r="W343" s="410"/>
      <c r="X343" s="410"/>
      <c r="Y343" s="410"/>
      <c r="Z343" s="410"/>
      <c r="AA343" s="410"/>
      <c r="AB343" s="410"/>
      <c r="AC343" s="410"/>
      <c r="AD343" s="410"/>
      <c r="AE343" s="410"/>
      <c r="AF343" s="410"/>
      <c r="AG343" s="410"/>
      <c r="AH343" s="410"/>
      <c r="AI343" s="410"/>
      <c r="AJ343" s="410"/>
      <c r="AK343" s="410"/>
      <c r="AL343" s="410"/>
      <c r="AM343" s="410"/>
      <c r="AN343" s="410"/>
      <c r="AO343" s="410"/>
      <c r="AP343" s="410"/>
      <c r="AQ343" s="410"/>
      <c r="AR343" s="410"/>
      <c r="AS343" s="410"/>
      <c r="AT343" s="410"/>
      <c r="AU343" s="410"/>
      <c r="AV343" s="410"/>
      <c r="AW343" s="410"/>
      <c r="AX343" s="410"/>
      <c r="AY343" s="410"/>
      <c r="AZ343" s="410"/>
      <c r="BA343" s="410"/>
      <c r="BB343" s="410"/>
      <c r="BC343" s="410"/>
      <c r="BD343" s="410"/>
      <c r="BE343" s="410"/>
      <c r="BF343" s="410"/>
      <c r="BG343" s="410"/>
      <c r="BH343" s="410"/>
      <c r="BI343" s="410"/>
      <c r="BJ343" s="410"/>
      <c r="BK343" s="410"/>
      <c r="BL343" s="410"/>
      <c r="BM343" s="410"/>
      <c r="BN343" s="410"/>
      <c r="BO343" s="410"/>
      <c r="BP343" s="410"/>
      <c r="BQ343" s="410"/>
      <c r="BR343" s="410"/>
      <c r="BS343" s="410"/>
      <c r="BT343" s="410"/>
      <c r="BU343" s="410"/>
      <c r="BV343" s="410"/>
      <c r="BW343" s="410"/>
      <c r="BX343" s="410"/>
      <c r="BY343" s="410"/>
      <c r="BZ343" s="410"/>
      <c r="CA343" s="410"/>
      <c r="CB343" s="410"/>
      <c r="CC343" s="410"/>
      <c r="CD343" s="410"/>
      <c r="CE343" s="410"/>
      <c r="CF343" s="410"/>
      <c r="CG343" s="410"/>
      <c r="CH343" s="410"/>
      <c r="CI343" s="410"/>
      <c r="CJ343" s="410"/>
      <c r="CK343" s="410"/>
      <c r="CL343" s="410"/>
      <c r="CM343" s="410"/>
      <c r="CN343" s="410"/>
      <c r="CO343" s="410"/>
      <c r="CP343" s="410"/>
      <c r="CQ343" s="410"/>
      <c r="CR343" s="410"/>
      <c r="CS343" s="410"/>
      <c r="CT343" s="410"/>
      <c r="CU343" s="410"/>
      <c r="CV343" s="410"/>
      <c r="CW343" s="410"/>
      <c r="CX343" s="410"/>
      <c r="CY343" s="410"/>
      <c r="CZ343" s="410"/>
      <c r="DA343" s="410"/>
      <c r="DB343" s="410"/>
      <c r="DC343" s="410"/>
      <c r="DD343" s="410"/>
      <c r="DE343" s="410"/>
      <c r="DF343" s="410"/>
      <c r="DG343" s="410"/>
      <c r="DH343" s="410"/>
      <c r="DI343" s="410"/>
      <c r="DJ343" s="410"/>
      <c r="DK343" s="410"/>
      <c r="DL343" s="410"/>
      <c r="DM343" s="410"/>
      <c r="DN343" s="410"/>
      <c r="DO343" s="410"/>
      <c r="DP343" s="410"/>
      <c r="DQ343" s="410"/>
      <c r="DR343" s="410"/>
      <c r="DS343" s="410"/>
      <c r="DT343" s="410"/>
      <c r="DU343" s="410"/>
      <c r="DV343" s="410"/>
      <c r="DW343" s="410"/>
      <c r="DX343" s="410"/>
      <c r="DY343" s="410"/>
      <c r="DZ343" s="410"/>
      <c r="EA343" s="410"/>
      <c r="EB343" s="410"/>
      <c r="EC343" s="410"/>
      <c r="ED343" s="410"/>
      <c r="EE343" s="410"/>
      <c r="EF343" s="410"/>
      <c r="EG343" s="410"/>
      <c r="EH343" s="410"/>
      <c r="EI343" s="410"/>
      <c r="EJ343" s="410"/>
      <c r="EK343" s="410"/>
      <c r="EL343" s="410"/>
      <c r="EM343" s="410"/>
      <c r="EN343" s="410"/>
      <c r="EO343" s="410"/>
      <c r="EP343" s="410"/>
      <c r="EQ343" s="410"/>
      <c r="ER343" s="410"/>
      <c r="ES343" s="410"/>
      <c r="ET343" s="410"/>
      <c r="EU343" s="410"/>
      <c r="EV343" s="410"/>
      <c r="EW343" s="410"/>
      <c r="EX343" s="410"/>
      <c r="EY343" s="410"/>
      <c r="EZ343" s="410"/>
      <c r="FA343" s="410"/>
      <c r="FB343" s="410"/>
      <c r="FC343" s="410"/>
      <c r="FD343" s="410"/>
      <c r="FE343" s="410"/>
      <c r="FF343" s="410"/>
      <c r="FG343" s="410"/>
      <c r="FH343" s="410"/>
      <c r="FI343" s="410"/>
      <c r="FJ343" s="410"/>
      <c r="FK343" s="410"/>
      <c r="FL343" s="410"/>
      <c r="FM343" s="410"/>
      <c r="FN343" s="410"/>
      <c r="FO343" s="410"/>
      <c r="FP343" s="410"/>
      <c r="FQ343" s="410"/>
      <c r="FR343" s="410"/>
      <c r="FS343" s="410"/>
      <c r="FT343" s="410"/>
      <c r="FU343" s="410"/>
      <c r="FV343" s="410"/>
      <c r="FW343" s="410"/>
      <c r="FX343" s="410"/>
      <c r="FY343" s="410"/>
      <c r="FZ343" s="410"/>
      <c r="GA343" s="410"/>
      <c r="GB343" s="410"/>
      <c r="GC343" s="410"/>
      <c r="GD343" s="410"/>
      <c r="GE343" s="410"/>
      <c r="GF343" s="410"/>
      <c r="GG343" s="410"/>
      <c r="GH343" s="410"/>
      <c r="GI343" s="410"/>
      <c r="GJ343" s="410"/>
      <c r="GK343" s="410"/>
      <c r="GL343" s="410"/>
      <c r="GM343" s="410"/>
      <c r="GN343" s="410"/>
      <c r="GO343" s="410"/>
      <c r="GP343" s="410"/>
      <c r="GQ343" s="410"/>
      <c r="GR343" s="410"/>
      <c r="GS343" s="410"/>
      <c r="GT343" s="410"/>
      <c r="GU343" s="410"/>
      <c r="GV343" s="410"/>
      <c r="GW343" s="410"/>
      <c r="GX343" s="410"/>
      <c r="GY343" s="410"/>
      <c r="GZ343" s="410"/>
      <c r="HA343" s="410"/>
      <c r="HB343" s="410"/>
      <c r="HC343" s="410"/>
      <c r="HD343" s="410"/>
      <c r="HE343" s="410"/>
      <c r="HF343" s="410"/>
      <c r="HG343" s="410"/>
      <c r="HH343" s="410"/>
      <c r="HI343" s="410"/>
      <c r="HJ343" s="410"/>
      <c r="HK343" s="410"/>
      <c r="HL343" s="410"/>
      <c r="HM343" s="410"/>
      <c r="HN343" s="410"/>
      <c r="HO343" s="410"/>
      <c r="HP343" s="410"/>
      <c r="HQ343" s="410"/>
      <c r="HR343" s="410"/>
      <c r="HS343" s="410"/>
      <c r="HT343" s="410"/>
      <c r="HU343" s="410"/>
      <c r="HV343" s="410"/>
      <c r="HW343" s="410"/>
      <c r="HX343" s="410"/>
      <c r="HY343" s="410"/>
      <c r="HZ343" s="410"/>
      <c r="IA343" s="410"/>
      <c r="IB343" s="410"/>
      <c r="IC343" s="410"/>
      <c r="ID343" s="410"/>
      <c r="IE343" s="410"/>
      <c r="IF343" s="410"/>
      <c r="IG343" s="410"/>
      <c r="IH343" s="410"/>
      <c r="II343" s="410"/>
      <c r="IJ343" s="410"/>
      <c r="IK343" s="410"/>
      <c r="IL343" s="410"/>
      <c r="IM343" s="410"/>
    </row>
    <row r="344" spans="1:247" ht="15" customHeight="1" thickBot="1" x14ac:dyDescent="0.3">
      <c r="A344" s="99">
        <v>1</v>
      </c>
      <c r="B344" s="235" t="s">
        <v>4</v>
      </c>
      <c r="C344" s="476">
        <f t="shared" ref="C344:J344" si="126">C332</f>
        <v>0</v>
      </c>
      <c r="D344" s="476">
        <f t="shared" si="126"/>
        <v>0</v>
      </c>
      <c r="E344" s="476">
        <f t="shared" si="126"/>
        <v>0</v>
      </c>
      <c r="F344" s="476">
        <f t="shared" si="126"/>
        <v>0</v>
      </c>
      <c r="G344" s="477">
        <f t="shared" si="126"/>
        <v>33454.009270000002</v>
      </c>
      <c r="H344" s="477">
        <f t="shared" si="126"/>
        <v>13939.16</v>
      </c>
      <c r="I344" s="477">
        <f t="shared" si="126"/>
        <v>11812.482260000001</v>
      </c>
      <c r="J344" s="471">
        <f t="shared" si="126"/>
        <v>84.743142771874346</v>
      </c>
    </row>
    <row r="345" spans="1:247" ht="15" customHeight="1" x14ac:dyDescent="0.25">
      <c r="A345" s="99">
        <v>1</v>
      </c>
      <c r="B345" s="443" t="s">
        <v>15</v>
      </c>
      <c r="C345" s="96"/>
      <c r="D345" s="96"/>
      <c r="E345" s="96"/>
      <c r="F345" s="96"/>
      <c r="G345" s="220"/>
      <c r="H345" s="220"/>
      <c r="I345" s="220"/>
      <c r="J345" s="220"/>
    </row>
    <row r="346" spans="1:247" ht="29.25" x14ac:dyDescent="0.25">
      <c r="A346" s="99">
        <v>1</v>
      </c>
      <c r="B346" s="478" t="s">
        <v>55</v>
      </c>
      <c r="C346" s="63"/>
      <c r="D346" s="63"/>
      <c r="E346" s="63"/>
      <c r="F346" s="63"/>
      <c r="G346" s="199"/>
      <c r="H346" s="199"/>
      <c r="I346" s="199"/>
      <c r="J346" s="199"/>
    </row>
    <row r="347" spans="1:247" s="49" customFormat="1" ht="30" x14ac:dyDescent="0.25">
      <c r="A347" s="99">
        <v>1</v>
      </c>
      <c r="B347" s="57" t="s">
        <v>120</v>
      </c>
      <c r="C347" s="54">
        <f>SUM(C348:C351)</f>
        <v>400</v>
      </c>
      <c r="D347" s="54">
        <f>SUM(D348:D351)</f>
        <v>167</v>
      </c>
      <c r="E347" s="54">
        <f>SUM(E348:E351)</f>
        <v>126</v>
      </c>
      <c r="F347" s="54">
        <f>E347/D347*100</f>
        <v>75.449101796407177</v>
      </c>
      <c r="G347" s="205">
        <f>SUM(G348:G351)</f>
        <v>794.96517999999992</v>
      </c>
      <c r="H347" s="205">
        <f>SUM(H348:H351)</f>
        <v>331.23</v>
      </c>
      <c r="I347" s="205">
        <f>SUM(I348:I351)</f>
        <v>172.84364000000002</v>
      </c>
      <c r="J347" s="205">
        <f t="shared" ref="J347:J367" si="127">I347/H347*100</f>
        <v>52.182362708691855</v>
      </c>
    </row>
    <row r="348" spans="1:247" s="49" customFormat="1" ht="30" x14ac:dyDescent="0.25">
      <c r="A348" s="99">
        <v>1</v>
      </c>
      <c r="B348" s="57" t="s">
        <v>79</v>
      </c>
      <c r="C348" s="54">
        <v>278</v>
      </c>
      <c r="D348" s="50">
        <f t="shared" ref="D348:D355" si="128">ROUND(C348/12*$B$3,0)</f>
        <v>116</v>
      </c>
      <c r="E348" s="54">
        <v>126</v>
      </c>
      <c r="F348" s="54">
        <f>E348/D348*100</f>
        <v>108.62068965517241</v>
      </c>
      <c r="G348" s="205">
        <v>422.80919999999998</v>
      </c>
      <c r="H348" s="323">
        <f t="shared" ref="H348:H351" si="129">ROUND(G348/12*$B$3,2)</f>
        <v>176.17</v>
      </c>
      <c r="I348" s="205">
        <v>185.92850000000001</v>
      </c>
      <c r="J348" s="205">
        <f t="shared" si="127"/>
        <v>105.53925185899983</v>
      </c>
    </row>
    <row r="349" spans="1:247" s="49" customFormat="1" ht="30" x14ac:dyDescent="0.25">
      <c r="A349" s="99">
        <v>1</v>
      </c>
      <c r="B349" s="57" t="s">
        <v>80</v>
      </c>
      <c r="C349" s="54">
        <v>83</v>
      </c>
      <c r="D349" s="50">
        <f t="shared" si="128"/>
        <v>35</v>
      </c>
      <c r="E349" s="54">
        <v>0</v>
      </c>
      <c r="F349" s="54">
        <f>E349/D349*100</f>
        <v>0</v>
      </c>
      <c r="G349" s="205">
        <v>116.23486</v>
      </c>
      <c r="H349" s="323">
        <f t="shared" si="129"/>
        <v>48.43</v>
      </c>
      <c r="I349" s="205">
        <v>-13.084860000000001</v>
      </c>
      <c r="J349" s="205">
        <f t="shared" si="127"/>
        <v>-27.018087962007019</v>
      </c>
    </row>
    <row r="350" spans="1:247" s="49" customFormat="1" ht="45" x14ac:dyDescent="0.25">
      <c r="A350" s="99">
        <v>1</v>
      </c>
      <c r="B350" s="57" t="s">
        <v>114</v>
      </c>
      <c r="C350" s="54"/>
      <c r="D350" s="50">
        <f t="shared" si="128"/>
        <v>0</v>
      </c>
      <c r="E350" s="54"/>
      <c r="F350" s="54"/>
      <c r="G350" s="209"/>
      <c r="H350" s="323">
        <f t="shared" si="129"/>
        <v>0</v>
      </c>
      <c r="I350" s="205"/>
      <c r="J350" s="205"/>
    </row>
    <row r="351" spans="1:247" s="49" customFormat="1" ht="30" x14ac:dyDescent="0.25">
      <c r="A351" s="99">
        <v>1</v>
      </c>
      <c r="B351" s="57" t="s">
        <v>115</v>
      </c>
      <c r="C351" s="54">
        <v>39</v>
      </c>
      <c r="D351" s="50">
        <f t="shared" si="128"/>
        <v>16</v>
      </c>
      <c r="E351" s="54"/>
      <c r="F351" s="54">
        <f t="shared" ref="F351:F355" si="130">E351/D351*100</f>
        <v>0</v>
      </c>
      <c r="G351" s="205">
        <v>255.92112</v>
      </c>
      <c r="H351" s="323">
        <f t="shared" si="129"/>
        <v>106.63</v>
      </c>
      <c r="I351" s="205"/>
      <c r="J351" s="205">
        <f t="shared" si="127"/>
        <v>0</v>
      </c>
    </row>
    <row r="352" spans="1:247" s="49" customFormat="1" ht="30" x14ac:dyDescent="0.25">
      <c r="A352" s="99">
        <v>1</v>
      </c>
      <c r="B352" s="57" t="s">
        <v>112</v>
      </c>
      <c r="C352" s="54">
        <f>SUM(C353:C355)</f>
        <v>723</v>
      </c>
      <c r="D352" s="54">
        <f>SUM(D353:D355)</f>
        <v>301</v>
      </c>
      <c r="E352" s="54">
        <f>SUM(E353:E355)</f>
        <v>163</v>
      </c>
      <c r="F352" s="54">
        <f t="shared" si="130"/>
        <v>54.152823920265782</v>
      </c>
      <c r="G352" s="199">
        <f>SUM(G353:G355)</f>
        <v>1484.9919300000001</v>
      </c>
      <c r="H352" s="199">
        <f>SUM(H353:H355)</f>
        <v>618.75</v>
      </c>
      <c r="I352" s="199">
        <f>SUM(I353:I355)</f>
        <v>416.52425000000005</v>
      </c>
      <c r="J352" s="205">
        <f t="shared" si="127"/>
        <v>67.317050505050517</v>
      </c>
    </row>
    <row r="353" spans="1:247" s="49" customFormat="1" ht="30" x14ac:dyDescent="0.25">
      <c r="A353" s="99">
        <v>1</v>
      </c>
      <c r="B353" s="57" t="s">
        <v>108</v>
      </c>
      <c r="C353" s="54">
        <v>20</v>
      </c>
      <c r="D353" s="50">
        <f t="shared" si="128"/>
        <v>8</v>
      </c>
      <c r="E353" s="54">
        <v>0</v>
      </c>
      <c r="F353" s="54">
        <f t="shared" si="130"/>
        <v>0</v>
      </c>
      <c r="G353" s="205">
        <v>42.410199999999996</v>
      </c>
      <c r="H353" s="323">
        <f t="shared" ref="H353:H356" si="131">ROUND(G353/12*$B$3,2)</f>
        <v>17.670000000000002</v>
      </c>
      <c r="I353" s="205"/>
      <c r="J353" s="205">
        <f t="shared" si="127"/>
        <v>0</v>
      </c>
    </row>
    <row r="354" spans="1:247" s="49" customFormat="1" ht="58.5" customHeight="1" x14ac:dyDescent="0.25">
      <c r="A354" s="99">
        <v>1</v>
      </c>
      <c r="B354" s="57" t="s">
        <v>119</v>
      </c>
      <c r="C354" s="54">
        <v>425</v>
      </c>
      <c r="D354" s="50">
        <f t="shared" si="128"/>
        <v>177</v>
      </c>
      <c r="E354" s="54">
        <v>154</v>
      </c>
      <c r="F354" s="54">
        <f t="shared" si="130"/>
        <v>87.005649717514117</v>
      </c>
      <c r="G354" s="205">
        <v>1170.09725</v>
      </c>
      <c r="H354" s="323">
        <f t="shared" si="131"/>
        <v>487.54</v>
      </c>
      <c r="I354" s="205">
        <v>408.28835000000004</v>
      </c>
      <c r="J354" s="205">
        <f t="shared" si="127"/>
        <v>83.74458505968741</v>
      </c>
    </row>
    <row r="355" spans="1:247" s="49" customFormat="1" ht="45" x14ac:dyDescent="0.25">
      <c r="A355" s="99">
        <v>1</v>
      </c>
      <c r="B355" s="57" t="s">
        <v>109</v>
      </c>
      <c r="C355" s="54">
        <v>278</v>
      </c>
      <c r="D355" s="50">
        <f t="shared" si="128"/>
        <v>116</v>
      </c>
      <c r="E355" s="54">
        <v>9</v>
      </c>
      <c r="F355" s="54">
        <f t="shared" si="130"/>
        <v>7.7586206896551726</v>
      </c>
      <c r="G355" s="205">
        <v>272.48447999999996</v>
      </c>
      <c r="H355" s="323">
        <f t="shared" si="131"/>
        <v>113.54</v>
      </c>
      <c r="I355" s="205">
        <v>8.2358999999999991</v>
      </c>
      <c r="J355" s="205">
        <f t="shared" si="127"/>
        <v>7.2537431742117295</v>
      </c>
    </row>
    <row r="356" spans="1:247" s="49" customFormat="1" ht="30.75" thickBot="1" x14ac:dyDescent="0.3">
      <c r="A356" s="99"/>
      <c r="B356" s="408" t="s">
        <v>123</v>
      </c>
      <c r="C356" s="98">
        <v>990</v>
      </c>
      <c r="D356" s="150">
        <f>ROUND(C356/12*$B$3,0)</f>
        <v>413</v>
      </c>
      <c r="E356" s="98">
        <v>353</v>
      </c>
      <c r="F356" s="98">
        <f>E356/D356*100</f>
        <v>85.472154963680396</v>
      </c>
      <c r="G356" s="206">
        <v>963.48779999999999</v>
      </c>
      <c r="H356" s="324">
        <f t="shared" si="131"/>
        <v>401.45</v>
      </c>
      <c r="I356" s="206">
        <v>341.92848000000004</v>
      </c>
      <c r="J356" s="206">
        <f>I356/H356*100</f>
        <v>85.173366546269776</v>
      </c>
    </row>
    <row r="357" spans="1:247" ht="19.5" customHeight="1" thickBot="1" x14ac:dyDescent="0.3">
      <c r="A357" s="99">
        <v>1</v>
      </c>
      <c r="B357" s="409" t="s">
        <v>3</v>
      </c>
      <c r="C357" s="479"/>
      <c r="D357" s="479"/>
      <c r="E357" s="479"/>
      <c r="F357" s="193"/>
      <c r="G357" s="480">
        <f>G352+G347+G356</f>
        <v>3243.4449100000002</v>
      </c>
      <c r="H357" s="480">
        <f>H352+H347+H356</f>
        <v>1351.43</v>
      </c>
      <c r="I357" s="480">
        <f>I352+I347+I356</f>
        <v>931.29637000000014</v>
      </c>
      <c r="J357" s="419">
        <f t="shared" si="127"/>
        <v>68.9119207062149</v>
      </c>
    </row>
    <row r="358" spans="1:247" ht="29.25" x14ac:dyDescent="0.25">
      <c r="A358" s="99">
        <v>1</v>
      </c>
      <c r="B358" s="481" t="s">
        <v>47</v>
      </c>
      <c r="C358" s="482"/>
      <c r="D358" s="482"/>
      <c r="E358" s="482"/>
      <c r="F358" s="482"/>
      <c r="G358" s="483"/>
      <c r="H358" s="483"/>
      <c r="I358" s="483"/>
      <c r="J358" s="483"/>
    </row>
    <row r="359" spans="1:247" s="415" customFormat="1" ht="48" customHeight="1" x14ac:dyDescent="0.25">
      <c r="A359" s="99">
        <v>1</v>
      </c>
      <c r="B359" s="121" t="s">
        <v>120</v>
      </c>
      <c r="C359" s="459">
        <f t="shared" ref="C359:I369" si="132">C347</f>
        <v>400</v>
      </c>
      <c r="D359" s="459">
        <f t="shared" si="132"/>
        <v>167</v>
      </c>
      <c r="E359" s="459">
        <f t="shared" si="132"/>
        <v>126</v>
      </c>
      <c r="F359" s="459">
        <f t="shared" si="132"/>
        <v>75.449101796407177</v>
      </c>
      <c r="G359" s="460">
        <f t="shared" si="132"/>
        <v>794.96517999999992</v>
      </c>
      <c r="H359" s="460">
        <f t="shared" si="132"/>
        <v>331.23</v>
      </c>
      <c r="I359" s="460">
        <f t="shared" si="132"/>
        <v>172.84364000000002</v>
      </c>
      <c r="J359" s="460">
        <f t="shared" si="127"/>
        <v>52.182362708691855</v>
      </c>
      <c r="K359" s="410"/>
      <c r="L359" s="410"/>
      <c r="M359" s="410"/>
      <c r="N359" s="410"/>
      <c r="O359" s="410"/>
      <c r="P359" s="410"/>
      <c r="Q359" s="410"/>
      <c r="R359" s="410"/>
      <c r="S359" s="410"/>
      <c r="T359" s="410"/>
      <c r="U359" s="410"/>
      <c r="V359" s="410"/>
      <c r="W359" s="410"/>
      <c r="X359" s="410"/>
      <c r="Y359" s="410"/>
      <c r="Z359" s="410"/>
      <c r="AA359" s="410"/>
      <c r="AB359" s="410"/>
      <c r="AC359" s="410"/>
      <c r="AD359" s="410"/>
      <c r="AE359" s="410"/>
      <c r="AF359" s="410"/>
      <c r="AG359" s="410"/>
      <c r="AH359" s="410"/>
      <c r="AI359" s="410"/>
      <c r="AJ359" s="410"/>
      <c r="AK359" s="410"/>
      <c r="AL359" s="410"/>
      <c r="AM359" s="410"/>
      <c r="AN359" s="410"/>
      <c r="AO359" s="410"/>
      <c r="AP359" s="410"/>
      <c r="AQ359" s="410"/>
      <c r="AR359" s="410"/>
      <c r="AS359" s="410"/>
      <c r="AT359" s="410"/>
      <c r="AU359" s="410"/>
      <c r="AV359" s="410"/>
      <c r="AW359" s="410"/>
      <c r="AX359" s="410"/>
      <c r="AY359" s="410"/>
      <c r="AZ359" s="410"/>
      <c r="BA359" s="410"/>
      <c r="BB359" s="410"/>
      <c r="BC359" s="410"/>
      <c r="BD359" s="410"/>
      <c r="BE359" s="410"/>
      <c r="BF359" s="410"/>
      <c r="BG359" s="410"/>
      <c r="BH359" s="410"/>
      <c r="BI359" s="410"/>
      <c r="BJ359" s="410"/>
      <c r="BK359" s="410"/>
      <c r="BL359" s="410"/>
      <c r="BM359" s="410"/>
      <c r="BN359" s="410"/>
      <c r="BO359" s="410"/>
      <c r="BP359" s="410"/>
      <c r="BQ359" s="410"/>
      <c r="BR359" s="410"/>
      <c r="BS359" s="410"/>
      <c r="BT359" s="410"/>
      <c r="BU359" s="410"/>
      <c r="BV359" s="410"/>
      <c r="BW359" s="410"/>
      <c r="BX359" s="410"/>
      <c r="BY359" s="410"/>
      <c r="BZ359" s="410"/>
      <c r="CA359" s="410"/>
      <c r="CB359" s="410"/>
      <c r="CC359" s="410"/>
      <c r="CD359" s="410"/>
      <c r="CE359" s="410"/>
      <c r="CF359" s="410"/>
      <c r="CG359" s="410"/>
      <c r="CH359" s="410"/>
      <c r="CI359" s="410"/>
      <c r="CJ359" s="410"/>
      <c r="CK359" s="410"/>
      <c r="CL359" s="410"/>
      <c r="CM359" s="410"/>
      <c r="CN359" s="410"/>
      <c r="CO359" s="410"/>
      <c r="CP359" s="410"/>
      <c r="CQ359" s="410"/>
      <c r="CR359" s="410"/>
      <c r="CS359" s="410"/>
      <c r="CT359" s="410"/>
      <c r="CU359" s="410"/>
      <c r="CV359" s="410"/>
      <c r="CW359" s="410"/>
      <c r="CX359" s="410"/>
      <c r="CY359" s="410"/>
      <c r="CZ359" s="410"/>
      <c r="DA359" s="410"/>
      <c r="DB359" s="410"/>
      <c r="DC359" s="410"/>
      <c r="DD359" s="410"/>
      <c r="DE359" s="410"/>
      <c r="DF359" s="410"/>
      <c r="DG359" s="410"/>
      <c r="DH359" s="410"/>
      <c r="DI359" s="410"/>
      <c r="DJ359" s="410"/>
      <c r="DK359" s="410"/>
      <c r="DL359" s="410"/>
      <c r="DM359" s="410"/>
      <c r="DN359" s="410"/>
      <c r="DO359" s="410"/>
      <c r="DP359" s="410"/>
      <c r="DQ359" s="410"/>
      <c r="DR359" s="410"/>
      <c r="DS359" s="410"/>
      <c r="DT359" s="410"/>
      <c r="DU359" s="410"/>
      <c r="DV359" s="410"/>
      <c r="DW359" s="410"/>
      <c r="DX359" s="410"/>
      <c r="DY359" s="410"/>
      <c r="DZ359" s="410"/>
      <c r="EA359" s="410"/>
      <c r="EB359" s="410"/>
      <c r="EC359" s="410"/>
      <c r="ED359" s="410"/>
      <c r="EE359" s="410"/>
      <c r="EF359" s="410"/>
      <c r="EG359" s="410"/>
      <c r="EH359" s="410"/>
      <c r="EI359" s="410"/>
      <c r="EJ359" s="410"/>
      <c r="EK359" s="410"/>
      <c r="EL359" s="410"/>
      <c r="EM359" s="410"/>
      <c r="EN359" s="410"/>
      <c r="EO359" s="410"/>
      <c r="EP359" s="410"/>
      <c r="EQ359" s="410"/>
      <c r="ER359" s="410"/>
      <c r="ES359" s="410"/>
      <c r="ET359" s="410"/>
      <c r="EU359" s="410"/>
      <c r="EV359" s="410"/>
      <c r="EW359" s="410"/>
      <c r="EX359" s="410"/>
      <c r="EY359" s="410"/>
      <c r="EZ359" s="410"/>
      <c r="FA359" s="410"/>
      <c r="FB359" s="410"/>
      <c r="FC359" s="410"/>
      <c r="FD359" s="410"/>
      <c r="FE359" s="410"/>
      <c r="FF359" s="410"/>
      <c r="FG359" s="410"/>
      <c r="FH359" s="410"/>
      <c r="FI359" s="410"/>
      <c r="FJ359" s="410"/>
      <c r="FK359" s="410"/>
      <c r="FL359" s="410"/>
      <c r="FM359" s="410"/>
      <c r="FN359" s="410"/>
      <c r="FO359" s="410"/>
      <c r="FP359" s="410"/>
      <c r="FQ359" s="410"/>
      <c r="FR359" s="410"/>
      <c r="FS359" s="410"/>
      <c r="FT359" s="410"/>
      <c r="FU359" s="410"/>
      <c r="FV359" s="410"/>
      <c r="FW359" s="410"/>
      <c r="FX359" s="410"/>
      <c r="FY359" s="410"/>
      <c r="FZ359" s="410"/>
      <c r="GA359" s="410"/>
      <c r="GB359" s="410"/>
      <c r="GC359" s="410"/>
      <c r="GD359" s="410"/>
      <c r="GE359" s="410"/>
      <c r="GF359" s="410"/>
      <c r="GG359" s="410"/>
      <c r="GH359" s="410"/>
      <c r="GI359" s="410"/>
      <c r="GJ359" s="410"/>
      <c r="GK359" s="410"/>
      <c r="GL359" s="410"/>
      <c r="GM359" s="410"/>
      <c r="GN359" s="410"/>
      <c r="GO359" s="410"/>
      <c r="GP359" s="410"/>
      <c r="GQ359" s="410"/>
      <c r="GR359" s="410"/>
      <c r="GS359" s="410"/>
      <c r="GT359" s="410"/>
      <c r="GU359" s="410"/>
      <c r="GV359" s="410"/>
      <c r="GW359" s="410"/>
      <c r="GX359" s="410"/>
      <c r="GY359" s="410"/>
      <c r="GZ359" s="410"/>
      <c r="HA359" s="410"/>
      <c r="HB359" s="410"/>
      <c r="HC359" s="410"/>
      <c r="HD359" s="410"/>
      <c r="HE359" s="410"/>
      <c r="HF359" s="410"/>
      <c r="HG359" s="410"/>
      <c r="HH359" s="410"/>
      <c r="HI359" s="410"/>
      <c r="HJ359" s="410"/>
      <c r="HK359" s="410"/>
      <c r="HL359" s="410"/>
      <c r="HM359" s="410"/>
      <c r="HN359" s="410"/>
      <c r="HO359" s="410"/>
      <c r="HP359" s="410"/>
      <c r="HQ359" s="410"/>
      <c r="HR359" s="410"/>
      <c r="HS359" s="410"/>
      <c r="HT359" s="410"/>
      <c r="HU359" s="410"/>
      <c r="HV359" s="410"/>
      <c r="HW359" s="410"/>
      <c r="HX359" s="410"/>
      <c r="HY359" s="410"/>
      <c r="HZ359" s="410"/>
      <c r="IA359" s="410"/>
      <c r="IB359" s="410"/>
      <c r="IC359" s="410"/>
      <c r="ID359" s="410"/>
      <c r="IE359" s="410"/>
      <c r="IF359" s="410"/>
      <c r="IG359" s="410"/>
      <c r="IH359" s="410"/>
      <c r="II359" s="410"/>
      <c r="IJ359" s="410"/>
      <c r="IK359" s="410"/>
      <c r="IL359" s="410"/>
      <c r="IM359" s="410"/>
    </row>
    <row r="360" spans="1:247" s="415" customFormat="1" ht="30" x14ac:dyDescent="0.25">
      <c r="A360" s="99">
        <v>1</v>
      </c>
      <c r="B360" s="57" t="s">
        <v>79</v>
      </c>
      <c r="C360" s="459">
        <f t="shared" si="132"/>
        <v>278</v>
      </c>
      <c r="D360" s="459">
        <f t="shared" si="132"/>
        <v>116</v>
      </c>
      <c r="E360" s="459">
        <f t="shared" si="132"/>
        <v>126</v>
      </c>
      <c r="F360" s="459">
        <f t="shared" si="132"/>
        <v>108.62068965517241</v>
      </c>
      <c r="G360" s="460">
        <f t="shared" si="132"/>
        <v>422.80919999999998</v>
      </c>
      <c r="H360" s="460">
        <f t="shared" si="132"/>
        <v>176.17</v>
      </c>
      <c r="I360" s="460">
        <f t="shared" si="132"/>
        <v>185.92850000000001</v>
      </c>
      <c r="J360" s="460">
        <f t="shared" si="127"/>
        <v>105.53925185899983</v>
      </c>
      <c r="K360" s="410"/>
      <c r="L360" s="410"/>
      <c r="M360" s="410"/>
      <c r="N360" s="410"/>
      <c r="O360" s="410"/>
      <c r="P360" s="410"/>
      <c r="Q360" s="410"/>
      <c r="R360" s="410"/>
      <c r="S360" s="410"/>
      <c r="T360" s="410"/>
      <c r="U360" s="410"/>
      <c r="V360" s="410"/>
      <c r="W360" s="410"/>
      <c r="X360" s="410"/>
      <c r="Y360" s="410"/>
      <c r="Z360" s="410"/>
      <c r="AA360" s="410"/>
      <c r="AB360" s="410"/>
      <c r="AC360" s="410"/>
      <c r="AD360" s="410"/>
      <c r="AE360" s="410"/>
      <c r="AF360" s="410"/>
      <c r="AG360" s="410"/>
      <c r="AH360" s="410"/>
      <c r="AI360" s="410"/>
      <c r="AJ360" s="410"/>
      <c r="AK360" s="410"/>
      <c r="AL360" s="410"/>
      <c r="AM360" s="410"/>
      <c r="AN360" s="410"/>
      <c r="AO360" s="410"/>
      <c r="AP360" s="410"/>
      <c r="AQ360" s="410"/>
      <c r="AR360" s="410"/>
      <c r="AS360" s="410"/>
      <c r="AT360" s="410"/>
      <c r="AU360" s="410"/>
      <c r="AV360" s="410"/>
      <c r="AW360" s="410"/>
      <c r="AX360" s="410"/>
      <c r="AY360" s="410"/>
      <c r="AZ360" s="410"/>
      <c r="BA360" s="410"/>
      <c r="BB360" s="410"/>
      <c r="BC360" s="410"/>
      <c r="BD360" s="410"/>
      <c r="BE360" s="410"/>
      <c r="BF360" s="410"/>
      <c r="BG360" s="410"/>
      <c r="BH360" s="410"/>
      <c r="BI360" s="410"/>
      <c r="BJ360" s="410"/>
      <c r="BK360" s="410"/>
      <c r="BL360" s="410"/>
      <c r="BM360" s="410"/>
      <c r="BN360" s="410"/>
      <c r="BO360" s="410"/>
      <c r="BP360" s="410"/>
      <c r="BQ360" s="410"/>
      <c r="BR360" s="410"/>
      <c r="BS360" s="410"/>
      <c r="BT360" s="410"/>
      <c r="BU360" s="410"/>
      <c r="BV360" s="410"/>
      <c r="BW360" s="410"/>
      <c r="BX360" s="410"/>
      <c r="BY360" s="410"/>
      <c r="BZ360" s="410"/>
      <c r="CA360" s="410"/>
      <c r="CB360" s="410"/>
      <c r="CC360" s="410"/>
      <c r="CD360" s="410"/>
      <c r="CE360" s="410"/>
      <c r="CF360" s="410"/>
      <c r="CG360" s="410"/>
      <c r="CH360" s="410"/>
      <c r="CI360" s="410"/>
      <c r="CJ360" s="410"/>
      <c r="CK360" s="410"/>
      <c r="CL360" s="410"/>
      <c r="CM360" s="410"/>
      <c r="CN360" s="410"/>
      <c r="CO360" s="410"/>
      <c r="CP360" s="410"/>
      <c r="CQ360" s="410"/>
      <c r="CR360" s="410"/>
      <c r="CS360" s="410"/>
      <c r="CT360" s="410"/>
      <c r="CU360" s="410"/>
      <c r="CV360" s="410"/>
      <c r="CW360" s="410"/>
      <c r="CX360" s="410"/>
      <c r="CY360" s="410"/>
      <c r="CZ360" s="410"/>
      <c r="DA360" s="410"/>
      <c r="DB360" s="410"/>
      <c r="DC360" s="410"/>
      <c r="DD360" s="410"/>
      <c r="DE360" s="410"/>
      <c r="DF360" s="410"/>
      <c r="DG360" s="410"/>
      <c r="DH360" s="410"/>
      <c r="DI360" s="410"/>
      <c r="DJ360" s="410"/>
      <c r="DK360" s="410"/>
      <c r="DL360" s="410"/>
      <c r="DM360" s="410"/>
      <c r="DN360" s="410"/>
      <c r="DO360" s="410"/>
      <c r="DP360" s="410"/>
      <c r="DQ360" s="410"/>
      <c r="DR360" s="410"/>
      <c r="DS360" s="410"/>
      <c r="DT360" s="410"/>
      <c r="DU360" s="410"/>
      <c r="DV360" s="410"/>
      <c r="DW360" s="410"/>
      <c r="DX360" s="410"/>
      <c r="DY360" s="410"/>
      <c r="DZ360" s="410"/>
      <c r="EA360" s="410"/>
      <c r="EB360" s="410"/>
      <c r="EC360" s="410"/>
      <c r="ED360" s="410"/>
      <c r="EE360" s="410"/>
      <c r="EF360" s="410"/>
      <c r="EG360" s="410"/>
      <c r="EH360" s="410"/>
      <c r="EI360" s="410"/>
      <c r="EJ360" s="410"/>
      <c r="EK360" s="410"/>
      <c r="EL360" s="410"/>
      <c r="EM360" s="410"/>
      <c r="EN360" s="410"/>
      <c r="EO360" s="410"/>
      <c r="EP360" s="410"/>
      <c r="EQ360" s="410"/>
      <c r="ER360" s="410"/>
      <c r="ES360" s="410"/>
      <c r="ET360" s="410"/>
      <c r="EU360" s="410"/>
      <c r="EV360" s="410"/>
      <c r="EW360" s="410"/>
      <c r="EX360" s="410"/>
      <c r="EY360" s="410"/>
      <c r="EZ360" s="410"/>
      <c r="FA360" s="410"/>
      <c r="FB360" s="410"/>
      <c r="FC360" s="410"/>
      <c r="FD360" s="410"/>
      <c r="FE360" s="410"/>
      <c r="FF360" s="410"/>
      <c r="FG360" s="410"/>
      <c r="FH360" s="410"/>
      <c r="FI360" s="410"/>
      <c r="FJ360" s="410"/>
      <c r="FK360" s="410"/>
      <c r="FL360" s="410"/>
      <c r="FM360" s="410"/>
      <c r="FN360" s="410"/>
      <c r="FO360" s="410"/>
      <c r="FP360" s="410"/>
      <c r="FQ360" s="410"/>
      <c r="FR360" s="410"/>
      <c r="FS360" s="410"/>
      <c r="FT360" s="410"/>
      <c r="FU360" s="410"/>
      <c r="FV360" s="410"/>
      <c r="FW360" s="410"/>
      <c r="FX360" s="410"/>
      <c r="FY360" s="410"/>
      <c r="FZ360" s="410"/>
      <c r="GA360" s="410"/>
      <c r="GB360" s="410"/>
      <c r="GC360" s="410"/>
      <c r="GD360" s="410"/>
      <c r="GE360" s="410"/>
      <c r="GF360" s="410"/>
      <c r="GG360" s="410"/>
      <c r="GH360" s="410"/>
      <c r="GI360" s="410"/>
      <c r="GJ360" s="410"/>
      <c r="GK360" s="410"/>
      <c r="GL360" s="410"/>
      <c r="GM360" s="410"/>
      <c r="GN360" s="410"/>
      <c r="GO360" s="410"/>
      <c r="GP360" s="410"/>
      <c r="GQ360" s="410"/>
      <c r="GR360" s="410"/>
      <c r="GS360" s="410"/>
      <c r="GT360" s="410"/>
      <c r="GU360" s="410"/>
      <c r="GV360" s="410"/>
      <c r="GW360" s="410"/>
      <c r="GX360" s="410"/>
      <c r="GY360" s="410"/>
      <c r="GZ360" s="410"/>
      <c r="HA360" s="410"/>
      <c r="HB360" s="410"/>
      <c r="HC360" s="410"/>
      <c r="HD360" s="410"/>
      <c r="HE360" s="410"/>
      <c r="HF360" s="410"/>
      <c r="HG360" s="410"/>
      <c r="HH360" s="410"/>
      <c r="HI360" s="410"/>
      <c r="HJ360" s="410"/>
      <c r="HK360" s="410"/>
      <c r="HL360" s="410"/>
      <c r="HM360" s="410"/>
      <c r="HN360" s="410"/>
      <c r="HO360" s="410"/>
      <c r="HP360" s="410"/>
      <c r="HQ360" s="410"/>
      <c r="HR360" s="410"/>
      <c r="HS360" s="410"/>
      <c r="HT360" s="410"/>
      <c r="HU360" s="410"/>
      <c r="HV360" s="410"/>
      <c r="HW360" s="410"/>
      <c r="HX360" s="410"/>
      <c r="HY360" s="410"/>
      <c r="HZ360" s="410"/>
      <c r="IA360" s="410"/>
      <c r="IB360" s="410"/>
      <c r="IC360" s="410"/>
      <c r="ID360" s="410"/>
      <c r="IE360" s="410"/>
      <c r="IF360" s="410"/>
      <c r="IG360" s="410"/>
      <c r="IH360" s="410"/>
      <c r="II360" s="410"/>
      <c r="IJ360" s="410"/>
      <c r="IK360" s="410"/>
      <c r="IL360" s="410"/>
      <c r="IM360" s="410"/>
    </row>
    <row r="361" spans="1:247" s="415" customFormat="1" ht="30" x14ac:dyDescent="0.25">
      <c r="A361" s="99">
        <v>1</v>
      </c>
      <c r="B361" s="57" t="s">
        <v>80</v>
      </c>
      <c r="C361" s="459">
        <f t="shared" si="132"/>
        <v>83</v>
      </c>
      <c r="D361" s="459">
        <f t="shared" si="132"/>
        <v>35</v>
      </c>
      <c r="E361" s="459">
        <f t="shared" si="132"/>
        <v>0</v>
      </c>
      <c r="F361" s="459">
        <f t="shared" si="132"/>
        <v>0</v>
      </c>
      <c r="G361" s="460">
        <f t="shared" si="132"/>
        <v>116.23486</v>
      </c>
      <c r="H361" s="460">
        <f t="shared" si="132"/>
        <v>48.43</v>
      </c>
      <c r="I361" s="460">
        <f t="shared" si="132"/>
        <v>-13.084860000000001</v>
      </c>
      <c r="J361" s="460">
        <f t="shared" si="127"/>
        <v>-27.018087962007019</v>
      </c>
      <c r="K361" s="410"/>
      <c r="L361" s="410"/>
      <c r="M361" s="410"/>
      <c r="N361" s="410"/>
      <c r="O361" s="410"/>
      <c r="P361" s="410"/>
      <c r="Q361" s="410"/>
      <c r="R361" s="410"/>
      <c r="S361" s="410"/>
      <c r="T361" s="410"/>
      <c r="U361" s="410"/>
      <c r="V361" s="410"/>
      <c r="W361" s="410"/>
      <c r="X361" s="410"/>
      <c r="Y361" s="410"/>
      <c r="Z361" s="410"/>
      <c r="AA361" s="410"/>
      <c r="AB361" s="410"/>
      <c r="AC361" s="410"/>
      <c r="AD361" s="410"/>
      <c r="AE361" s="410"/>
      <c r="AF361" s="410"/>
      <c r="AG361" s="410"/>
      <c r="AH361" s="410"/>
      <c r="AI361" s="410"/>
      <c r="AJ361" s="410"/>
      <c r="AK361" s="410"/>
      <c r="AL361" s="410"/>
      <c r="AM361" s="410"/>
      <c r="AN361" s="410"/>
      <c r="AO361" s="410"/>
      <c r="AP361" s="410"/>
      <c r="AQ361" s="410"/>
      <c r="AR361" s="410"/>
      <c r="AS361" s="410"/>
      <c r="AT361" s="410"/>
      <c r="AU361" s="410"/>
      <c r="AV361" s="410"/>
      <c r="AW361" s="410"/>
      <c r="AX361" s="410"/>
      <c r="AY361" s="410"/>
      <c r="AZ361" s="410"/>
      <c r="BA361" s="410"/>
      <c r="BB361" s="410"/>
      <c r="BC361" s="410"/>
      <c r="BD361" s="410"/>
      <c r="BE361" s="410"/>
      <c r="BF361" s="410"/>
      <c r="BG361" s="410"/>
      <c r="BH361" s="410"/>
      <c r="BI361" s="410"/>
      <c r="BJ361" s="410"/>
      <c r="BK361" s="410"/>
      <c r="BL361" s="410"/>
      <c r="BM361" s="410"/>
      <c r="BN361" s="410"/>
      <c r="BO361" s="410"/>
      <c r="BP361" s="410"/>
      <c r="BQ361" s="410"/>
      <c r="BR361" s="410"/>
      <c r="BS361" s="410"/>
      <c r="BT361" s="410"/>
      <c r="BU361" s="410"/>
      <c r="BV361" s="410"/>
      <c r="BW361" s="410"/>
      <c r="BX361" s="410"/>
      <c r="BY361" s="410"/>
      <c r="BZ361" s="410"/>
      <c r="CA361" s="410"/>
      <c r="CB361" s="410"/>
      <c r="CC361" s="410"/>
      <c r="CD361" s="410"/>
      <c r="CE361" s="410"/>
      <c r="CF361" s="410"/>
      <c r="CG361" s="410"/>
      <c r="CH361" s="410"/>
      <c r="CI361" s="410"/>
      <c r="CJ361" s="410"/>
      <c r="CK361" s="410"/>
      <c r="CL361" s="410"/>
      <c r="CM361" s="410"/>
      <c r="CN361" s="410"/>
      <c r="CO361" s="410"/>
      <c r="CP361" s="410"/>
      <c r="CQ361" s="410"/>
      <c r="CR361" s="410"/>
      <c r="CS361" s="410"/>
      <c r="CT361" s="410"/>
      <c r="CU361" s="410"/>
      <c r="CV361" s="410"/>
      <c r="CW361" s="410"/>
      <c r="CX361" s="410"/>
      <c r="CY361" s="410"/>
      <c r="CZ361" s="410"/>
      <c r="DA361" s="410"/>
      <c r="DB361" s="410"/>
      <c r="DC361" s="410"/>
      <c r="DD361" s="410"/>
      <c r="DE361" s="410"/>
      <c r="DF361" s="410"/>
      <c r="DG361" s="410"/>
      <c r="DH361" s="410"/>
      <c r="DI361" s="410"/>
      <c r="DJ361" s="410"/>
      <c r="DK361" s="410"/>
      <c r="DL361" s="410"/>
      <c r="DM361" s="410"/>
      <c r="DN361" s="410"/>
      <c r="DO361" s="410"/>
      <c r="DP361" s="410"/>
      <c r="DQ361" s="410"/>
      <c r="DR361" s="410"/>
      <c r="DS361" s="410"/>
      <c r="DT361" s="410"/>
      <c r="DU361" s="410"/>
      <c r="DV361" s="410"/>
      <c r="DW361" s="410"/>
      <c r="DX361" s="410"/>
      <c r="DY361" s="410"/>
      <c r="DZ361" s="410"/>
      <c r="EA361" s="410"/>
      <c r="EB361" s="410"/>
      <c r="EC361" s="410"/>
      <c r="ED361" s="410"/>
      <c r="EE361" s="410"/>
      <c r="EF361" s="410"/>
      <c r="EG361" s="410"/>
      <c r="EH361" s="410"/>
      <c r="EI361" s="410"/>
      <c r="EJ361" s="410"/>
      <c r="EK361" s="410"/>
      <c r="EL361" s="410"/>
      <c r="EM361" s="410"/>
      <c r="EN361" s="410"/>
      <c r="EO361" s="410"/>
      <c r="EP361" s="410"/>
      <c r="EQ361" s="410"/>
      <c r="ER361" s="410"/>
      <c r="ES361" s="410"/>
      <c r="ET361" s="410"/>
      <c r="EU361" s="410"/>
      <c r="EV361" s="410"/>
      <c r="EW361" s="410"/>
      <c r="EX361" s="410"/>
      <c r="EY361" s="410"/>
      <c r="EZ361" s="410"/>
      <c r="FA361" s="410"/>
      <c r="FB361" s="410"/>
      <c r="FC361" s="410"/>
      <c r="FD361" s="410"/>
      <c r="FE361" s="410"/>
      <c r="FF361" s="410"/>
      <c r="FG361" s="410"/>
      <c r="FH361" s="410"/>
      <c r="FI361" s="410"/>
      <c r="FJ361" s="410"/>
      <c r="FK361" s="410"/>
      <c r="FL361" s="410"/>
      <c r="FM361" s="410"/>
      <c r="FN361" s="410"/>
      <c r="FO361" s="410"/>
      <c r="FP361" s="410"/>
      <c r="FQ361" s="410"/>
      <c r="FR361" s="410"/>
      <c r="FS361" s="410"/>
      <c r="FT361" s="410"/>
      <c r="FU361" s="410"/>
      <c r="FV361" s="410"/>
      <c r="FW361" s="410"/>
      <c r="FX361" s="410"/>
      <c r="FY361" s="410"/>
      <c r="FZ361" s="410"/>
      <c r="GA361" s="410"/>
      <c r="GB361" s="410"/>
      <c r="GC361" s="410"/>
      <c r="GD361" s="410"/>
      <c r="GE361" s="410"/>
      <c r="GF361" s="410"/>
      <c r="GG361" s="410"/>
      <c r="GH361" s="410"/>
      <c r="GI361" s="410"/>
      <c r="GJ361" s="410"/>
      <c r="GK361" s="410"/>
      <c r="GL361" s="410"/>
      <c r="GM361" s="410"/>
      <c r="GN361" s="410"/>
      <c r="GO361" s="410"/>
      <c r="GP361" s="410"/>
      <c r="GQ361" s="410"/>
      <c r="GR361" s="410"/>
      <c r="GS361" s="410"/>
      <c r="GT361" s="410"/>
      <c r="GU361" s="410"/>
      <c r="GV361" s="410"/>
      <c r="GW361" s="410"/>
      <c r="GX361" s="410"/>
      <c r="GY361" s="410"/>
      <c r="GZ361" s="410"/>
      <c r="HA361" s="410"/>
      <c r="HB361" s="410"/>
      <c r="HC361" s="410"/>
      <c r="HD361" s="410"/>
      <c r="HE361" s="410"/>
      <c r="HF361" s="410"/>
      <c r="HG361" s="410"/>
      <c r="HH361" s="410"/>
      <c r="HI361" s="410"/>
      <c r="HJ361" s="410"/>
      <c r="HK361" s="410"/>
      <c r="HL361" s="410"/>
      <c r="HM361" s="410"/>
      <c r="HN361" s="410"/>
      <c r="HO361" s="410"/>
      <c r="HP361" s="410"/>
      <c r="HQ361" s="410"/>
      <c r="HR361" s="410"/>
      <c r="HS361" s="410"/>
      <c r="HT361" s="410"/>
      <c r="HU361" s="410"/>
      <c r="HV361" s="410"/>
      <c r="HW361" s="410"/>
      <c r="HX361" s="410"/>
      <c r="HY361" s="410"/>
      <c r="HZ361" s="410"/>
      <c r="IA361" s="410"/>
      <c r="IB361" s="410"/>
      <c r="IC361" s="410"/>
      <c r="ID361" s="410"/>
      <c r="IE361" s="410"/>
      <c r="IF361" s="410"/>
      <c r="IG361" s="410"/>
      <c r="IH361" s="410"/>
      <c r="II361" s="410"/>
      <c r="IJ361" s="410"/>
      <c r="IK361" s="410"/>
      <c r="IL361" s="410"/>
      <c r="IM361" s="410"/>
    </row>
    <row r="362" spans="1:247" s="415" customFormat="1" ht="45" x14ac:dyDescent="0.25">
      <c r="A362" s="99">
        <v>1</v>
      </c>
      <c r="B362" s="57" t="s">
        <v>114</v>
      </c>
      <c r="C362" s="459">
        <f t="shared" si="132"/>
        <v>0</v>
      </c>
      <c r="D362" s="459">
        <f t="shared" si="132"/>
        <v>0</v>
      </c>
      <c r="E362" s="459">
        <f t="shared" si="132"/>
        <v>0</v>
      </c>
      <c r="F362" s="459">
        <f t="shared" si="132"/>
        <v>0</v>
      </c>
      <c r="G362" s="460">
        <f t="shared" si="132"/>
        <v>0</v>
      </c>
      <c r="H362" s="460">
        <f t="shared" si="132"/>
        <v>0</v>
      </c>
      <c r="I362" s="460">
        <f t="shared" si="132"/>
        <v>0</v>
      </c>
      <c r="J362" s="460"/>
      <c r="K362" s="410"/>
      <c r="L362" s="410"/>
      <c r="M362" s="410"/>
      <c r="N362" s="410"/>
      <c r="O362" s="410"/>
      <c r="P362" s="410"/>
      <c r="Q362" s="410"/>
      <c r="R362" s="410"/>
      <c r="S362" s="410"/>
      <c r="T362" s="410"/>
      <c r="U362" s="410"/>
      <c r="V362" s="410"/>
      <c r="W362" s="410"/>
      <c r="X362" s="410"/>
      <c r="Y362" s="410"/>
      <c r="Z362" s="410"/>
      <c r="AA362" s="410"/>
      <c r="AB362" s="410"/>
      <c r="AC362" s="410"/>
      <c r="AD362" s="410"/>
      <c r="AE362" s="410"/>
      <c r="AF362" s="410"/>
      <c r="AG362" s="410"/>
      <c r="AH362" s="410"/>
      <c r="AI362" s="410"/>
      <c r="AJ362" s="410"/>
      <c r="AK362" s="410"/>
      <c r="AL362" s="410"/>
      <c r="AM362" s="410"/>
      <c r="AN362" s="410"/>
      <c r="AO362" s="410"/>
      <c r="AP362" s="410"/>
      <c r="AQ362" s="410"/>
      <c r="AR362" s="410"/>
      <c r="AS362" s="410"/>
      <c r="AT362" s="410"/>
      <c r="AU362" s="410"/>
      <c r="AV362" s="410"/>
      <c r="AW362" s="410"/>
      <c r="AX362" s="410"/>
      <c r="AY362" s="410"/>
      <c r="AZ362" s="410"/>
      <c r="BA362" s="410"/>
      <c r="BB362" s="410"/>
      <c r="BC362" s="410"/>
      <c r="BD362" s="410"/>
      <c r="BE362" s="410"/>
      <c r="BF362" s="410"/>
      <c r="BG362" s="410"/>
      <c r="BH362" s="410"/>
      <c r="BI362" s="410"/>
      <c r="BJ362" s="410"/>
      <c r="BK362" s="410"/>
      <c r="BL362" s="410"/>
      <c r="BM362" s="410"/>
      <c r="BN362" s="410"/>
      <c r="BO362" s="410"/>
      <c r="BP362" s="410"/>
      <c r="BQ362" s="410"/>
      <c r="BR362" s="410"/>
      <c r="BS362" s="410"/>
      <c r="BT362" s="410"/>
      <c r="BU362" s="410"/>
      <c r="BV362" s="410"/>
      <c r="BW362" s="410"/>
      <c r="BX362" s="410"/>
      <c r="BY362" s="410"/>
      <c r="BZ362" s="410"/>
      <c r="CA362" s="410"/>
      <c r="CB362" s="410"/>
      <c r="CC362" s="410"/>
      <c r="CD362" s="410"/>
      <c r="CE362" s="410"/>
      <c r="CF362" s="410"/>
      <c r="CG362" s="410"/>
      <c r="CH362" s="410"/>
      <c r="CI362" s="410"/>
      <c r="CJ362" s="410"/>
      <c r="CK362" s="410"/>
      <c r="CL362" s="410"/>
      <c r="CM362" s="410"/>
      <c r="CN362" s="410"/>
      <c r="CO362" s="410"/>
      <c r="CP362" s="410"/>
      <c r="CQ362" s="410"/>
      <c r="CR362" s="410"/>
      <c r="CS362" s="410"/>
      <c r="CT362" s="410"/>
      <c r="CU362" s="410"/>
      <c r="CV362" s="410"/>
      <c r="CW362" s="410"/>
      <c r="CX362" s="410"/>
      <c r="CY362" s="410"/>
      <c r="CZ362" s="410"/>
      <c r="DA362" s="410"/>
      <c r="DB362" s="410"/>
      <c r="DC362" s="410"/>
      <c r="DD362" s="410"/>
      <c r="DE362" s="410"/>
      <c r="DF362" s="410"/>
      <c r="DG362" s="410"/>
      <c r="DH362" s="410"/>
      <c r="DI362" s="410"/>
      <c r="DJ362" s="410"/>
      <c r="DK362" s="410"/>
      <c r="DL362" s="410"/>
      <c r="DM362" s="410"/>
      <c r="DN362" s="410"/>
      <c r="DO362" s="410"/>
      <c r="DP362" s="410"/>
      <c r="DQ362" s="410"/>
      <c r="DR362" s="410"/>
      <c r="DS362" s="410"/>
      <c r="DT362" s="410"/>
      <c r="DU362" s="410"/>
      <c r="DV362" s="410"/>
      <c r="DW362" s="410"/>
      <c r="DX362" s="410"/>
      <c r="DY362" s="410"/>
      <c r="DZ362" s="410"/>
      <c r="EA362" s="410"/>
      <c r="EB362" s="410"/>
      <c r="EC362" s="410"/>
      <c r="ED362" s="410"/>
      <c r="EE362" s="410"/>
      <c r="EF362" s="410"/>
      <c r="EG362" s="410"/>
      <c r="EH362" s="410"/>
      <c r="EI362" s="410"/>
      <c r="EJ362" s="410"/>
      <c r="EK362" s="410"/>
      <c r="EL362" s="410"/>
      <c r="EM362" s="410"/>
      <c r="EN362" s="410"/>
      <c r="EO362" s="410"/>
      <c r="EP362" s="410"/>
      <c r="EQ362" s="410"/>
      <c r="ER362" s="410"/>
      <c r="ES362" s="410"/>
      <c r="ET362" s="410"/>
      <c r="EU362" s="410"/>
      <c r="EV362" s="410"/>
      <c r="EW362" s="410"/>
      <c r="EX362" s="410"/>
      <c r="EY362" s="410"/>
      <c r="EZ362" s="410"/>
      <c r="FA362" s="410"/>
      <c r="FB362" s="410"/>
      <c r="FC362" s="410"/>
      <c r="FD362" s="410"/>
      <c r="FE362" s="410"/>
      <c r="FF362" s="410"/>
      <c r="FG362" s="410"/>
      <c r="FH362" s="410"/>
      <c r="FI362" s="410"/>
      <c r="FJ362" s="410"/>
      <c r="FK362" s="410"/>
      <c r="FL362" s="410"/>
      <c r="FM362" s="410"/>
      <c r="FN362" s="410"/>
      <c r="FO362" s="410"/>
      <c r="FP362" s="410"/>
      <c r="FQ362" s="410"/>
      <c r="FR362" s="410"/>
      <c r="FS362" s="410"/>
      <c r="FT362" s="410"/>
      <c r="FU362" s="410"/>
      <c r="FV362" s="410"/>
      <c r="FW362" s="410"/>
      <c r="FX362" s="410"/>
      <c r="FY362" s="410"/>
      <c r="FZ362" s="410"/>
      <c r="GA362" s="410"/>
      <c r="GB362" s="410"/>
      <c r="GC362" s="410"/>
      <c r="GD362" s="410"/>
      <c r="GE362" s="410"/>
      <c r="GF362" s="410"/>
      <c r="GG362" s="410"/>
      <c r="GH362" s="410"/>
      <c r="GI362" s="410"/>
      <c r="GJ362" s="410"/>
      <c r="GK362" s="410"/>
      <c r="GL362" s="410"/>
      <c r="GM362" s="410"/>
      <c r="GN362" s="410"/>
      <c r="GO362" s="410"/>
      <c r="GP362" s="410"/>
      <c r="GQ362" s="410"/>
      <c r="GR362" s="410"/>
      <c r="GS362" s="410"/>
      <c r="GT362" s="410"/>
      <c r="GU362" s="410"/>
      <c r="GV362" s="410"/>
      <c r="GW362" s="410"/>
      <c r="GX362" s="410"/>
      <c r="GY362" s="410"/>
      <c r="GZ362" s="410"/>
      <c r="HA362" s="410"/>
      <c r="HB362" s="410"/>
      <c r="HC362" s="410"/>
      <c r="HD362" s="410"/>
      <c r="HE362" s="410"/>
      <c r="HF362" s="410"/>
      <c r="HG362" s="410"/>
      <c r="HH362" s="410"/>
      <c r="HI362" s="410"/>
      <c r="HJ362" s="410"/>
      <c r="HK362" s="410"/>
      <c r="HL362" s="410"/>
      <c r="HM362" s="410"/>
      <c r="HN362" s="410"/>
      <c r="HO362" s="410"/>
      <c r="HP362" s="410"/>
      <c r="HQ362" s="410"/>
      <c r="HR362" s="410"/>
      <c r="HS362" s="410"/>
      <c r="HT362" s="410"/>
      <c r="HU362" s="410"/>
      <c r="HV362" s="410"/>
      <c r="HW362" s="410"/>
      <c r="HX362" s="410"/>
      <c r="HY362" s="410"/>
      <c r="HZ362" s="410"/>
      <c r="IA362" s="410"/>
      <c r="IB362" s="410"/>
      <c r="IC362" s="410"/>
      <c r="ID362" s="410"/>
      <c r="IE362" s="410"/>
      <c r="IF362" s="410"/>
      <c r="IG362" s="410"/>
      <c r="IH362" s="410"/>
      <c r="II362" s="410"/>
      <c r="IJ362" s="410"/>
      <c r="IK362" s="410"/>
      <c r="IL362" s="410"/>
      <c r="IM362" s="410"/>
    </row>
    <row r="363" spans="1:247" s="415" customFormat="1" ht="30" x14ac:dyDescent="0.25">
      <c r="A363" s="99">
        <v>1</v>
      </c>
      <c r="B363" s="57" t="s">
        <v>115</v>
      </c>
      <c r="C363" s="459">
        <f t="shared" si="132"/>
        <v>39</v>
      </c>
      <c r="D363" s="459">
        <f t="shared" si="132"/>
        <v>16</v>
      </c>
      <c r="E363" s="459">
        <f t="shared" si="132"/>
        <v>0</v>
      </c>
      <c r="F363" s="459">
        <f t="shared" si="132"/>
        <v>0</v>
      </c>
      <c r="G363" s="460">
        <f t="shared" si="132"/>
        <v>255.92112</v>
      </c>
      <c r="H363" s="460">
        <f t="shared" si="132"/>
        <v>106.63</v>
      </c>
      <c r="I363" s="460">
        <f t="shared" si="132"/>
        <v>0</v>
      </c>
      <c r="J363" s="460"/>
      <c r="K363" s="410"/>
      <c r="L363" s="410"/>
      <c r="M363" s="410"/>
      <c r="N363" s="410"/>
      <c r="O363" s="410"/>
      <c r="P363" s="410"/>
      <c r="Q363" s="410"/>
      <c r="R363" s="410"/>
      <c r="S363" s="410"/>
      <c r="T363" s="410"/>
      <c r="U363" s="410"/>
      <c r="V363" s="410"/>
      <c r="W363" s="410"/>
      <c r="X363" s="410"/>
      <c r="Y363" s="410"/>
      <c r="Z363" s="410"/>
      <c r="AA363" s="410"/>
      <c r="AB363" s="410"/>
      <c r="AC363" s="410"/>
      <c r="AD363" s="410"/>
      <c r="AE363" s="410"/>
      <c r="AF363" s="410"/>
      <c r="AG363" s="410"/>
      <c r="AH363" s="410"/>
      <c r="AI363" s="410"/>
      <c r="AJ363" s="410"/>
      <c r="AK363" s="410"/>
      <c r="AL363" s="410"/>
      <c r="AM363" s="410"/>
      <c r="AN363" s="410"/>
      <c r="AO363" s="410"/>
      <c r="AP363" s="410"/>
      <c r="AQ363" s="410"/>
      <c r="AR363" s="410"/>
      <c r="AS363" s="410"/>
      <c r="AT363" s="410"/>
      <c r="AU363" s="410"/>
      <c r="AV363" s="410"/>
      <c r="AW363" s="410"/>
      <c r="AX363" s="410"/>
      <c r="AY363" s="410"/>
      <c r="AZ363" s="410"/>
      <c r="BA363" s="410"/>
      <c r="BB363" s="410"/>
      <c r="BC363" s="410"/>
      <c r="BD363" s="410"/>
      <c r="BE363" s="410"/>
      <c r="BF363" s="410"/>
      <c r="BG363" s="410"/>
      <c r="BH363" s="410"/>
      <c r="BI363" s="410"/>
      <c r="BJ363" s="410"/>
      <c r="BK363" s="410"/>
      <c r="BL363" s="410"/>
      <c r="BM363" s="410"/>
      <c r="BN363" s="410"/>
      <c r="BO363" s="410"/>
      <c r="BP363" s="410"/>
      <c r="BQ363" s="410"/>
      <c r="BR363" s="410"/>
      <c r="BS363" s="410"/>
      <c r="BT363" s="410"/>
      <c r="BU363" s="410"/>
      <c r="BV363" s="410"/>
      <c r="BW363" s="410"/>
      <c r="BX363" s="410"/>
      <c r="BY363" s="410"/>
      <c r="BZ363" s="410"/>
      <c r="CA363" s="410"/>
      <c r="CB363" s="410"/>
      <c r="CC363" s="410"/>
      <c r="CD363" s="410"/>
      <c r="CE363" s="410"/>
      <c r="CF363" s="410"/>
      <c r="CG363" s="410"/>
      <c r="CH363" s="410"/>
      <c r="CI363" s="410"/>
      <c r="CJ363" s="410"/>
      <c r="CK363" s="410"/>
      <c r="CL363" s="410"/>
      <c r="CM363" s="410"/>
      <c r="CN363" s="410"/>
      <c r="CO363" s="410"/>
      <c r="CP363" s="410"/>
      <c r="CQ363" s="410"/>
      <c r="CR363" s="410"/>
      <c r="CS363" s="410"/>
      <c r="CT363" s="410"/>
      <c r="CU363" s="410"/>
      <c r="CV363" s="410"/>
      <c r="CW363" s="410"/>
      <c r="CX363" s="410"/>
      <c r="CY363" s="410"/>
      <c r="CZ363" s="410"/>
      <c r="DA363" s="410"/>
      <c r="DB363" s="410"/>
      <c r="DC363" s="410"/>
      <c r="DD363" s="410"/>
      <c r="DE363" s="410"/>
      <c r="DF363" s="410"/>
      <c r="DG363" s="410"/>
      <c r="DH363" s="410"/>
      <c r="DI363" s="410"/>
      <c r="DJ363" s="410"/>
      <c r="DK363" s="410"/>
      <c r="DL363" s="410"/>
      <c r="DM363" s="410"/>
      <c r="DN363" s="410"/>
      <c r="DO363" s="410"/>
      <c r="DP363" s="410"/>
      <c r="DQ363" s="410"/>
      <c r="DR363" s="410"/>
      <c r="DS363" s="410"/>
      <c r="DT363" s="410"/>
      <c r="DU363" s="410"/>
      <c r="DV363" s="410"/>
      <c r="DW363" s="410"/>
      <c r="DX363" s="410"/>
      <c r="DY363" s="410"/>
      <c r="DZ363" s="410"/>
      <c r="EA363" s="410"/>
      <c r="EB363" s="410"/>
      <c r="EC363" s="410"/>
      <c r="ED363" s="410"/>
      <c r="EE363" s="410"/>
      <c r="EF363" s="410"/>
      <c r="EG363" s="410"/>
      <c r="EH363" s="410"/>
      <c r="EI363" s="410"/>
      <c r="EJ363" s="410"/>
      <c r="EK363" s="410"/>
      <c r="EL363" s="410"/>
      <c r="EM363" s="410"/>
      <c r="EN363" s="410"/>
      <c r="EO363" s="410"/>
      <c r="EP363" s="410"/>
      <c r="EQ363" s="410"/>
      <c r="ER363" s="410"/>
      <c r="ES363" s="410"/>
      <c r="ET363" s="410"/>
      <c r="EU363" s="410"/>
      <c r="EV363" s="410"/>
      <c r="EW363" s="410"/>
      <c r="EX363" s="410"/>
      <c r="EY363" s="410"/>
      <c r="EZ363" s="410"/>
      <c r="FA363" s="410"/>
      <c r="FB363" s="410"/>
      <c r="FC363" s="410"/>
      <c r="FD363" s="410"/>
      <c r="FE363" s="410"/>
      <c r="FF363" s="410"/>
      <c r="FG363" s="410"/>
      <c r="FH363" s="410"/>
      <c r="FI363" s="410"/>
      <c r="FJ363" s="410"/>
      <c r="FK363" s="410"/>
      <c r="FL363" s="410"/>
      <c r="FM363" s="410"/>
      <c r="FN363" s="410"/>
      <c r="FO363" s="410"/>
      <c r="FP363" s="410"/>
      <c r="FQ363" s="410"/>
      <c r="FR363" s="410"/>
      <c r="FS363" s="410"/>
      <c r="FT363" s="410"/>
      <c r="FU363" s="410"/>
      <c r="FV363" s="410"/>
      <c r="FW363" s="410"/>
      <c r="FX363" s="410"/>
      <c r="FY363" s="410"/>
      <c r="FZ363" s="410"/>
      <c r="GA363" s="410"/>
      <c r="GB363" s="410"/>
      <c r="GC363" s="410"/>
      <c r="GD363" s="410"/>
      <c r="GE363" s="410"/>
      <c r="GF363" s="410"/>
      <c r="GG363" s="410"/>
      <c r="GH363" s="410"/>
      <c r="GI363" s="410"/>
      <c r="GJ363" s="410"/>
      <c r="GK363" s="410"/>
      <c r="GL363" s="410"/>
      <c r="GM363" s="410"/>
      <c r="GN363" s="410"/>
      <c r="GO363" s="410"/>
      <c r="GP363" s="410"/>
      <c r="GQ363" s="410"/>
      <c r="GR363" s="410"/>
      <c r="GS363" s="410"/>
      <c r="GT363" s="410"/>
      <c r="GU363" s="410"/>
      <c r="GV363" s="410"/>
      <c r="GW363" s="410"/>
      <c r="GX363" s="410"/>
      <c r="GY363" s="410"/>
      <c r="GZ363" s="410"/>
      <c r="HA363" s="410"/>
      <c r="HB363" s="410"/>
      <c r="HC363" s="410"/>
      <c r="HD363" s="410"/>
      <c r="HE363" s="410"/>
      <c r="HF363" s="410"/>
      <c r="HG363" s="410"/>
      <c r="HH363" s="410"/>
      <c r="HI363" s="410"/>
      <c r="HJ363" s="410"/>
      <c r="HK363" s="410"/>
      <c r="HL363" s="410"/>
      <c r="HM363" s="410"/>
      <c r="HN363" s="410"/>
      <c r="HO363" s="410"/>
      <c r="HP363" s="410"/>
      <c r="HQ363" s="410"/>
      <c r="HR363" s="410"/>
      <c r="HS363" s="410"/>
      <c r="HT363" s="410"/>
      <c r="HU363" s="410"/>
      <c r="HV363" s="410"/>
      <c r="HW363" s="410"/>
      <c r="HX363" s="410"/>
      <c r="HY363" s="410"/>
      <c r="HZ363" s="410"/>
      <c r="IA363" s="410"/>
      <c r="IB363" s="410"/>
      <c r="IC363" s="410"/>
      <c r="ID363" s="410"/>
      <c r="IE363" s="410"/>
      <c r="IF363" s="410"/>
      <c r="IG363" s="410"/>
      <c r="IH363" s="410"/>
      <c r="II363" s="410"/>
      <c r="IJ363" s="410"/>
      <c r="IK363" s="410"/>
      <c r="IL363" s="410"/>
      <c r="IM363" s="410"/>
    </row>
    <row r="364" spans="1:247" s="415" customFormat="1" ht="30" x14ac:dyDescent="0.25">
      <c r="A364" s="99">
        <v>1</v>
      </c>
      <c r="B364" s="121" t="s">
        <v>112</v>
      </c>
      <c r="C364" s="459">
        <f t="shared" si="132"/>
        <v>723</v>
      </c>
      <c r="D364" s="459">
        <f t="shared" si="132"/>
        <v>301</v>
      </c>
      <c r="E364" s="459">
        <f t="shared" si="132"/>
        <v>163</v>
      </c>
      <c r="F364" s="459">
        <f t="shared" si="132"/>
        <v>54.152823920265782</v>
      </c>
      <c r="G364" s="460">
        <f t="shared" si="132"/>
        <v>1484.9919300000001</v>
      </c>
      <c r="H364" s="460">
        <f t="shared" si="132"/>
        <v>618.75</v>
      </c>
      <c r="I364" s="460">
        <f t="shared" si="132"/>
        <v>416.52425000000005</v>
      </c>
      <c r="J364" s="460">
        <f t="shared" si="127"/>
        <v>67.317050505050517</v>
      </c>
      <c r="K364" s="410"/>
      <c r="L364" s="410"/>
      <c r="M364" s="410"/>
      <c r="N364" s="410"/>
      <c r="O364" s="410"/>
      <c r="P364" s="410"/>
      <c r="Q364" s="410"/>
      <c r="R364" s="410"/>
      <c r="S364" s="410"/>
      <c r="T364" s="410"/>
      <c r="U364" s="410"/>
      <c r="V364" s="410"/>
      <c r="W364" s="410"/>
      <c r="X364" s="410"/>
      <c r="Y364" s="410"/>
      <c r="Z364" s="410"/>
      <c r="AA364" s="410"/>
      <c r="AB364" s="410"/>
      <c r="AC364" s="410"/>
      <c r="AD364" s="410"/>
      <c r="AE364" s="410"/>
      <c r="AF364" s="410"/>
      <c r="AG364" s="410"/>
      <c r="AH364" s="410"/>
      <c r="AI364" s="410"/>
      <c r="AJ364" s="410"/>
      <c r="AK364" s="410"/>
      <c r="AL364" s="410"/>
      <c r="AM364" s="410"/>
      <c r="AN364" s="410"/>
      <c r="AO364" s="410"/>
      <c r="AP364" s="410"/>
      <c r="AQ364" s="410"/>
      <c r="AR364" s="410"/>
      <c r="AS364" s="410"/>
      <c r="AT364" s="410"/>
      <c r="AU364" s="410"/>
      <c r="AV364" s="410"/>
      <c r="AW364" s="410"/>
      <c r="AX364" s="410"/>
      <c r="AY364" s="410"/>
      <c r="AZ364" s="410"/>
      <c r="BA364" s="410"/>
      <c r="BB364" s="410"/>
      <c r="BC364" s="410"/>
      <c r="BD364" s="410"/>
      <c r="BE364" s="410"/>
      <c r="BF364" s="410"/>
      <c r="BG364" s="410"/>
      <c r="BH364" s="410"/>
      <c r="BI364" s="410"/>
      <c r="BJ364" s="410"/>
      <c r="BK364" s="410"/>
      <c r="BL364" s="410"/>
      <c r="BM364" s="410"/>
      <c r="BN364" s="410"/>
      <c r="BO364" s="410"/>
      <c r="BP364" s="410"/>
      <c r="BQ364" s="410"/>
      <c r="BR364" s="410"/>
      <c r="BS364" s="410"/>
      <c r="BT364" s="410"/>
      <c r="BU364" s="410"/>
      <c r="BV364" s="410"/>
      <c r="BW364" s="410"/>
      <c r="BX364" s="410"/>
      <c r="BY364" s="410"/>
      <c r="BZ364" s="410"/>
      <c r="CA364" s="410"/>
      <c r="CB364" s="410"/>
      <c r="CC364" s="410"/>
      <c r="CD364" s="410"/>
      <c r="CE364" s="410"/>
      <c r="CF364" s="410"/>
      <c r="CG364" s="410"/>
      <c r="CH364" s="410"/>
      <c r="CI364" s="410"/>
      <c r="CJ364" s="410"/>
      <c r="CK364" s="410"/>
      <c r="CL364" s="410"/>
      <c r="CM364" s="410"/>
      <c r="CN364" s="410"/>
      <c r="CO364" s="410"/>
      <c r="CP364" s="410"/>
      <c r="CQ364" s="410"/>
      <c r="CR364" s="410"/>
      <c r="CS364" s="410"/>
      <c r="CT364" s="410"/>
      <c r="CU364" s="410"/>
      <c r="CV364" s="410"/>
      <c r="CW364" s="410"/>
      <c r="CX364" s="410"/>
      <c r="CY364" s="410"/>
      <c r="CZ364" s="410"/>
      <c r="DA364" s="410"/>
      <c r="DB364" s="410"/>
      <c r="DC364" s="410"/>
      <c r="DD364" s="410"/>
      <c r="DE364" s="410"/>
      <c r="DF364" s="410"/>
      <c r="DG364" s="410"/>
      <c r="DH364" s="410"/>
      <c r="DI364" s="410"/>
      <c r="DJ364" s="410"/>
      <c r="DK364" s="410"/>
      <c r="DL364" s="410"/>
      <c r="DM364" s="410"/>
      <c r="DN364" s="410"/>
      <c r="DO364" s="410"/>
      <c r="DP364" s="410"/>
      <c r="DQ364" s="410"/>
      <c r="DR364" s="410"/>
      <c r="DS364" s="410"/>
      <c r="DT364" s="410"/>
      <c r="DU364" s="410"/>
      <c r="DV364" s="410"/>
      <c r="DW364" s="410"/>
      <c r="DX364" s="410"/>
      <c r="DY364" s="410"/>
      <c r="DZ364" s="410"/>
      <c r="EA364" s="410"/>
      <c r="EB364" s="410"/>
      <c r="EC364" s="410"/>
      <c r="ED364" s="410"/>
      <c r="EE364" s="410"/>
      <c r="EF364" s="410"/>
      <c r="EG364" s="410"/>
      <c r="EH364" s="410"/>
      <c r="EI364" s="410"/>
      <c r="EJ364" s="410"/>
      <c r="EK364" s="410"/>
      <c r="EL364" s="410"/>
      <c r="EM364" s="410"/>
      <c r="EN364" s="410"/>
      <c r="EO364" s="410"/>
      <c r="EP364" s="410"/>
      <c r="EQ364" s="410"/>
      <c r="ER364" s="410"/>
      <c r="ES364" s="410"/>
      <c r="ET364" s="410"/>
      <c r="EU364" s="410"/>
      <c r="EV364" s="410"/>
      <c r="EW364" s="410"/>
      <c r="EX364" s="410"/>
      <c r="EY364" s="410"/>
      <c r="EZ364" s="410"/>
      <c r="FA364" s="410"/>
      <c r="FB364" s="410"/>
      <c r="FC364" s="410"/>
      <c r="FD364" s="410"/>
      <c r="FE364" s="410"/>
      <c r="FF364" s="410"/>
      <c r="FG364" s="410"/>
      <c r="FH364" s="410"/>
      <c r="FI364" s="410"/>
      <c r="FJ364" s="410"/>
      <c r="FK364" s="410"/>
      <c r="FL364" s="410"/>
      <c r="FM364" s="410"/>
      <c r="FN364" s="410"/>
      <c r="FO364" s="410"/>
      <c r="FP364" s="410"/>
      <c r="FQ364" s="410"/>
      <c r="FR364" s="410"/>
      <c r="FS364" s="410"/>
      <c r="FT364" s="410"/>
      <c r="FU364" s="410"/>
      <c r="FV364" s="410"/>
      <c r="FW364" s="410"/>
      <c r="FX364" s="410"/>
      <c r="FY364" s="410"/>
      <c r="FZ364" s="410"/>
      <c r="GA364" s="410"/>
      <c r="GB364" s="410"/>
      <c r="GC364" s="410"/>
      <c r="GD364" s="410"/>
      <c r="GE364" s="410"/>
      <c r="GF364" s="410"/>
      <c r="GG364" s="410"/>
      <c r="GH364" s="410"/>
      <c r="GI364" s="410"/>
      <c r="GJ364" s="410"/>
      <c r="GK364" s="410"/>
      <c r="GL364" s="410"/>
      <c r="GM364" s="410"/>
      <c r="GN364" s="410"/>
      <c r="GO364" s="410"/>
      <c r="GP364" s="410"/>
      <c r="GQ364" s="410"/>
      <c r="GR364" s="410"/>
      <c r="GS364" s="410"/>
      <c r="GT364" s="410"/>
      <c r="GU364" s="410"/>
      <c r="GV364" s="410"/>
      <c r="GW364" s="410"/>
      <c r="GX364" s="410"/>
      <c r="GY364" s="410"/>
      <c r="GZ364" s="410"/>
      <c r="HA364" s="410"/>
      <c r="HB364" s="410"/>
      <c r="HC364" s="410"/>
      <c r="HD364" s="410"/>
      <c r="HE364" s="410"/>
      <c r="HF364" s="410"/>
      <c r="HG364" s="410"/>
      <c r="HH364" s="410"/>
      <c r="HI364" s="410"/>
      <c r="HJ364" s="410"/>
      <c r="HK364" s="410"/>
      <c r="HL364" s="410"/>
      <c r="HM364" s="410"/>
      <c r="HN364" s="410"/>
      <c r="HO364" s="410"/>
      <c r="HP364" s="410"/>
      <c r="HQ364" s="410"/>
      <c r="HR364" s="410"/>
      <c r="HS364" s="410"/>
      <c r="HT364" s="410"/>
      <c r="HU364" s="410"/>
      <c r="HV364" s="410"/>
      <c r="HW364" s="410"/>
      <c r="HX364" s="410"/>
      <c r="HY364" s="410"/>
      <c r="HZ364" s="410"/>
      <c r="IA364" s="410"/>
      <c r="IB364" s="410"/>
      <c r="IC364" s="410"/>
      <c r="ID364" s="410"/>
      <c r="IE364" s="410"/>
      <c r="IF364" s="410"/>
      <c r="IG364" s="410"/>
      <c r="IH364" s="410"/>
      <c r="II364" s="410"/>
      <c r="IJ364" s="410"/>
      <c r="IK364" s="410"/>
      <c r="IL364" s="410"/>
      <c r="IM364" s="410"/>
    </row>
    <row r="365" spans="1:247" s="415" customFormat="1" ht="30" x14ac:dyDescent="0.25">
      <c r="A365" s="99">
        <v>1</v>
      </c>
      <c r="B365" s="57" t="s">
        <v>108</v>
      </c>
      <c r="C365" s="459">
        <f t="shared" si="132"/>
        <v>20</v>
      </c>
      <c r="D365" s="459">
        <f t="shared" si="132"/>
        <v>8</v>
      </c>
      <c r="E365" s="459">
        <f t="shared" si="132"/>
        <v>0</v>
      </c>
      <c r="F365" s="459">
        <f t="shared" si="132"/>
        <v>0</v>
      </c>
      <c r="G365" s="460">
        <f t="shared" si="132"/>
        <v>42.410199999999996</v>
      </c>
      <c r="H365" s="460">
        <f t="shared" si="132"/>
        <v>17.670000000000002</v>
      </c>
      <c r="I365" s="460">
        <f t="shared" si="132"/>
        <v>0</v>
      </c>
      <c r="J365" s="460">
        <f t="shared" si="127"/>
        <v>0</v>
      </c>
      <c r="K365" s="410"/>
      <c r="L365" s="410"/>
      <c r="M365" s="410"/>
      <c r="N365" s="410"/>
      <c r="O365" s="410"/>
      <c r="P365" s="410"/>
      <c r="Q365" s="410"/>
      <c r="R365" s="410"/>
      <c r="S365" s="410"/>
      <c r="T365" s="410"/>
      <c r="U365" s="410"/>
      <c r="V365" s="410"/>
      <c r="W365" s="410"/>
      <c r="X365" s="410"/>
      <c r="Y365" s="410"/>
      <c r="Z365" s="410"/>
      <c r="AA365" s="410"/>
      <c r="AB365" s="410"/>
      <c r="AC365" s="410"/>
      <c r="AD365" s="410"/>
      <c r="AE365" s="410"/>
      <c r="AF365" s="410"/>
      <c r="AG365" s="410"/>
      <c r="AH365" s="410"/>
      <c r="AI365" s="410"/>
      <c r="AJ365" s="410"/>
      <c r="AK365" s="410"/>
      <c r="AL365" s="410"/>
      <c r="AM365" s="410"/>
      <c r="AN365" s="410"/>
      <c r="AO365" s="410"/>
      <c r="AP365" s="410"/>
      <c r="AQ365" s="410"/>
      <c r="AR365" s="410"/>
      <c r="AS365" s="410"/>
      <c r="AT365" s="410"/>
      <c r="AU365" s="410"/>
      <c r="AV365" s="410"/>
      <c r="AW365" s="410"/>
      <c r="AX365" s="410"/>
      <c r="AY365" s="410"/>
      <c r="AZ365" s="410"/>
      <c r="BA365" s="410"/>
      <c r="BB365" s="410"/>
      <c r="BC365" s="410"/>
      <c r="BD365" s="410"/>
      <c r="BE365" s="410"/>
      <c r="BF365" s="410"/>
      <c r="BG365" s="410"/>
      <c r="BH365" s="410"/>
      <c r="BI365" s="410"/>
      <c r="BJ365" s="410"/>
      <c r="BK365" s="410"/>
      <c r="BL365" s="410"/>
      <c r="BM365" s="410"/>
      <c r="BN365" s="410"/>
      <c r="BO365" s="410"/>
      <c r="BP365" s="410"/>
      <c r="BQ365" s="410"/>
      <c r="BR365" s="410"/>
      <c r="BS365" s="410"/>
      <c r="BT365" s="410"/>
      <c r="BU365" s="410"/>
      <c r="BV365" s="410"/>
      <c r="BW365" s="410"/>
      <c r="BX365" s="410"/>
      <c r="BY365" s="410"/>
      <c r="BZ365" s="410"/>
      <c r="CA365" s="410"/>
      <c r="CB365" s="410"/>
      <c r="CC365" s="410"/>
      <c r="CD365" s="410"/>
      <c r="CE365" s="410"/>
      <c r="CF365" s="410"/>
      <c r="CG365" s="410"/>
      <c r="CH365" s="410"/>
      <c r="CI365" s="410"/>
      <c r="CJ365" s="410"/>
      <c r="CK365" s="410"/>
      <c r="CL365" s="410"/>
      <c r="CM365" s="410"/>
      <c r="CN365" s="410"/>
      <c r="CO365" s="410"/>
      <c r="CP365" s="410"/>
      <c r="CQ365" s="410"/>
      <c r="CR365" s="410"/>
      <c r="CS365" s="410"/>
      <c r="CT365" s="410"/>
      <c r="CU365" s="410"/>
      <c r="CV365" s="410"/>
      <c r="CW365" s="410"/>
      <c r="CX365" s="410"/>
      <c r="CY365" s="410"/>
      <c r="CZ365" s="410"/>
      <c r="DA365" s="410"/>
      <c r="DB365" s="410"/>
      <c r="DC365" s="410"/>
      <c r="DD365" s="410"/>
      <c r="DE365" s="410"/>
      <c r="DF365" s="410"/>
      <c r="DG365" s="410"/>
      <c r="DH365" s="410"/>
      <c r="DI365" s="410"/>
      <c r="DJ365" s="410"/>
      <c r="DK365" s="410"/>
      <c r="DL365" s="410"/>
      <c r="DM365" s="410"/>
      <c r="DN365" s="410"/>
      <c r="DO365" s="410"/>
      <c r="DP365" s="410"/>
      <c r="DQ365" s="410"/>
      <c r="DR365" s="410"/>
      <c r="DS365" s="410"/>
      <c r="DT365" s="410"/>
      <c r="DU365" s="410"/>
      <c r="DV365" s="410"/>
      <c r="DW365" s="410"/>
      <c r="DX365" s="410"/>
      <c r="DY365" s="410"/>
      <c r="DZ365" s="410"/>
      <c r="EA365" s="410"/>
      <c r="EB365" s="410"/>
      <c r="EC365" s="410"/>
      <c r="ED365" s="410"/>
      <c r="EE365" s="410"/>
      <c r="EF365" s="410"/>
      <c r="EG365" s="410"/>
      <c r="EH365" s="410"/>
      <c r="EI365" s="410"/>
      <c r="EJ365" s="410"/>
      <c r="EK365" s="410"/>
      <c r="EL365" s="410"/>
      <c r="EM365" s="410"/>
      <c r="EN365" s="410"/>
      <c r="EO365" s="410"/>
      <c r="EP365" s="410"/>
      <c r="EQ365" s="410"/>
      <c r="ER365" s="410"/>
      <c r="ES365" s="410"/>
      <c r="ET365" s="410"/>
      <c r="EU365" s="410"/>
      <c r="EV365" s="410"/>
      <c r="EW365" s="410"/>
      <c r="EX365" s="410"/>
      <c r="EY365" s="410"/>
      <c r="EZ365" s="410"/>
      <c r="FA365" s="410"/>
      <c r="FB365" s="410"/>
      <c r="FC365" s="410"/>
      <c r="FD365" s="410"/>
      <c r="FE365" s="410"/>
      <c r="FF365" s="410"/>
      <c r="FG365" s="410"/>
      <c r="FH365" s="410"/>
      <c r="FI365" s="410"/>
      <c r="FJ365" s="410"/>
      <c r="FK365" s="410"/>
      <c r="FL365" s="410"/>
      <c r="FM365" s="410"/>
      <c r="FN365" s="410"/>
      <c r="FO365" s="410"/>
      <c r="FP365" s="410"/>
      <c r="FQ365" s="410"/>
      <c r="FR365" s="410"/>
      <c r="FS365" s="410"/>
      <c r="FT365" s="410"/>
      <c r="FU365" s="410"/>
      <c r="FV365" s="410"/>
      <c r="FW365" s="410"/>
      <c r="FX365" s="410"/>
      <c r="FY365" s="410"/>
      <c r="FZ365" s="410"/>
      <c r="GA365" s="410"/>
      <c r="GB365" s="410"/>
      <c r="GC365" s="410"/>
      <c r="GD365" s="410"/>
      <c r="GE365" s="410"/>
      <c r="GF365" s="410"/>
      <c r="GG365" s="410"/>
      <c r="GH365" s="410"/>
      <c r="GI365" s="410"/>
      <c r="GJ365" s="410"/>
      <c r="GK365" s="410"/>
      <c r="GL365" s="410"/>
      <c r="GM365" s="410"/>
      <c r="GN365" s="410"/>
      <c r="GO365" s="410"/>
      <c r="GP365" s="410"/>
      <c r="GQ365" s="410"/>
      <c r="GR365" s="410"/>
      <c r="GS365" s="410"/>
      <c r="GT365" s="410"/>
      <c r="GU365" s="410"/>
      <c r="GV365" s="410"/>
      <c r="GW365" s="410"/>
      <c r="GX365" s="410"/>
      <c r="GY365" s="410"/>
      <c r="GZ365" s="410"/>
      <c r="HA365" s="410"/>
      <c r="HB365" s="410"/>
      <c r="HC365" s="410"/>
      <c r="HD365" s="410"/>
      <c r="HE365" s="410"/>
      <c r="HF365" s="410"/>
      <c r="HG365" s="410"/>
      <c r="HH365" s="410"/>
      <c r="HI365" s="410"/>
      <c r="HJ365" s="410"/>
      <c r="HK365" s="410"/>
      <c r="HL365" s="410"/>
      <c r="HM365" s="410"/>
      <c r="HN365" s="410"/>
      <c r="HO365" s="410"/>
      <c r="HP365" s="410"/>
      <c r="HQ365" s="410"/>
      <c r="HR365" s="410"/>
      <c r="HS365" s="410"/>
      <c r="HT365" s="410"/>
      <c r="HU365" s="410"/>
      <c r="HV365" s="410"/>
      <c r="HW365" s="410"/>
      <c r="HX365" s="410"/>
      <c r="HY365" s="410"/>
      <c r="HZ365" s="410"/>
      <c r="IA365" s="410"/>
      <c r="IB365" s="410"/>
      <c r="IC365" s="410"/>
      <c r="ID365" s="410"/>
      <c r="IE365" s="410"/>
      <c r="IF365" s="410"/>
      <c r="IG365" s="410"/>
      <c r="IH365" s="410"/>
      <c r="II365" s="410"/>
      <c r="IJ365" s="410"/>
      <c r="IK365" s="410"/>
      <c r="IL365" s="410"/>
      <c r="IM365" s="410"/>
    </row>
    <row r="366" spans="1:247" s="415" customFormat="1" ht="62.25" customHeight="1" x14ac:dyDescent="0.25">
      <c r="A366" s="99">
        <v>1</v>
      </c>
      <c r="B366" s="57" t="s">
        <v>81</v>
      </c>
      <c r="C366" s="459">
        <f t="shared" si="132"/>
        <v>425</v>
      </c>
      <c r="D366" s="459">
        <f t="shared" si="132"/>
        <v>177</v>
      </c>
      <c r="E366" s="459">
        <f t="shared" si="132"/>
        <v>154</v>
      </c>
      <c r="F366" s="459">
        <f t="shared" si="132"/>
        <v>87.005649717514117</v>
      </c>
      <c r="G366" s="460">
        <f t="shared" si="132"/>
        <v>1170.09725</v>
      </c>
      <c r="H366" s="460">
        <f t="shared" si="132"/>
        <v>487.54</v>
      </c>
      <c r="I366" s="460">
        <f t="shared" si="132"/>
        <v>408.28835000000004</v>
      </c>
      <c r="J366" s="460">
        <f t="shared" si="127"/>
        <v>83.74458505968741</v>
      </c>
      <c r="K366" s="410"/>
      <c r="L366" s="410"/>
      <c r="M366" s="410"/>
      <c r="N366" s="410"/>
      <c r="O366" s="410"/>
      <c r="P366" s="410"/>
      <c r="Q366" s="410"/>
      <c r="R366" s="410"/>
      <c r="S366" s="410"/>
      <c r="T366" s="410"/>
      <c r="U366" s="410"/>
      <c r="V366" s="410"/>
      <c r="W366" s="410"/>
      <c r="X366" s="410"/>
      <c r="Y366" s="410"/>
      <c r="Z366" s="410"/>
      <c r="AA366" s="410"/>
      <c r="AB366" s="410"/>
      <c r="AC366" s="410"/>
      <c r="AD366" s="410"/>
      <c r="AE366" s="410"/>
      <c r="AF366" s="410"/>
      <c r="AG366" s="410"/>
      <c r="AH366" s="410"/>
      <c r="AI366" s="410"/>
      <c r="AJ366" s="410"/>
      <c r="AK366" s="410"/>
      <c r="AL366" s="410"/>
      <c r="AM366" s="410"/>
      <c r="AN366" s="410"/>
      <c r="AO366" s="410"/>
      <c r="AP366" s="410"/>
      <c r="AQ366" s="410"/>
      <c r="AR366" s="410"/>
      <c r="AS366" s="410"/>
      <c r="AT366" s="410"/>
      <c r="AU366" s="410"/>
      <c r="AV366" s="410"/>
      <c r="AW366" s="410"/>
      <c r="AX366" s="410"/>
      <c r="AY366" s="410"/>
      <c r="AZ366" s="410"/>
      <c r="BA366" s="410"/>
      <c r="BB366" s="410"/>
      <c r="BC366" s="410"/>
      <c r="BD366" s="410"/>
      <c r="BE366" s="410"/>
      <c r="BF366" s="410"/>
      <c r="BG366" s="410"/>
      <c r="BH366" s="410"/>
      <c r="BI366" s="410"/>
      <c r="BJ366" s="410"/>
      <c r="BK366" s="410"/>
      <c r="BL366" s="410"/>
      <c r="BM366" s="410"/>
      <c r="BN366" s="410"/>
      <c r="BO366" s="410"/>
      <c r="BP366" s="410"/>
      <c r="BQ366" s="410"/>
      <c r="BR366" s="410"/>
      <c r="BS366" s="410"/>
      <c r="BT366" s="410"/>
      <c r="BU366" s="410"/>
      <c r="BV366" s="410"/>
      <c r="BW366" s="410"/>
      <c r="BX366" s="410"/>
      <c r="BY366" s="410"/>
      <c r="BZ366" s="410"/>
      <c r="CA366" s="410"/>
      <c r="CB366" s="410"/>
      <c r="CC366" s="410"/>
      <c r="CD366" s="410"/>
      <c r="CE366" s="410"/>
      <c r="CF366" s="410"/>
      <c r="CG366" s="410"/>
      <c r="CH366" s="410"/>
      <c r="CI366" s="410"/>
      <c r="CJ366" s="410"/>
      <c r="CK366" s="410"/>
      <c r="CL366" s="410"/>
      <c r="CM366" s="410"/>
      <c r="CN366" s="410"/>
      <c r="CO366" s="410"/>
      <c r="CP366" s="410"/>
      <c r="CQ366" s="410"/>
      <c r="CR366" s="410"/>
      <c r="CS366" s="410"/>
      <c r="CT366" s="410"/>
      <c r="CU366" s="410"/>
      <c r="CV366" s="410"/>
      <c r="CW366" s="410"/>
      <c r="CX366" s="410"/>
      <c r="CY366" s="410"/>
      <c r="CZ366" s="410"/>
      <c r="DA366" s="410"/>
      <c r="DB366" s="410"/>
      <c r="DC366" s="410"/>
      <c r="DD366" s="410"/>
      <c r="DE366" s="410"/>
      <c r="DF366" s="410"/>
      <c r="DG366" s="410"/>
      <c r="DH366" s="410"/>
      <c r="DI366" s="410"/>
      <c r="DJ366" s="410"/>
      <c r="DK366" s="410"/>
      <c r="DL366" s="410"/>
      <c r="DM366" s="410"/>
      <c r="DN366" s="410"/>
      <c r="DO366" s="410"/>
      <c r="DP366" s="410"/>
      <c r="DQ366" s="410"/>
      <c r="DR366" s="410"/>
      <c r="DS366" s="410"/>
      <c r="DT366" s="410"/>
      <c r="DU366" s="410"/>
      <c r="DV366" s="410"/>
      <c r="DW366" s="410"/>
      <c r="DX366" s="410"/>
      <c r="DY366" s="410"/>
      <c r="DZ366" s="410"/>
      <c r="EA366" s="410"/>
      <c r="EB366" s="410"/>
      <c r="EC366" s="410"/>
      <c r="ED366" s="410"/>
      <c r="EE366" s="410"/>
      <c r="EF366" s="410"/>
      <c r="EG366" s="410"/>
      <c r="EH366" s="410"/>
      <c r="EI366" s="410"/>
      <c r="EJ366" s="410"/>
      <c r="EK366" s="410"/>
      <c r="EL366" s="410"/>
      <c r="EM366" s="410"/>
      <c r="EN366" s="410"/>
      <c r="EO366" s="410"/>
      <c r="EP366" s="410"/>
      <c r="EQ366" s="410"/>
      <c r="ER366" s="410"/>
      <c r="ES366" s="410"/>
      <c r="ET366" s="410"/>
      <c r="EU366" s="410"/>
      <c r="EV366" s="410"/>
      <c r="EW366" s="410"/>
      <c r="EX366" s="410"/>
      <c r="EY366" s="410"/>
      <c r="EZ366" s="410"/>
      <c r="FA366" s="410"/>
      <c r="FB366" s="410"/>
      <c r="FC366" s="410"/>
      <c r="FD366" s="410"/>
      <c r="FE366" s="410"/>
      <c r="FF366" s="410"/>
      <c r="FG366" s="410"/>
      <c r="FH366" s="410"/>
      <c r="FI366" s="410"/>
      <c r="FJ366" s="410"/>
      <c r="FK366" s="410"/>
      <c r="FL366" s="410"/>
      <c r="FM366" s="410"/>
      <c r="FN366" s="410"/>
      <c r="FO366" s="410"/>
      <c r="FP366" s="410"/>
      <c r="FQ366" s="410"/>
      <c r="FR366" s="410"/>
      <c r="FS366" s="410"/>
      <c r="FT366" s="410"/>
      <c r="FU366" s="410"/>
      <c r="FV366" s="410"/>
      <c r="FW366" s="410"/>
      <c r="FX366" s="410"/>
      <c r="FY366" s="410"/>
      <c r="FZ366" s="410"/>
      <c r="GA366" s="410"/>
      <c r="GB366" s="410"/>
      <c r="GC366" s="410"/>
      <c r="GD366" s="410"/>
      <c r="GE366" s="410"/>
      <c r="GF366" s="410"/>
      <c r="GG366" s="410"/>
      <c r="GH366" s="410"/>
      <c r="GI366" s="410"/>
      <c r="GJ366" s="410"/>
      <c r="GK366" s="410"/>
      <c r="GL366" s="410"/>
      <c r="GM366" s="410"/>
      <c r="GN366" s="410"/>
      <c r="GO366" s="410"/>
      <c r="GP366" s="410"/>
      <c r="GQ366" s="410"/>
      <c r="GR366" s="410"/>
      <c r="GS366" s="410"/>
      <c r="GT366" s="410"/>
      <c r="GU366" s="410"/>
      <c r="GV366" s="410"/>
      <c r="GW366" s="410"/>
      <c r="GX366" s="410"/>
      <c r="GY366" s="410"/>
      <c r="GZ366" s="410"/>
      <c r="HA366" s="410"/>
      <c r="HB366" s="410"/>
      <c r="HC366" s="410"/>
      <c r="HD366" s="410"/>
      <c r="HE366" s="410"/>
      <c r="HF366" s="410"/>
      <c r="HG366" s="410"/>
      <c r="HH366" s="410"/>
      <c r="HI366" s="410"/>
      <c r="HJ366" s="410"/>
      <c r="HK366" s="410"/>
      <c r="HL366" s="410"/>
      <c r="HM366" s="410"/>
      <c r="HN366" s="410"/>
      <c r="HO366" s="410"/>
      <c r="HP366" s="410"/>
      <c r="HQ366" s="410"/>
      <c r="HR366" s="410"/>
      <c r="HS366" s="410"/>
      <c r="HT366" s="410"/>
      <c r="HU366" s="410"/>
      <c r="HV366" s="410"/>
      <c r="HW366" s="410"/>
      <c r="HX366" s="410"/>
      <c r="HY366" s="410"/>
      <c r="HZ366" s="410"/>
      <c r="IA366" s="410"/>
      <c r="IB366" s="410"/>
      <c r="IC366" s="410"/>
      <c r="ID366" s="410"/>
      <c r="IE366" s="410"/>
      <c r="IF366" s="410"/>
      <c r="IG366" s="410"/>
      <c r="IH366" s="410"/>
      <c r="II366" s="410"/>
      <c r="IJ366" s="410"/>
      <c r="IK366" s="410"/>
      <c r="IL366" s="410"/>
      <c r="IM366" s="410"/>
    </row>
    <row r="367" spans="1:247" s="415" customFormat="1" ht="45" x14ac:dyDescent="0.25">
      <c r="A367" s="99">
        <v>1</v>
      </c>
      <c r="B367" s="57" t="s">
        <v>109</v>
      </c>
      <c r="C367" s="459">
        <f t="shared" si="132"/>
        <v>278</v>
      </c>
      <c r="D367" s="459">
        <f t="shared" si="132"/>
        <v>116</v>
      </c>
      <c r="E367" s="459">
        <f t="shared" si="132"/>
        <v>9</v>
      </c>
      <c r="F367" s="459">
        <f t="shared" si="132"/>
        <v>7.7586206896551726</v>
      </c>
      <c r="G367" s="460">
        <f t="shared" si="132"/>
        <v>272.48447999999996</v>
      </c>
      <c r="H367" s="460">
        <f t="shared" si="132"/>
        <v>113.54</v>
      </c>
      <c r="I367" s="460">
        <f t="shared" si="132"/>
        <v>8.2358999999999991</v>
      </c>
      <c r="J367" s="460">
        <f t="shared" si="127"/>
        <v>7.2537431742117295</v>
      </c>
      <c r="K367" s="410"/>
      <c r="L367" s="410"/>
      <c r="M367" s="410"/>
      <c r="N367" s="410"/>
      <c r="O367" s="410"/>
      <c r="P367" s="410"/>
      <c r="Q367" s="410"/>
      <c r="R367" s="410"/>
      <c r="S367" s="410"/>
      <c r="T367" s="410"/>
      <c r="U367" s="410"/>
      <c r="V367" s="410"/>
      <c r="W367" s="410"/>
      <c r="X367" s="410"/>
      <c r="Y367" s="410"/>
      <c r="Z367" s="410"/>
      <c r="AA367" s="410"/>
      <c r="AB367" s="410"/>
      <c r="AC367" s="410"/>
      <c r="AD367" s="410"/>
      <c r="AE367" s="410"/>
      <c r="AF367" s="410"/>
      <c r="AG367" s="410"/>
      <c r="AH367" s="410"/>
      <c r="AI367" s="410"/>
      <c r="AJ367" s="410"/>
      <c r="AK367" s="410"/>
      <c r="AL367" s="410"/>
      <c r="AM367" s="410"/>
      <c r="AN367" s="410"/>
      <c r="AO367" s="410"/>
      <c r="AP367" s="410"/>
      <c r="AQ367" s="410"/>
      <c r="AR367" s="410"/>
      <c r="AS367" s="410"/>
      <c r="AT367" s="410"/>
      <c r="AU367" s="410"/>
      <c r="AV367" s="410"/>
      <c r="AW367" s="410"/>
      <c r="AX367" s="410"/>
      <c r="AY367" s="410"/>
      <c r="AZ367" s="410"/>
      <c r="BA367" s="410"/>
      <c r="BB367" s="410"/>
      <c r="BC367" s="410"/>
      <c r="BD367" s="410"/>
      <c r="BE367" s="410"/>
      <c r="BF367" s="410"/>
      <c r="BG367" s="410"/>
      <c r="BH367" s="410"/>
      <c r="BI367" s="410"/>
      <c r="BJ367" s="410"/>
      <c r="BK367" s="410"/>
      <c r="BL367" s="410"/>
      <c r="BM367" s="410"/>
      <c r="BN367" s="410"/>
      <c r="BO367" s="410"/>
      <c r="BP367" s="410"/>
      <c r="BQ367" s="410"/>
      <c r="BR367" s="410"/>
      <c r="BS367" s="410"/>
      <c r="BT367" s="410"/>
      <c r="BU367" s="410"/>
      <c r="BV367" s="410"/>
      <c r="BW367" s="410"/>
      <c r="BX367" s="410"/>
      <c r="BY367" s="410"/>
      <c r="BZ367" s="410"/>
      <c r="CA367" s="410"/>
      <c r="CB367" s="410"/>
      <c r="CC367" s="410"/>
      <c r="CD367" s="410"/>
      <c r="CE367" s="410"/>
      <c r="CF367" s="410"/>
      <c r="CG367" s="410"/>
      <c r="CH367" s="410"/>
      <c r="CI367" s="410"/>
      <c r="CJ367" s="410"/>
      <c r="CK367" s="410"/>
      <c r="CL367" s="410"/>
      <c r="CM367" s="410"/>
      <c r="CN367" s="410"/>
      <c r="CO367" s="410"/>
      <c r="CP367" s="410"/>
      <c r="CQ367" s="410"/>
      <c r="CR367" s="410"/>
      <c r="CS367" s="410"/>
      <c r="CT367" s="410"/>
      <c r="CU367" s="410"/>
      <c r="CV367" s="410"/>
      <c r="CW367" s="410"/>
      <c r="CX367" s="410"/>
      <c r="CY367" s="410"/>
      <c r="CZ367" s="410"/>
      <c r="DA367" s="410"/>
      <c r="DB367" s="410"/>
      <c r="DC367" s="410"/>
      <c r="DD367" s="410"/>
      <c r="DE367" s="410"/>
      <c r="DF367" s="410"/>
      <c r="DG367" s="410"/>
      <c r="DH367" s="410"/>
      <c r="DI367" s="410"/>
      <c r="DJ367" s="410"/>
      <c r="DK367" s="410"/>
      <c r="DL367" s="410"/>
      <c r="DM367" s="410"/>
      <c r="DN367" s="410"/>
      <c r="DO367" s="410"/>
      <c r="DP367" s="410"/>
      <c r="DQ367" s="410"/>
      <c r="DR367" s="410"/>
      <c r="DS367" s="410"/>
      <c r="DT367" s="410"/>
      <c r="DU367" s="410"/>
      <c r="DV367" s="410"/>
      <c r="DW367" s="410"/>
      <c r="DX367" s="410"/>
      <c r="DY367" s="410"/>
      <c r="DZ367" s="410"/>
      <c r="EA367" s="410"/>
      <c r="EB367" s="410"/>
      <c r="EC367" s="410"/>
      <c r="ED367" s="410"/>
      <c r="EE367" s="410"/>
      <c r="EF367" s="410"/>
      <c r="EG367" s="410"/>
      <c r="EH367" s="410"/>
      <c r="EI367" s="410"/>
      <c r="EJ367" s="410"/>
      <c r="EK367" s="410"/>
      <c r="EL367" s="410"/>
      <c r="EM367" s="410"/>
      <c r="EN367" s="410"/>
      <c r="EO367" s="410"/>
      <c r="EP367" s="410"/>
      <c r="EQ367" s="410"/>
      <c r="ER367" s="410"/>
      <c r="ES367" s="410"/>
      <c r="ET367" s="410"/>
      <c r="EU367" s="410"/>
      <c r="EV367" s="410"/>
      <c r="EW367" s="410"/>
      <c r="EX367" s="410"/>
      <c r="EY367" s="410"/>
      <c r="EZ367" s="410"/>
      <c r="FA367" s="410"/>
      <c r="FB367" s="410"/>
      <c r="FC367" s="410"/>
      <c r="FD367" s="410"/>
      <c r="FE367" s="410"/>
      <c r="FF367" s="410"/>
      <c r="FG367" s="410"/>
      <c r="FH367" s="410"/>
      <c r="FI367" s="410"/>
      <c r="FJ367" s="410"/>
      <c r="FK367" s="410"/>
      <c r="FL367" s="410"/>
      <c r="FM367" s="410"/>
      <c r="FN367" s="410"/>
      <c r="FO367" s="410"/>
      <c r="FP367" s="410"/>
      <c r="FQ367" s="410"/>
      <c r="FR367" s="410"/>
      <c r="FS367" s="410"/>
      <c r="FT367" s="410"/>
      <c r="FU367" s="410"/>
      <c r="FV367" s="410"/>
      <c r="FW367" s="410"/>
      <c r="FX367" s="410"/>
      <c r="FY367" s="410"/>
      <c r="FZ367" s="410"/>
      <c r="GA367" s="410"/>
      <c r="GB367" s="410"/>
      <c r="GC367" s="410"/>
      <c r="GD367" s="410"/>
      <c r="GE367" s="410"/>
      <c r="GF367" s="410"/>
      <c r="GG367" s="410"/>
      <c r="GH367" s="410"/>
      <c r="GI367" s="410"/>
      <c r="GJ367" s="410"/>
      <c r="GK367" s="410"/>
      <c r="GL367" s="410"/>
      <c r="GM367" s="410"/>
      <c r="GN367" s="410"/>
      <c r="GO367" s="410"/>
      <c r="GP367" s="410"/>
      <c r="GQ367" s="410"/>
      <c r="GR367" s="410"/>
      <c r="GS367" s="410"/>
      <c r="GT367" s="410"/>
      <c r="GU367" s="410"/>
      <c r="GV367" s="410"/>
      <c r="GW367" s="410"/>
      <c r="GX367" s="410"/>
      <c r="GY367" s="410"/>
      <c r="GZ367" s="410"/>
      <c r="HA367" s="410"/>
      <c r="HB367" s="410"/>
      <c r="HC367" s="410"/>
      <c r="HD367" s="410"/>
      <c r="HE367" s="410"/>
      <c r="HF367" s="410"/>
      <c r="HG367" s="410"/>
      <c r="HH367" s="410"/>
      <c r="HI367" s="410"/>
      <c r="HJ367" s="410"/>
      <c r="HK367" s="410"/>
      <c r="HL367" s="410"/>
      <c r="HM367" s="410"/>
      <c r="HN367" s="410"/>
      <c r="HO367" s="410"/>
      <c r="HP367" s="410"/>
      <c r="HQ367" s="410"/>
      <c r="HR367" s="410"/>
      <c r="HS367" s="410"/>
      <c r="HT367" s="410"/>
      <c r="HU367" s="410"/>
      <c r="HV367" s="410"/>
      <c r="HW367" s="410"/>
      <c r="HX367" s="410"/>
      <c r="HY367" s="410"/>
      <c r="HZ367" s="410"/>
      <c r="IA367" s="410"/>
      <c r="IB367" s="410"/>
      <c r="IC367" s="410"/>
      <c r="ID367" s="410"/>
      <c r="IE367" s="410"/>
      <c r="IF367" s="410"/>
      <c r="IG367" s="410"/>
      <c r="IH367" s="410"/>
      <c r="II367" s="410"/>
      <c r="IJ367" s="410"/>
      <c r="IK367" s="410"/>
      <c r="IL367" s="410"/>
      <c r="IM367" s="410"/>
    </row>
    <row r="368" spans="1:247" s="415" customFormat="1" ht="30.75" thickBot="1" x14ac:dyDescent="0.3">
      <c r="A368" s="99"/>
      <c r="B368" s="146" t="s">
        <v>123</v>
      </c>
      <c r="C368" s="461">
        <f t="shared" si="132"/>
        <v>990</v>
      </c>
      <c r="D368" s="461">
        <f t="shared" si="132"/>
        <v>413</v>
      </c>
      <c r="E368" s="461">
        <f t="shared" si="132"/>
        <v>353</v>
      </c>
      <c r="F368" s="461">
        <f t="shared" si="132"/>
        <v>85.472154963680396</v>
      </c>
      <c r="G368" s="484">
        <f t="shared" si="132"/>
        <v>963.48779999999999</v>
      </c>
      <c r="H368" s="484">
        <f t="shared" si="132"/>
        <v>401.45</v>
      </c>
      <c r="I368" s="484">
        <f t="shared" si="132"/>
        <v>341.92848000000004</v>
      </c>
      <c r="J368" s="484">
        <f>I368/H368*100</f>
        <v>85.173366546269776</v>
      </c>
      <c r="K368" s="410"/>
      <c r="L368" s="410"/>
      <c r="M368" s="410"/>
      <c r="N368" s="410"/>
      <c r="O368" s="410"/>
      <c r="P368" s="410"/>
      <c r="Q368" s="410"/>
      <c r="R368" s="410"/>
      <c r="S368" s="410"/>
      <c r="T368" s="410"/>
      <c r="U368" s="410"/>
      <c r="V368" s="410"/>
      <c r="W368" s="410"/>
      <c r="X368" s="410"/>
      <c r="Y368" s="410"/>
      <c r="Z368" s="410"/>
      <c r="AA368" s="410"/>
      <c r="AB368" s="410"/>
      <c r="AC368" s="410"/>
      <c r="AD368" s="410"/>
      <c r="AE368" s="410"/>
      <c r="AF368" s="410"/>
      <c r="AG368" s="410"/>
      <c r="AH368" s="410"/>
      <c r="AI368" s="410"/>
      <c r="AJ368" s="410"/>
      <c r="AK368" s="410"/>
      <c r="AL368" s="410"/>
      <c r="AM368" s="410"/>
      <c r="AN368" s="410"/>
      <c r="AO368" s="410"/>
      <c r="AP368" s="410"/>
      <c r="AQ368" s="410"/>
      <c r="AR368" s="410"/>
      <c r="AS368" s="410"/>
      <c r="AT368" s="410"/>
      <c r="AU368" s="410"/>
      <c r="AV368" s="410"/>
      <c r="AW368" s="410"/>
      <c r="AX368" s="410"/>
      <c r="AY368" s="410"/>
      <c r="AZ368" s="410"/>
      <c r="BA368" s="410"/>
      <c r="BB368" s="410"/>
      <c r="BC368" s="410"/>
      <c r="BD368" s="410"/>
      <c r="BE368" s="410"/>
      <c r="BF368" s="410"/>
      <c r="BG368" s="410"/>
      <c r="BH368" s="410"/>
      <c r="BI368" s="410"/>
      <c r="BJ368" s="410"/>
      <c r="BK368" s="410"/>
      <c r="BL368" s="410"/>
      <c r="BM368" s="410"/>
      <c r="BN368" s="410"/>
      <c r="BO368" s="410"/>
      <c r="BP368" s="410"/>
      <c r="BQ368" s="410"/>
      <c r="BR368" s="410"/>
      <c r="BS368" s="410"/>
      <c r="BT368" s="410"/>
      <c r="BU368" s="410"/>
      <c r="BV368" s="410"/>
      <c r="BW368" s="410"/>
      <c r="BX368" s="410"/>
      <c r="BY368" s="410"/>
      <c r="BZ368" s="410"/>
      <c r="CA368" s="410"/>
      <c r="CB368" s="410"/>
      <c r="CC368" s="410"/>
      <c r="CD368" s="410"/>
      <c r="CE368" s="410"/>
      <c r="CF368" s="410"/>
      <c r="CG368" s="410"/>
      <c r="CH368" s="410"/>
      <c r="CI368" s="410"/>
      <c r="CJ368" s="410"/>
      <c r="CK368" s="410"/>
      <c r="CL368" s="410"/>
      <c r="CM368" s="410"/>
      <c r="CN368" s="410"/>
      <c r="CO368" s="410"/>
      <c r="CP368" s="410"/>
      <c r="CQ368" s="410"/>
      <c r="CR368" s="410"/>
      <c r="CS368" s="410"/>
      <c r="CT368" s="410"/>
      <c r="CU368" s="410"/>
      <c r="CV368" s="410"/>
      <c r="CW368" s="410"/>
      <c r="CX368" s="410"/>
      <c r="CY368" s="410"/>
      <c r="CZ368" s="410"/>
      <c r="DA368" s="410"/>
      <c r="DB368" s="410"/>
      <c r="DC368" s="410"/>
      <c r="DD368" s="410"/>
      <c r="DE368" s="410"/>
      <c r="DF368" s="410"/>
      <c r="DG368" s="410"/>
      <c r="DH368" s="410"/>
      <c r="DI368" s="410"/>
      <c r="DJ368" s="410"/>
      <c r="DK368" s="410"/>
      <c r="DL368" s="410"/>
      <c r="DM368" s="410"/>
      <c r="DN368" s="410"/>
      <c r="DO368" s="410"/>
      <c r="DP368" s="410"/>
      <c r="DQ368" s="410"/>
      <c r="DR368" s="410"/>
      <c r="DS368" s="410"/>
      <c r="DT368" s="410"/>
      <c r="DU368" s="410"/>
      <c r="DV368" s="410"/>
      <c r="DW368" s="410"/>
      <c r="DX368" s="410"/>
      <c r="DY368" s="410"/>
      <c r="DZ368" s="410"/>
      <c r="EA368" s="410"/>
      <c r="EB368" s="410"/>
      <c r="EC368" s="410"/>
      <c r="ED368" s="410"/>
      <c r="EE368" s="410"/>
      <c r="EF368" s="410"/>
      <c r="EG368" s="410"/>
      <c r="EH368" s="410"/>
      <c r="EI368" s="410"/>
      <c r="EJ368" s="410"/>
      <c r="EK368" s="410"/>
      <c r="EL368" s="410"/>
      <c r="EM368" s="410"/>
      <c r="EN368" s="410"/>
      <c r="EO368" s="410"/>
      <c r="EP368" s="410"/>
      <c r="EQ368" s="410"/>
      <c r="ER368" s="410"/>
      <c r="ES368" s="410"/>
      <c r="ET368" s="410"/>
      <c r="EU368" s="410"/>
      <c r="EV368" s="410"/>
      <c r="EW368" s="410"/>
      <c r="EX368" s="410"/>
      <c r="EY368" s="410"/>
      <c r="EZ368" s="410"/>
      <c r="FA368" s="410"/>
      <c r="FB368" s="410"/>
      <c r="FC368" s="410"/>
      <c r="FD368" s="410"/>
      <c r="FE368" s="410"/>
      <c r="FF368" s="410"/>
      <c r="FG368" s="410"/>
      <c r="FH368" s="410"/>
      <c r="FI368" s="410"/>
      <c r="FJ368" s="410"/>
      <c r="FK368" s="410"/>
      <c r="FL368" s="410"/>
      <c r="FM368" s="410"/>
      <c r="FN368" s="410"/>
      <c r="FO368" s="410"/>
      <c r="FP368" s="410"/>
      <c r="FQ368" s="410"/>
      <c r="FR368" s="410"/>
      <c r="FS368" s="410"/>
      <c r="FT368" s="410"/>
      <c r="FU368" s="410"/>
      <c r="FV368" s="410"/>
      <c r="FW368" s="410"/>
      <c r="FX368" s="410"/>
      <c r="FY368" s="410"/>
      <c r="FZ368" s="410"/>
      <c r="GA368" s="410"/>
      <c r="GB368" s="410"/>
      <c r="GC368" s="410"/>
      <c r="GD368" s="410"/>
      <c r="GE368" s="410"/>
      <c r="GF368" s="410"/>
      <c r="GG368" s="410"/>
      <c r="GH368" s="410"/>
      <c r="GI368" s="410"/>
      <c r="GJ368" s="410"/>
      <c r="GK368" s="410"/>
      <c r="GL368" s="410"/>
      <c r="GM368" s="410"/>
      <c r="GN368" s="410"/>
      <c r="GO368" s="410"/>
      <c r="GP368" s="410"/>
      <c r="GQ368" s="410"/>
      <c r="GR368" s="410"/>
      <c r="GS368" s="410"/>
      <c r="GT368" s="410"/>
      <c r="GU368" s="410"/>
      <c r="GV368" s="410"/>
      <c r="GW368" s="410"/>
      <c r="GX368" s="410"/>
      <c r="GY368" s="410"/>
      <c r="GZ368" s="410"/>
      <c r="HA368" s="410"/>
      <c r="HB368" s="410"/>
      <c r="HC368" s="410"/>
      <c r="HD368" s="410"/>
      <c r="HE368" s="410"/>
      <c r="HF368" s="410"/>
      <c r="HG368" s="410"/>
      <c r="HH368" s="410"/>
      <c r="HI368" s="410"/>
      <c r="HJ368" s="410"/>
      <c r="HK368" s="410"/>
      <c r="HL368" s="410"/>
      <c r="HM368" s="410"/>
      <c r="HN368" s="410"/>
      <c r="HO368" s="410"/>
      <c r="HP368" s="410"/>
      <c r="HQ368" s="410"/>
      <c r="HR368" s="410"/>
      <c r="HS368" s="410"/>
      <c r="HT368" s="410"/>
      <c r="HU368" s="410"/>
      <c r="HV368" s="410"/>
      <c r="HW368" s="410"/>
      <c r="HX368" s="410"/>
      <c r="HY368" s="410"/>
      <c r="HZ368" s="410"/>
      <c r="IA368" s="410"/>
      <c r="IB368" s="410"/>
      <c r="IC368" s="410"/>
      <c r="ID368" s="410"/>
      <c r="IE368" s="410"/>
      <c r="IF368" s="410"/>
      <c r="IG368" s="410"/>
      <c r="IH368" s="410"/>
      <c r="II368" s="410"/>
      <c r="IJ368" s="410"/>
      <c r="IK368" s="410"/>
      <c r="IL368" s="410"/>
      <c r="IM368" s="410"/>
    </row>
    <row r="369" spans="1:10" ht="15.75" thickBot="1" x14ac:dyDescent="0.3">
      <c r="A369" s="99">
        <v>1</v>
      </c>
      <c r="B369" s="235" t="s">
        <v>107</v>
      </c>
      <c r="C369" s="476">
        <f t="shared" si="132"/>
        <v>0</v>
      </c>
      <c r="D369" s="476">
        <f t="shared" si="132"/>
        <v>0</v>
      </c>
      <c r="E369" s="476">
        <f t="shared" si="132"/>
        <v>0</v>
      </c>
      <c r="F369" s="476">
        <f t="shared" si="132"/>
        <v>0</v>
      </c>
      <c r="G369" s="477">
        <f t="shared" si="132"/>
        <v>3243.4449100000002</v>
      </c>
      <c r="H369" s="477">
        <f t="shared" si="132"/>
        <v>1351.43</v>
      </c>
      <c r="I369" s="477">
        <f t="shared" si="132"/>
        <v>931.29637000000014</v>
      </c>
      <c r="J369" s="477">
        <f>J357</f>
        <v>68.9119207062149</v>
      </c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K32"/>
  <sheetViews>
    <sheetView zoomScaleNormal="10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D13" sqref="D13"/>
    </sheetView>
  </sheetViews>
  <sheetFormatPr defaultColWidth="9.140625" defaultRowHeight="15" x14ac:dyDescent="0.25"/>
  <cols>
    <col min="1" max="1" width="42" style="82" customWidth="1"/>
    <col min="2" max="2" width="13.5703125" style="82" customWidth="1"/>
    <col min="3" max="3" width="12.28515625" style="82" customWidth="1"/>
    <col min="4" max="4" width="12.140625" style="82" customWidth="1"/>
    <col min="5" max="5" width="10.42578125" style="82" customWidth="1"/>
    <col min="6" max="9" width="11.85546875" style="82" customWidth="1"/>
    <col min="10" max="10" width="12.140625" style="82" bestFit="1" customWidth="1"/>
    <col min="11" max="16384" width="9.140625" style="82"/>
  </cols>
  <sheetData>
    <row r="1" spans="1:10" s="553" customFormat="1" ht="35.25" customHeight="1" x14ac:dyDescent="0.25">
      <c r="A1" s="396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2018</v>
      </c>
      <c r="B1" s="397"/>
      <c r="C1" s="397"/>
      <c r="D1" s="397"/>
      <c r="E1" s="397"/>
      <c r="F1" s="397"/>
      <c r="G1" s="397"/>
      <c r="H1" s="397"/>
      <c r="I1" s="397"/>
    </row>
    <row r="2" spans="1:10" hidden="1" x14ac:dyDescent="0.25">
      <c r="A2" s="399">
        <v>5</v>
      </c>
    </row>
    <row r="3" spans="1:10" ht="21" customHeight="1" thickBot="1" x14ac:dyDescent="0.3">
      <c r="A3" s="399"/>
    </row>
    <row r="4" spans="1:10" ht="15.75" thickBot="1" x14ac:dyDescent="0.3">
      <c r="A4" s="400" t="s">
        <v>0</v>
      </c>
      <c r="B4" s="401" t="s">
        <v>102</v>
      </c>
      <c r="C4" s="402"/>
      <c r="D4" s="402"/>
      <c r="E4" s="403"/>
      <c r="F4" s="401" t="s">
        <v>101</v>
      </c>
      <c r="G4" s="402"/>
      <c r="H4" s="402"/>
      <c r="I4" s="403"/>
    </row>
    <row r="5" spans="1:10" ht="60.75" thickBot="1" x14ac:dyDescent="0.3">
      <c r="A5" s="404"/>
      <c r="B5" s="149" t="s">
        <v>128</v>
      </c>
      <c r="C5" s="149" t="s">
        <v>134</v>
      </c>
      <c r="D5" s="149" t="s">
        <v>103</v>
      </c>
      <c r="E5" s="405" t="s">
        <v>35</v>
      </c>
      <c r="F5" s="149" t="s">
        <v>129</v>
      </c>
      <c r="G5" s="149" t="s">
        <v>135</v>
      </c>
      <c r="H5" s="149" t="s">
        <v>104</v>
      </c>
      <c r="I5" s="405" t="s">
        <v>35</v>
      </c>
    </row>
    <row r="6" spans="1:10" s="99" customFormat="1" ht="15.75" thickBot="1" x14ac:dyDescent="0.3">
      <c r="A6" s="406">
        <v>1</v>
      </c>
      <c r="B6" s="406">
        <v>2</v>
      </c>
      <c r="C6" s="406">
        <v>3</v>
      </c>
      <c r="D6" s="406">
        <v>4</v>
      </c>
      <c r="E6" s="406">
        <v>5</v>
      </c>
      <c r="F6" s="406">
        <v>6</v>
      </c>
      <c r="G6" s="406">
        <v>7</v>
      </c>
      <c r="H6" s="406">
        <v>8</v>
      </c>
      <c r="I6" s="406">
        <v>9</v>
      </c>
      <c r="J6" s="48"/>
    </row>
    <row r="7" spans="1:10" ht="17.25" customHeight="1" thickBot="1" x14ac:dyDescent="0.3">
      <c r="A7" s="554"/>
      <c r="B7" s="521"/>
      <c r="C7" s="521"/>
      <c r="D7" s="521"/>
      <c r="E7" s="521"/>
      <c r="F7" s="94"/>
      <c r="G7" s="94"/>
      <c r="H7" s="94"/>
      <c r="I7" s="94"/>
    </row>
    <row r="8" spans="1:10" ht="29.25" x14ac:dyDescent="0.25">
      <c r="A8" s="457" t="s">
        <v>57</v>
      </c>
      <c r="B8" s="63"/>
      <c r="C8" s="63"/>
      <c r="D8" s="63"/>
      <c r="E8" s="63"/>
      <c r="F8" s="75"/>
      <c r="G8" s="75"/>
      <c r="H8" s="75"/>
      <c r="I8" s="75"/>
    </row>
    <row r="9" spans="1:10" s="49" customFormat="1" ht="51.75" customHeight="1" x14ac:dyDescent="0.25">
      <c r="A9" s="121" t="s">
        <v>120</v>
      </c>
      <c r="B9" s="54">
        <f>SUM(B10:B13)</f>
        <v>505</v>
      </c>
      <c r="C9" s="54">
        <f>SUM(C10:C13)</f>
        <v>211</v>
      </c>
      <c r="D9" s="54">
        <f>SUM(D10:D13)</f>
        <v>285</v>
      </c>
      <c r="E9" s="54">
        <f t="shared" ref="E9:E19" si="0">D9/C9*100</f>
        <v>135.07109004739337</v>
      </c>
      <c r="F9" s="64">
        <f>SUM(F10:F13)</f>
        <v>1382.8329799999999</v>
      </c>
      <c r="G9" s="64">
        <f>SUM(G10:G13)</f>
        <v>576.17999999999995</v>
      </c>
      <c r="H9" s="64">
        <f>SUM(H10:H13)</f>
        <v>966.85077000000001</v>
      </c>
      <c r="I9" s="54">
        <f t="shared" ref="I9:I19" si="1">H9/G9*100</f>
        <v>167.80359783401022</v>
      </c>
      <c r="J9" s="48"/>
    </row>
    <row r="10" spans="1:10" s="49" customFormat="1" ht="30" x14ac:dyDescent="0.25">
      <c r="A10" s="57" t="s">
        <v>79</v>
      </c>
      <c r="B10" s="54">
        <v>323</v>
      </c>
      <c r="C10" s="50">
        <f>ROUND(B10/12*$A$2,0)</f>
        <v>135</v>
      </c>
      <c r="D10" s="54">
        <v>154</v>
      </c>
      <c r="E10" s="54">
        <f t="shared" si="0"/>
        <v>114.07407407407408</v>
      </c>
      <c r="F10" s="64">
        <v>711.52359999999999</v>
      </c>
      <c r="G10" s="50">
        <f>ROUND(F10/12*$A$2,2)</f>
        <v>296.47000000000003</v>
      </c>
      <c r="H10" s="54">
        <v>345.54768999999993</v>
      </c>
      <c r="I10" s="54">
        <f t="shared" si="1"/>
        <v>116.55401558336422</v>
      </c>
      <c r="J10" s="48"/>
    </row>
    <row r="11" spans="1:10" s="49" customFormat="1" ht="38.1" customHeight="1" x14ac:dyDescent="0.25">
      <c r="A11" s="57" t="s">
        <v>80</v>
      </c>
      <c r="B11" s="54">
        <v>131</v>
      </c>
      <c r="C11" s="50">
        <f>ROUND(B11/12*$A$2,0)</f>
        <v>55</v>
      </c>
      <c r="D11" s="54">
        <v>83</v>
      </c>
      <c r="E11" s="54">
        <f t="shared" si="0"/>
        <v>150.90909090909091</v>
      </c>
      <c r="F11" s="64">
        <v>327.08008000000001</v>
      </c>
      <c r="G11" s="50">
        <f t="shared" ref="G11:G13" si="2">ROUND(F11/12*$A$2,2)</f>
        <v>136.28</v>
      </c>
      <c r="H11" s="54">
        <v>203.20483999999999</v>
      </c>
      <c r="I11" s="54">
        <f t="shared" si="1"/>
        <v>149.10833577927795</v>
      </c>
      <c r="J11" s="48"/>
    </row>
    <row r="12" spans="1:10" s="49" customFormat="1" ht="43.5" customHeight="1" x14ac:dyDescent="0.25">
      <c r="A12" s="57" t="s">
        <v>110</v>
      </c>
      <c r="B12" s="54">
        <v>8</v>
      </c>
      <c r="C12" s="50">
        <f>ROUND(B12/12*$A$2,0)</f>
        <v>3</v>
      </c>
      <c r="D12" s="54">
        <v>16</v>
      </c>
      <c r="E12" s="54">
        <f t="shared" si="0"/>
        <v>533.33333333333326</v>
      </c>
      <c r="F12" s="64">
        <v>19.683</v>
      </c>
      <c r="G12" s="50">
        <f t="shared" si="2"/>
        <v>8.1999999999999993</v>
      </c>
      <c r="H12" s="54">
        <v>139.36607999999998</v>
      </c>
      <c r="I12" s="54">
        <f t="shared" si="1"/>
        <v>1699.5863414634148</v>
      </c>
      <c r="J12" s="48"/>
    </row>
    <row r="13" spans="1:10" s="49" customFormat="1" ht="30" x14ac:dyDescent="0.25">
      <c r="A13" s="57" t="s">
        <v>111</v>
      </c>
      <c r="B13" s="54">
        <v>43</v>
      </c>
      <c r="C13" s="50">
        <f>ROUND(B13/12*$A$2,0)</f>
        <v>18</v>
      </c>
      <c r="D13" s="54">
        <v>32</v>
      </c>
      <c r="E13" s="54">
        <f t="shared" si="0"/>
        <v>177.77777777777777</v>
      </c>
      <c r="F13" s="64">
        <v>324.54629999999997</v>
      </c>
      <c r="G13" s="50">
        <f t="shared" si="2"/>
        <v>135.22999999999999</v>
      </c>
      <c r="H13" s="54">
        <v>278.73215999999996</v>
      </c>
      <c r="I13" s="54">
        <f t="shared" si="1"/>
        <v>206.11710419285663</v>
      </c>
      <c r="J13" s="48"/>
    </row>
    <row r="14" spans="1:10" s="49" customFormat="1" ht="36" customHeight="1" x14ac:dyDescent="0.25">
      <c r="A14" s="121" t="s">
        <v>112</v>
      </c>
      <c r="B14" s="54">
        <f>SUM(B15:B17)</f>
        <v>961</v>
      </c>
      <c r="C14" s="54">
        <f>SUM(C15:C17)</f>
        <v>401</v>
      </c>
      <c r="D14" s="54">
        <f>SUM(D15:D17)</f>
        <v>166</v>
      </c>
      <c r="E14" s="54">
        <f t="shared" si="0"/>
        <v>41.396508728179548</v>
      </c>
      <c r="F14" s="54">
        <f>SUM(F15:F17)</f>
        <v>2684.9690000000001</v>
      </c>
      <c r="G14" s="54">
        <f>SUM(G15:G17)</f>
        <v>1118.74</v>
      </c>
      <c r="H14" s="54">
        <f>SUM(H15:H17)</f>
        <v>518.55177000000003</v>
      </c>
      <c r="I14" s="54">
        <f t="shared" si="1"/>
        <v>46.351410515401255</v>
      </c>
      <c r="J14" s="48"/>
    </row>
    <row r="15" spans="1:10" s="49" customFormat="1" ht="30" x14ac:dyDescent="0.25">
      <c r="A15" s="57" t="s">
        <v>108</v>
      </c>
      <c r="B15" s="54">
        <v>200</v>
      </c>
      <c r="C15" s="50">
        <f t="shared" ref="C15:C18" si="3">ROUND(B15/12*$A$2,0)</f>
        <v>83</v>
      </c>
      <c r="D15" s="54">
        <v>40</v>
      </c>
      <c r="E15" s="54">
        <f t="shared" si="0"/>
        <v>48.192771084337352</v>
      </c>
      <c r="F15" s="64">
        <v>542.94600000000003</v>
      </c>
      <c r="G15" s="50">
        <f t="shared" ref="G15:G18" si="4">ROUND(F15/12*$A$2,2)</f>
        <v>226.23</v>
      </c>
      <c r="H15" s="329">
        <v>110.18146</v>
      </c>
      <c r="I15" s="54">
        <f t="shared" si="1"/>
        <v>48.7032931087831</v>
      </c>
      <c r="J15" s="48"/>
    </row>
    <row r="16" spans="1:10" s="49" customFormat="1" ht="60" x14ac:dyDescent="0.25">
      <c r="A16" s="57" t="s">
        <v>119</v>
      </c>
      <c r="B16" s="54">
        <v>551</v>
      </c>
      <c r="C16" s="50">
        <f t="shared" si="3"/>
        <v>230</v>
      </c>
      <c r="D16" s="54">
        <v>82</v>
      </c>
      <c r="E16" s="54">
        <f t="shared" si="0"/>
        <v>35.652173913043477</v>
      </c>
      <c r="F16" s="64">
        <v>1878.8025</v>
      </c>
      <c r="G16" s="50">
        <f t="shared" si="4"/>
        <v>782.83</v>
      </c>
      <c r="H16" s="54">
        <v>353.20822999999996</v>
      </c>
      <c r="I16" s="54">
        <f t="shared" si="1"/>
        <v>45.119403957436468</v>
      </c>
      <c r="J16" s="48"/>
    </row>
    <row r="17" spans="1:11" s="49" customFormat="1" ht="45" x14ac:dyDescent="0.25">
      <c r="A17" s="57" t="s">
        <v>109</v>
      </c>
      <c r="B17" s="54">
        <v>210</v>
      </c>
      <c r="C17" s="50">
        <f t="shared" si="3"/>
        <v>88</v>
      </c>
      <c r="D17" s="54">
        <v>44</v>
      </c>
      <c r="E17" s="54">
        <f t="shared" si="0"/>
        <v>50</v>
      </c>
      <c r="F17" s="64">
        <v>263.22050000000002</v>
      </c>
      <c r="G17" s="50">
        <f t="shared" si="4"/>
        <v>109.68</v>
      </c>
      <c r="H17" s="54">
        <v>55.162080000000003</v>
      </c>
      <c r="I17" s="54">
        <f t="shared" si="1"/>
        <v>50.29365426695842</v>
      </c>
      <c r="J17" s="48"/>
    </row>
    <row r="18" spans="1:11" s="49" customFormat="1" ht="38.1" customHeight="1" thickBot="1" x14ac:dyDescent="0.3">
      <c r="A18" s="384" t="s">
        <v>123</v>
      </c>
      <c r="B18" s="98">
        <v>2800</v>
      </c>
      <c r="C18" s="150">
        <f t="shared" si="3"/>
        <v>1167</v>
      </c>
      <c r="D18" s="98">
        <v>1160</v>
      </c>
      <c r="E18" s="98">
        <f>D18/C18*100</f>
        <v>99.400171379605823</v>
      </c>
      <c r="F18" s="191">
        <v>3617.152</v>
      </c>
      <c r="G18" s="50">
        <f t="shared" si="4"/>
        <v>1507.15</v>
      </c>
      <c r="H18" s="98">
        <v>1494.6465700000001</v>
      </c>
      <c r="I18" s="98">
        <f>H18/G18*100</f>
        <v>99.170392462594975</v>
      </c>
      <c r="J18" s="48"/>
    </row>
    <row r="19" spans="1:11" s="49" customFormat="1" ht="27" customHeight="1" thickBot="1" x14ac:dyDescent="0.3">
      <c r="A19" s="445" t="s">
        <v>3</v>
      </c>
      <c r="B19" s="193">
        <f>B14+B9</f>
        <v>1466</v>
      </c>
      <c r="C19" s="193">
        <f>C14+C9</f>
        <v>612</v>
      </c>
      <c r="D19" s="193">
        <f>D14+D9</f>
        <v>451</v>
      </c>
      <c r="E19" s="193">
        <f t="shared" si="0"/>
        <v>73.692810457516345</v>
      </c>
      <c r="F19" s="548">
        <f>F14+F9+F18</f>
        <v>7684.9539800000002</v>
      </c>
      <c r="G19" s="548">
        <f>G14+G9+G18</f>
        <v>3202.07</v>
      </c>
      <c r="H19" s="555">
        <f>H14+H9+H18</f>
        <v>2980.0491099999999</v>
      </c>
      <c r="I19" s="193">
        <f t="shared" si="1"/>
        <v>93.066332403726335</v>
      </c>
      <c r="J19" s="48"/>
    </row>
    <row r="20" spans="1:11" x14ac:dyDescent="0.25">
      <c r="A20" s="382" t="s">
        <v>12</v>
      </c>
      <c r="B20" s="436"/>
      <c r="C20" s="436"/>
      <c r="D20" s="436"/>
      <c r="E20" s="436"/>
      <c r="F20" s="556"/>
      <c r="G20" s="556"/>
      <c r="H20" s="556"/>
      <c r="I20" s="556"/>
      <c r="J20" s="48"/>
      <c r="K20" s="49"/>
    </row>
    <row r="21" spans="1:11" s="415" customFormat="1" ht="30" x14ac:dyDescent="0.25">
      <c r="A21" s="121" t="s">
        <v>120</v>
      </c>
      <c r="B21" s="557">
        <f t="shared" ref="B21:F29" si="5">B9</f>
        <v>505</v>
      </c>
      <c r="C21" s="557">
        <f t="shared" si="5"/>
        <v>211</v>
      </c>
      <c r="D21" s="557">
        <f t="shared" si="5"/>
        <v>285</v>
      </c>
      <c r="E21" s="557">
        <f t="shared" si="5"/>
        <v>135.07109004739337</v>
      </c>
      <c r="F21" s="557">
        <f t="shared" si="5"/>
        <v>1382.8329799999999</v>
      </c>
      <c r="G21" s="557">
        <f t="shared" ref="G21:I26" si="6">G9</f>
        <v>576.17999999999995</v>
      </c>
      <c r="H21" s="557">
        <f t="shared" si="6"/>
        <v>966.85077000000001</v>
      </c>
      <c r="I21" s="557">
        <f t="shared" si="6"/>
        <v>167.80359783401022</v>
      </c>
      <c r="J21" s="48"/>
      <c r="K21" s="49"/>
    </row>
    <row r="22" spans="1:11" s="415" customFormat="1" ht="30" x14ac:dyDescent="0.25">
      <c r="A22" s="57" t="s">
        <v>79</v>
      </c>
      <c r="B22" s="557">
        <f t="shared" si="5"/>
        <v>323</v>
      </c>
      <c r="C22" s="557">
        <f t="shared" si="5"/>
        <v>135</v>
      </c>
      <c r="D22" s="557">
        <f t="shared" si="5"/>
        <v>154</v>
      </c>
      <c r="E22" s="557">
        <f t="shared" si="5"/>
        <v>114.07407407407408</v>
      </c>
      <c r="F22" s="557">
        <f t="shared" si="5"/>
        <v>711.52359999999999</v>
      </c>
      <c r="G22" s="557">
        <f t="shared" si="6"/>
        <v>296.47000000000003</v>
      </c>
      <c r="H22" s="557">
        <f t="shared" si="6"/>
        <v>345.54768999999993</v>
      </c>
      <c r="I22" s="557">
        <f t="shared" si="6"/>
        <v>116.55401558336422</v>
      </c>
      <c r="J22" s="48"/>
      <c r="K22" s="49"/>
    </row>
    <row r="23" spans="1:11" s="415" customFormat="1" ht="30" x14ac:dyDescent="0.25">
      <c r="A23" s="57" t="s">
        <v>80</v>
      </c>
      <c r="B23" s="557">
        <f t="shared" si="5"/>
        <v>131</v>
      </c>
      <c r="C23" s="557">
        <f t="shared" si="5"/>
        <v>55</v>
      </c>
      <c r="D23" s="557">
        <f t="shared" si="5"/>
        <v>83</v>
      </c>
      <c r="E23" s="557">
        <f t="shared" si="5"/>
        <v>150.90909090909091</v>
      </c>
      <c r="F23" s="557">
        <f t="shared" si="5"/>
        <v>327.08008000000001</v>
      </c>
      <c r="G23" s="557">
        <f t="shared" si="6"/>
        <v>136.28</v>
      </c>
      <c r="H23" s="557">
        <f t="shared" si="6"/>
        <v>203.20483999999999</v>
      </c>
      <c r="I23" s="557">
        <f t="shared" si="6"/>
        <v>149.10833577927795</v>
      </c>
      <c r="J23" s="48"/>
      <c r="K23" s="49"/>
    </row>
    <row r="24" spans="1:11" s="415" customFormat="1" ht="45" x14ac:dyDescent="0.25">
      <c r="A24" s="57" t="s">
        <v>110</v>
      </c>
      <c r="B24" s="557">
        <f t="shared" si="5"/>
        <v>8</v>
      </c>
      <c r="C24" s="557">
        <f t="shared" si="5"/>
        <v>3</v>
      </c>
      <c r="D24" s="557">
        <f t="shared" si="5"/>
        <v>16</v>
      </c>
      <c r="E24" s="557">
        <f t="shared" si="5"/>
        <v>533.33333333333326</v>
      </c>
      <c r="F24" s="557">
        <f t="shared" si="5"/>
        <v>19.683</v>
      </c>
      <c r="G24" s="557">
        <f t="shared" si="6"/>
        <v>8.1999999999999993</v>
      </c>
      <c r="H24" s="557">
        <f t="shared" si="6"/>
        <v>139.36607999999998</v>
      </c>
      <c r="I24" s="557">
        <f t="shared" si="6"/>
        <v>1699.5863414634148</v>
      </c>
      <c r="J24" s="48"/>
      <c r="K24" s="49"/>
    </row>
    <row r="25" spans="1:11" s="415" customFormat="1" ht="30" x14ac:dyDescent="0.25">
      <c r="A25" s="57" t="s">
        <v>111</v>
      </c>
      <c r="B25" s="557">
        <f t="shared" si="5"/>
        <v>43</v>
      </c>
      <c r="C25" s="557">
        <f t="shared" si="5"/>
        <v>18</v>
      </c>
      <c r="D25" s="557">
        <f t="shared" si="5"/>
        <v>32</v>
      </c>
      <c r="E25" s="557">
        <f t="shared" si="5"/>
        <v>177.77777777777777</v>
      </c>
      <c r="F25" s="557">
        <f t="shared" si="5"/>
        <v>324.54629999999997</v>
      </c>
      <c r="G25" s="557">
        <f t="shared" si="6"/>
        <v>135.22999999999999</v>
      </c>
      <c r="H25" s="557">
        <f t="shared" si="6"/>
        <v>278.73215999999996</v>
      </c>
      <c r="I25" s="557">
        <f t="shared" si="6"/>
        <v>206.11710419285663</v>
      </c>
      <c r="J25" s="48"/>
      <c r="K25" s="49"/>
    </row>
    <row r="26" spans="1:11" s="415" customFormat="1" ht="30" x14ac:dyDescent="0.25">
      <c r="A26" s="121" t="s">
        <v>112</v>
      </c>
      <c r="B26" s="557">
        <f t="shared" si="5"/>
        <v>961</v>
      </c>
      <c r="C26" s="557">
        <f t="shared" si="5"/>
        <v>401</v>
      </c>
      <c r="D26" s="557">
        <f t="shared" si="5"/>
        <v>166</v>
      </c>
      <c r="E26" s="557">
        <f t="shared" si="5"/>
        <v>41.396508728179548</v>
      </c>
      <c r="F26" s="557">
        <f t="shared" si="5"/>
        <v>2684.9690000000001</v>
      </c>
      <c r="G26" s="557">
        <f t="shared" si="6"/>
        <v>1118.74</v>
      </c>
      <c r="H26" s="557">
        <f t="shared" si="6"/>
        <v>518.55177000000003</v>
      </c>
      <c r="I26" s="557">
        <f t="shared" si="6"/>
        <v>46.351410515401255</v>
      </c>
      <c r="J26" s="48"/>
      <c r="K26" s="49"/>
    </row>
    <row r="27" spans="1:11" s="415" customFormat="1" ht="30" x14ac:dyDescent="0.25">
      <c r="A27" s="57" t="s">
        <v>108</v>
      </c>
      <c r="B27" s="557">
        <f t="shared" si="5"/>
        <v>200</v>
      </c>
      <c r="C27" s="557">
        <f t="shared" si="5"/>
        <v>83</v>
      </c>
      <c r="D27" s="557">
        <f t="shared" si="5"/>
        <v>40</v>
      </c>
      <c r="E27" s="557">
        <f t="shared" si="5"/>
        <v>48.192771084337352</v>
      </c>
      <c r="F27" s="557">
        <f t="shared" si="5"/>
        <v>542.94600000000003</v>
      </c>
      <c r="G27" s="557">
        <f t="shared" ref="G27:I29" si="7">G15</f>
        <v>226.23</v>
      </c>
      <c r="H27" s="557">
        <f t="shared" si="7"/>
        <v>110.18146</v>
      </c>
      <c r="I27" s="557">
        <f t="shared" si="7"/>
        <v>48.7032931087831</v>
      </c>
      <c r="J27" s="48"/>
      <c r="K27" s="49"/>
    </row>
    <row r="28" spans="1:11" s="415" customFormat="1" ht="60" x14ac:dyDescent="0.25">
      <c r="A28" s="57" t="s">
        <v>81</v>
      </c>
      <c r="B28" s="557">
        <f t="shared" si="5"/>
        <v>551</v>
      </c>
      <c r="C28" s="557">
        <f t="shared" si="5"/>
        <v>230</v>
      </c>
      <c r="D28" s="557">
        <f t="shared" si="5"/>
        <v>82</v>
      </c>
      <c r="E28" s="557">
        <f t="shared" si="5"/>
        <v>35.652173913043477</v>
      </c>
      <c r="F28" s="557">
        <f t="shared" si="5"/>
        <v>1878.8025</v>
      </c>
      <c r="G28" s="557">
        <f t="shared" si="7"/>
        <v>782.83</v>
      </c>
      <c r="H28" s="557">
        <f t="shared" si="7"/>
        <v>353.20822999999996</v>
      </c>
      <c r="I28" s="557">
        <f t="shared" si="7"/>
        <v>45.119403957436468</v>
      </c>
      <c r="J28" s="48"/>
      <c r="K28" s="49"/>
    </row>
    <row r="29" spans="1:11" s="415" customFormat="1" ht="45" x14ac:dyDescent="0.25">
      <c r="A29" s="57" t="s">
        <v>109</v>
      </c>
      <c r="B29" s="557">
        <f t="shared" si="5"/>
        <v>210</v>
      </c>
      <c r="C29" s="557">
        <f t="shared" si="5"/>
        <v>88</v>
      </c>
      <c r="D29" s="557">
        <f t="shared" si="5"/>
        <v>44</v>
      </c>
      <c r="E29" s="557">
        <f t="shared" si="5"/>
        <v>50</v>
      </c>
      <c r="F29" s="557">
        <f t="shared" si="5"/>
        <v>263.22050000000002</v>
      </c>
      <c r="G29" s="557">
        <f t="shared" si="7"/>
        <v>109.68</v>
      </c>
      <c r="H29" s="557">
        <f t="shared" si="7"/>
        <v>55.162080000000003</v>
      </c>
      <c r="I29" s="557">
        <f t="shared" si="7"/>
        <v>50.29365426695842</v>
      </c>
      <c r="J29" s="48"/>
      <c r="K29" s="49"/>
    </row>
    <row r="30" spans="1:11" s="415" customFormat="1" ht="30" x14ac:dyDescent="0.25">
      <c r="A30" s="57" t="s">
        <v>123</v>
      </c>
      <c r="B30" s="557">
        <f t="shared" ref="B30:E30" si="8">B18</f>
        <v>2800</v>
      </c>
      <c r="C30" s="557">
        <f t="shared" si="8"/>
        <v>1167</v>
      </c>
      <c r="D30" s="557">
        <f>D18</f>
        <v>1160</v>
      </c>
      <c r="E30" s="557">
        <f t="shared" si="8"/>
        <v>99.400171379605823</v>
      </c>
      <c r="F30" s="557">
        <f t="shared" ref="F30" si="9">F18</f>
        <v>3617.152</v>
      </c>
      <c r="G30" s="557">
        <f t="shared" ref="G30:I30" si="10">G18</f>
        <v>1507.15</v>
      </c>
      <c r="H30" s="557">
        <f>H18</f>
        <v>1494.6465700000001</v>
      </c>
      <c r="I30" s="557">
        <f t="shared" si="10"/>
        <v>99.170392462594975</v>
      </c>
      <c r="J30" s="48"/>
      <c r="K30" s="49"/>
    </row>
    <row r="31" spans="1:11" x14ac:dyDescent="0.25">
      <c r="A31" s="53" t="s">
        <v>4</v>
      </c>
      <c r="B31" s="558"/>
      <c r="C31" s="558"/>
      <c r="D31" s="558"/>
      <c r="E31" s="558"/>
      <c r="F31" s="558">
        <f>F19</f>
        <v>7684.9539800000002</v>
      </c>
      <c r="G31" s="558">
        <f>G19</f>
        <v>3202.07</v>
      </c>
      <c r="H31" s="558">
        <f>H19</f>
        <v>2980.0491099999999</v>
      </c>
      <c r="I31" s="558">
        <f>I19</f>
        <v>93.066332403726335</v>
      </c>
      <c r="J31" s="48"/>
      <c r="K31" s="49"/>
    </row>
    <row r="32" spans="1:11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11" sqref="A11"/>
    </sheetView>
  </sheetViews>
  <sheetFormatPr defaultColWidth="11.42578125" defaultRowHeight="15" x14ac:dyDescent="0.25"/>
  <cols>
    <col min="1" max="1" width="42.7109375" style="1" customWidth="1"/>
    <col min="2" max="2" width="12.5703125" style="1" customWidth="1"/>
    <col min="3" max="3" width="14.42578125" style="1" customWidth="1"/>
    <col min="4" max="4" width="13.28515625" style="1" customWidth="1"/>
    <col min="5" max="5" width="11.28515625" style="1" customWidth="1"/>
    <col min="6" max="6" width="12.140625" style="1" customWidth="1"/>
    <col min="7" max="7" width="14.140625" style="1" customWidth="1"/>
    <col min="8" max="8" width="12.140625" style="82" customWidth="1"/>
    <col min="9" max="9" width="12.140625" style="1" customWidth="1"/>
    <col min="10" max="10" width="14.7109375" style="1" customWidth="1"/>
    <col min="11" max="16384" width="11.42578125" style="1"/>
  </cols>
  <sheetData>
    <row r="1" spans="1:10" ht="33" customHeight="1" x14ac:dyDescent="0.25">
      <c r="A1" s="392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январь-май  2018</v>
      </c>
      <c r="B1" s="393"/>
      <c r="C1" s="393"/>
      <c r="D1" s="393"/>
      <c r="E1" s="393"/>
      <c r="F1" s="393"/>
      <c r="G1" s="393"/>
      <c r="H1" s="393"/>
      <c r="I1" s="393"/>
    </row>
    <row r="2" spans="1:10" ht="13.5" hidden="1" customHeight="1" x14ac:dyDescent="0.25">
      <c r="A2" s="81">
        <v>5</v>
      </c>
    </row>
    <row r="3" spans="1:10" ht="15.75" thickBot="1" x14ac:dyDescent="0.3">
      <c r="A3" s="81"/>
    </row>
    <row r="4" spans="1:10" ht="15.75" thickBot="1" x14ac:dyDescent="0.3">
      <c r="A4" s="12" t="s">
        <v>0</v>
      </c>
      <c r="B4" s="389" t="s">
        <v>102</v>
      </c>
      <c r="C4" s="390"/>
      <c r="D4" s="390"/>
      <c r="E4" s="391"/>
      <c r="F4" s="389" t="s">
        <v>101</v>
      </c>
      <c r="G4" s="390"/>
      <c r="H4" s="390"/>
      <c r="I4" s="391"/>
    </row>
    <row r="5" spans="1:10" ht="60.75" thickBot="1" x14ac:dyDescent="0.3">
      <c r="A5" s="13"/>
      <c r="B5" s="148" t="s">
        <v>128</v>
      </c>
      <c r="C5" s="148" t="s">
        <v>136</v>
      </c>
      <c r="D5" s="149" t="s">
        <v>103</v>
      </c>
      <c r="E5" s="38" t="s">
        <v>35</v>
      </c>
      <c r="F5" s="148" t="s">
        <v>129</v>
      </c>
      <c r="G5" s="148" t="s">
        <v>135</v>
      </c>
      <c r="H5" s="149" t="s">
        <v>104</v>
      </c>
      <c r="I5" s="38" t="s">
        <v>35</v>
      </c>
    </row>
    <row r="6" spans="1:10" s="5" customFormat="1" ht="15.75" thickBot="1" x14ac:dyDescent="0.3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37"/>
    </row>
    <row r="7" spans="1:10" s="5" customFormat="1" ht="13.9" customHeight="1" x14ac:dyDescent="0.25">
      <c r="A7" s="10"/>
      <c r="B7" s="6"/>
      <c r="C7" s="6"/>
      <c r="D7" s="6"/>
      <c r="E7" s="6"/>
      <c r="F7" s="6"/>
      <c r="G7" s="7"/>
      <c r="H7" s="113"/>
      <c r="I7" s="7"/>
    </row>
    <row r="8" spans="1:10" ht="35.25" customHeight="1" x14ac:dyDescent="0.25">
      <c r="A8" s="383" t="s">
        <v>56</v>
      </c>
      <c r="B8" s="4"/>
      <c r="C8" s="4"/>
      <c r="D8" s="4"/>
      <c r="E8" s="4"/>
      <c r="F8" s="4"/>
      <c r="G8" s="4"/>
      <c r="H8" s="63"/>
      <c r="I8" s="4"/>
    </row>
    <row r="9" spans="1:10" s="11" customFormat="1" ht="38.1" customHeight="1" x14ac:dyDescent="0.25">
      <c r="A9" s="57" t="s">
        <v>120</v>
      </c>
      <c r="B9" s="8">
        <f>SUM(B10:B13)</f>
        <v>1227</v>
      </c>
      <c r="C9" s="8">
        <f>SUM(C10:C13)</f>
        <v>511</v>
      </c>
      <c r="D9" s="54">
        <f>SUM(D10:D13)</f>
        <v>423</v>
      </c>
      <c r="E9" s="54">
        <f t="shared" ref="E9:E19" si="0">D9/C9*100</f>
        <v>82.778864970645799</v>
      </c>
      <c r="F9" s="64">
        <f>SUM(F10:F13)</f>
        <v>3253.9132599999998</v>
      </c>
      <c r="G9" s="64">
        <f>SUM(G10:G13)</f>
        <v>1355.7900000000002</v>
      </c>
      <c r="H9" s="64">
        <f>SUM(H10:H13)</f>
        <v>1033.0137400000001</v>
      </c>
      <c r="I9" s="54">
        <f t="shared" ref="I9:I19" si="1">H9/G9*100</f>
        <v>76.192754040079947</v>
      </c>
      <c r="J9" s="48"/>
    </row>
    <row r="10" spans="1:10" s="11" customFormat="1" ht="38.1" customHeight="1" x14ac:dyDescent="0.25">
      <c r="A10" s="57" t="s">
        <v>79</v>
      </c>
      <c r="B10" s="8">
        <v>900</v>
      </c>
      <c r="C10" s="8">
        <f t="shared" ref="C10:C17" si="2">ROUND(B10/12*$A$2,0)</f>
        <v>375</v>
      </c>
      <c r="D10" s="54">
        <v>398</v>
      </c>
      <c r="E10" s="54">
        <f t="shared" si="0"/>
        <v>106.13333333333333</v>
      </c>
      <c r="F10" s="64">
        <v>1940.569</v>
      </c>
      <c r="G10" s="54">
        <f>ROUND(F10/12*$A$2,2)</f>
        <v>808.57</v>
      </c>
      <c r="H10" s="54">
        <v>827.74083000000007</v>
      </c>
      <c r="I10" s="54">
        <f t="shared" si="1"/>
        <v>102.37095489568003</v>
      </c>
      <c r="J10" s="48"/>
    </row>
    <row r="11" spans="1:10" s="11" customFormat="1" ht="30" x14ac:dyDescent="0.25">
      <c r="A11" s="57" t="s">
        <v>80</v>
      </c>
      <c r="B11" s="8">
        <v>270</v>
      </c>
      <c r="C11" s="8">
        <f t="shared" si="2"/>
        <v>113</v>
      </c>
      <c r="D11" s="54">
        <v>5</v>
      </c>
      <c r="E11" s="54">
        <f t="shared" si="0"/>
        <v>4.4247787610619467</v>
      </c>
      <c r="F11" s="64">
        <v>741.1543200000001</v>
      </c>
      <c r="G11" s="54">
        <f t="shared" ref="G11:G13" si="3">ROUND(F11/12*$A$2,2)</f>
        <v>308.81</v>
      </c>
      <c r="H11" s="54">
        <v>4.5045100000000025</v>
      </c>
      <c r="I11" s="54">
        <f t="shared" si="1"/>
        <v>1.4586671416081094</v>
      </c>
      <c r="J11" s="48"/>
    </row>
    <row r="12" spans="1:10" s="11" customFormat="1" ht="45" x14ac:dyDescent="0.25">
      <c r="A12" s="57" t="s">
        <v>110</v>
      </c>
      <c r="B12" s="8">
        <v>20</v>
      </c>
      <c r="C12" s="8">
        <f t="shared" si="2"/>
        <v>8</v>
      </c>
      <c r="D12" s="54">
        <v>20</v>
      </c>
      <c r="E12" s="54">
        <f t="shared" si="0"/>
        <v>250</v>
      </c>
      <c r="F12" s="64">
        <v>200.76839999999999</v>
      </c>
      <c r="G12" s="54">
        <f t="shared" si="3"/>
        <v>83.65</v>
      </c>
      <c r="H12" s="54">
        <v>200.76839999999999</v>
      </c>
      <c r="I12" s="54">
        <f t="shared" si="1"/>
        <v>240.01004184100415</v>
      </c>
      <c r="J12" s="48"/>
    </row>
    <row r="13" spans="1:10" s="11" customFormat="1" ht="30" x14ac:dyDescent="0.25">
      <c r="A13" s="57" t="s">
        <v>111</v>
      </c>
      <c r="B13" s="8">
        <v>37</v>
      </c>
      <c r="C13" s="8">
        <f t="shared" si="2"/>
        <v>15</v>
      </c>
      <c r="D13" s="54">
        <v>0</v>
      </c>
      <c r="E13" s="54">
        <f t="shared" si="0"/>
        <v>0</v>
      </c>
      <c r="F13" s="64">
        <v>371.42153999999999</v>
      </c>
      <c r="G13" s="54">
        <f t="shared" si="3"/>
        <v>154.76</v>
      </c>
      <c r="H13" s="54">
        <v>0</v>
      </c>
      <c r="I13" s="54">
        <f t="shared" si="1"/>
        <v>0</v>
      </c>
      <c r="J13" s="48"/>
    </row>
    <row r="14" spans="1:10" s="11" customFormat="1" ht="30" x14ac:dyDescent="0.25">
      <c r="A14" s="57" t="s">
        <v>112</v>
      </c>
      <c r="B14" s="8">
        <f>SUM(B15:B17)</f>
        <v>1519</v>
      </c>
      <c r="C14" s="8">
        <f>SUM(C15:C17)</f>
        <v>633</v>
      </c>
      <c r="D14" s="54">
        <f>SUM(D15:D17)</f>
        <v>377</v>
      </c>
      <c r="E14" s="54">
        <f t="shared" si="0"/>
        <v>59.557661927330173</v>
      </c>
      <c r="F14" s="64">
        <f>SUM(F15:F17)</f>
        <v>5389.9595099999997</v>
      </c>
      <c r="G14" s="54">
        <f>SUM(G15:G17)</f>
        <v>2245.81</v>
      </c>
      <c r="H14" s="54">
        <f>SUM(H15:H17)</f>
        <v>1380.2182400000002</v>
      </c>
      <c r="I14" s="54">
        <f t="shared" si="1"/>
        <v>61.457480374564199</v>
      </c>
      <c r="J14" s="48"/>
    </row>
    <row r="15" spans="1:10" s="11" customFormat="1" ht="30" x14ac:dyDescent="0.25">
      <c r="A15" s="57" t="s">
        <v>108</v>
      </c>
      <c r="B15" s="54">
        <v>100</v>
      </c>
      <c r="C15" s="8">
        <f t="shared" si="2"/>
        <v>42</v>
      </c>
      <c r="D15" s="54">
        <v>26</v>
      </c>
      <c r="E15" s="54">
        <f t="shared" si="0"/>
        <v>61.904761904761905</v>
      </c>
      <c r="F15" s="64">
        <v>324.38797</v>
      </c>
      <c r="G15" s="54">
        <f t="shared" ref="G15:G18" si="4">ROUND(F15/12*$A$2,2)</f>
        <v>135.16</v>
      </c>
      <c r="H15" s="64">
        <v>81.268810000000002</v>
      </c>
      <c r="I15" s="54">
        <f t="shared" si="1"/>
        <v>60.127855874519085</v>
      </c>
      <c r="J15" s="48"/>
    </row>
    <row r="16" spans="1:10" s="11" customFormat="1" ht="60" x14ac:dyDescent="0.25">
      <c r="A16" s="57" t="s">
        <v>119</v>
      </c>
      <c r="B16" s="54">
        <v>1328</v>
      </c>
      <c r="C16" s="8">
        <f t="shared" si="2"/>
        <v>553</v>
      </c>
      <c r="D16" s="54">
        <v>318</v>
      </c>
      <c r="E16" s="54">
        <f t="shared" si="0"/>
        <v>57.504520795660042</v>
      </c>
      <c r="F16" s="64">
        <v>4929.1243199999999</v>
      </c>
      <c r="G16" s="54">
        <f t="shared" si="4"/>
        <v>2053.8000000000002</v>
      </c>
      <c r="H16" s="54">
        <v>1250.77557</v>
      </c>
      <c r="I16" s="54">
        <f t="shared" si="1"/>
        <v>60.900553607946236</v>
      </c>
      <c r="J16" s="48"/>
    </row>
    <row r="17" spans="1:204" s="11" customFormat="1" ht="45" x14ac:dyDescent="0.25">
      <c r="A17" s="57" t="s">
        <v>109</v>
      </c>
      <c r="B17" s="54">
        <v>91</v>
      </c>
      <c r="C17" s="8">
        <f t="shared" si="2"/>
        <v>38</v>
      </c>
      <c r="D17" s="54">
        <v>33</v>
      </c>
      <c r="E17" s="54">
        <f t="shared" si="0"/>
        <v>86.842105263157904</v>
      </c>
      <c r="F17" s="64">
        <v>136.44721999999999</v>
      </c>
      <c r="G17" s="54">
        <f t="shared" si="4"/>
        <v>56.85</v>
      </c>
      <c r="H17" s="54">
        <v>48.173859999999998</v>
      </c>
      <c r="I17" s="54">
        <f t="shared" si="1"/>
        <v>84.738540017590154</v>
      </c>
      <c r="J17" s="48"/>
    </row>
    <row r="18" spans="1:204" s="11" customFormat="1" ht="38.1" customHeight="1" thickBot="1" x14ac:dyDescent="0.3">
      <c r="A18" s="384" t="s">
        <v>123</v>
      </c>
      <c r="B18" s="98">
        <v>5565</v>
      </c>
      <c r="C18" s="373">
        <f>ROUND(B18/12*$A$2,0)</f>
        <v>2319</v>
      </c>
      <c r="D18" s="98">
        <v>2419</v>
      </c>
      <c r="E18" s="98">
        <f t="shared" si="0"/>
        <v>104.3122035360069</v>
      </c>
      <c r="F18" s="64">
        <v>8285.1720000000005</v>
      </c>
      <c r="G18" s="54">
        <f t="shared" si="4"/>
        <v>3452.16</v>
      </c>
      <c r="H18" s="98">
        <v>3588.2480499999997</v>
      </c>
      <c r="I18" s="98">
        <f>H18/G18*100</f>
        <v>103.94211305385612</v>
      </c>
      <c r="J18" s="48"/>
    </row>
    <row r="19" spans="1:204" s="3" customFormat="1" ht="27" customHeight="1" thickBot="1" x14ac:dyDescent="0.3">
      <c r="A19" s="123" t="s">
        <v>3</v>
      </c>
      <c r="B19" s="159">
        <f>B14+B9</f>
        <v>2746</v>
      </c>
      <c r="C19" s="159">
        <f>C14+C9</f>
        <v>1144</v>
      </c>
      <c r="D19" s="159">
        <f>D14+D9</f>
        <v>800</v>
      </c>
      <c r="E19" s="159">
        <f t="shared" si="0"/>
        <v>69.930069930069934</v>
      </c>
      <c r="F19" s="187">
        <f>F14+F9+F18</f>
        <v>16929.04477</v>
      </c>
      <c r="G19" s="187">
        <f>G14+G9+G18</f>
        <v>7053.76</v>
      </c>
      <c r="H19" s="187">
        <f>H14+H9+H18</f>
        <v>6001.4800300000006</v>
      </c>
      <c r="I19" s="159">
        <f t="shared" si="1"/>
        <v>85.081999245792318</v>
      </c>
      <c r="J19" s="48"/>
      <c r="K19" s="11"/>
    </row>
    <row r="20" spans="1:204" x14ac:dyDescent="0.25">
      <c r="A20" s="382" t="s">
        <v>12</v>
      </c>
      <c r="B20" s="22"/>
      <c r="C20" s="22"/>
      <c r="D20" s="22"/>
      <c r="E20" s="22"/>
      <c r="F20" s="36"/>
      <c r="G20" s="36"/>
      <c r="H20" s="59"/>
      <c r="I20" s="36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</row>
    <row r="21" spans="1:204" s="2" customFormat="1" ht="30" x14ac:dyDescent="0.25">
      <c r="A21" s="129" t="s">
        <v>120</v>
      </c>
      <c r="B21" s="128">
        <f t="shared" ref="B21:F29" si="5">B9</f>
        <v>1227</v>
      </c>
      <c r="C21" s="128">
        <f t="shared" si="5"/>
        <v>511</v>
      </c>
      <c r="D21" s="128">
        <f t="shared" si="5"/>
        <v>423</v>
      </c>
      <c r="E21" s="128">
        <f t="shared" si="5"/>
        <v>82.778864970645799</v>
      </c>
      <c r="F21" s="128">
        <f t="shared" si="5"/>
        <v>3253.9132599999998</v>
      </c>
      <c r="G21" s="128">
        <f t="shared" ref="G21:I26" si="6">G9</f>
        <v>1355.7900000000002</v>
      </c>
      <c r="H21" s="128">
        <f t="shared" si="6"/>
        <v>1033.0137400000001</v>
      </c>
      <c r="I21" s="128">
        <f t="shared" si="6"/>
        <v>76.192754040079947</v>
      </c>
    </row>
    <row r="22" spans="1:204" s="2" customFormat="1" ht="30" x14ac:dyDescent="0.25">
      <c r="A22" s="130" t="s">
        <v>79</v>
      </c>
      <c r="B22" s="128">
        <f t="shared" si="5"/>
        <v>900</v>
      </c>
      <c r="C22" s="128">
        <f t="shared" si="5"/>
        <v>375</v>
      </c>
      <c r="D22" s="128">
        <f t="shared" si="5"/>
        <v>398</v>
      </c>
      <c r="E22" s="128">
        <f t="shared" si="5"/>
        <v>106.13333333333333</v>
      </c>
      <c r="F22" s="128">
        <f t="shared" si="5"/>
        <v>1940.569</v>
      </c>
      <c r="G22" s="128">
        <f t="shared" si="6"/>
        <v>808.57</v>
      </c>
      <c r="H22" s="128">
        <f t="shared" si="6"/>
        <v>827.74083000000007</v>
      </c>
      <c r="I22" s="128">
        <f t="shared" si="6"/>
        <v>102.37095489568003</v>
      </c>
    </row>
    <row r="23" spans="1:204" s="2" customFormat="1" ht="30" x14ac:dyDescent="0.25">
      <c r="A23" s="130" t="s">
        <v>80</v>
      </c>
      <c r="B23" s="128">
        <f t="shared" si="5"/>
        <v>270</v>
      </c>
      <c r="C23" s="128">
        <f t="shared" si="5"/>
        <v>113</v>
      </c>
      <c r="D23" s="128">
        <f t="shared" si="5"/>
        <v>5</v>
      </c>
      <c r="E23" s="128">
        <f t="shared" si="5"/>
        <v>4.4247787610619467</v>
      </c>
      <c r="F23" s="128">
        <f t="shared" si="5"/>
        <v>741.1543200000001</v>
      </c>
      <c r="G23" s="128">
        <f t="shared" si="6"/>
        <v>308.81</v>
      </c>
      <c r="H23" s="128">
        <f t="shared" si="6"/>
        <v>4.5045100000000025</v>
      </c>
      <c r="I23" s="128">
        <f t="shared" si="6"/>
        <v>1.4586671416081094</v>
      </c>
    </row>
    <row r="24" spans="1:204" s="2" customFormat="1" ht="45" x14ac:dyDescent="0.25">
      <c r="A24" s="130" t="s">
        <v>130</v>
      </c>
      <c r="B24" s="128">
        <f t="shared" si="5"/>
        <v>20</v>
      </c>
      <c r="C24" s="128">
        <f t="shared" si="5"/>
        <v>8</v>
      </c>
      <c r="D24" s="128">
        <f t="shared" si="5"/>
        <v>20</v>
      </c>
      <c r="E24" s="128">
        <f t="shared" si="5"/>
        <v>250</v>
      </c>
      <c r="F24" s="128">
        <f t="shared" si="5"/>
        <v>200.76839999999999</v>
      </c>
      <c r="G24" s="128">
        <f t="shared" si="6"/>
        <v>83.65</v>
      </c>
      <c r="H24" s="128">
        <f t="shared" si="6"/>
        <v>200.76839999999999</v>
      </c>
      <c r="I24" s="128">
        <f t="shared" si="6"/>
        <v>240.01004184100415</v>
      </c>
    </row>
    <row r="25" spans="1:204" s="2" customFormat="1" ht="30" x14ac:dyDescent="0.25">
      <c r="A25" s="130" t="s">
        <v>111</v>
      </c>
      <c r="B25" s="128">
        <f t="shared" si="5"/>
        <v>37</v>
      </c>
      <c r="C25" s="128">
        <f t="shared" si="5"/>
        <v>15</v>
      </c>
      <c r="D25" s="128">
        <f t="shared" si="5"/>
        <v>0</v>
      </c>
      <c r="E25" s="128">
        <f t="shared" si="5"/>
        <v>0</v>
      </c>
      <c r="F25" s="128">
        <f t="shared" si="5"/>
        <v>371.42153999999999</v>
      </c>
      <c r="G25" s="128">
        <f t="shared" si="6"/>
        <v>154.76</v>
      </c>
      <c r="H25" s="128">
        <f t="shared" si="6"/>
        <v>0</v>
      </c>
      <c r="I25" s="128">
        <f t="shared" si="6"/>
        <v>0</v>
      </c>
    </row>
    <row r="26" spans="1:204" s="2" customFormat="1" ht="30" x14ac:dyDescent="0.25">
      <c r="A26" s="129" t="s">
        <v>112</v>
      </c>
      <c r="B26" s="128">
        <f t="shared" si="5"/>
        <v>1519</v>
      </c>
      <c r="C26" s="128">
        <f t="shared" si="5"/>
        <v>633</v>
      </c>
      <c r="D26" s="128">
        <f t="shared" si="5"/>
        <v>377</v>
      </c>
      <c r="E26" s="128">
        <f t="shared" si="5"/>
        <v>59.557661927330173</v>
      </c>
      <c r="F26" s="128">
        <f t="shared" si="5"/>
        <v>5389.9595099999997</v>
      </c>
      <c r="G26" s="128">
        <f t="shared" si="6"/>
        <v>2245.81</v>
      </c>
      <c r="H26" s="128">
        <f t="shared" si="6"/>
        <v>1380.2182400000002</v>
      </c>
      <c r="I26" s="128">
        <f t="shared" si="6"/>
        <v>61.457480374564199</v>
      </c>
    </row>
    <row r="27" spans="1:204" s="2" customFormat="1" ht="30" x14ac:dyDescent="0.25">
      <c r="A27" s="130" t="s">
        <v>108</v>
      </c>
      <c r="B27" s="128">
        <f t="shared" si="5"/>
        <v>100</v>
      </c>
      <c r="C27" s="128">
        <f t="shared" si="5"/>
        <v>42</v>
      </c>
      <c r="D27" s="128">
        <f t="shared" si="5"/>
        <v>26</v>
      </c>
      <c r="E27" s="128">
        <f t="shared" si="5"/>
        <v>61.904761904761905</v>
      </c>
      <c r="F27" s="128">
        <f t="shared" si="5"/>
        <v>324.38797</v>
      </c>
      <c r="G27" s="128">
        <f t="shared" ref="G27:I29" si="7">G15</f>
        <v>135.16</v>
      </c>
      <c r="H27" s="128">
        <f t="shared" si="7"/>
        <v>81.268810000000002</v>
      </c>
      <c r="I27" s="128">
        <f t="shared" si="7"/>
        <v>60.127855874519085</v>
      </c>
    </row>
    <row r="28" spans="1:204" s="2" customFormat="1" ht="62.25" customHeight="1" x14ac:dyDescent="0.25">
      <c r="A28" s="130" t="s">
        <v>81</v>
      </c>
      <c r="B28" s="128">
        <f t="shared" si="5"/>
        <v>1328</v>
      </c>
      <c r="C28" s="128">
        <f t="shared" si="5"/>
        <v>553</v>
      </c>
      <c r="D28" s="128">
        <f t="shared" si="5"/>
        <v>318</v>
      </c>
      <c r="E28" s="128">
        <f t="shared" si="5"/>
        <v>57.504520795660042</v>
      </c>
      <c r="F28" s="128">
        <f t="shared" si="5"/>
        <v>4929.1243199999999</v>
      </c>
      <c r="G28" s="128">
        <f t="shared" si="7"/>
        <v>2053.8000000000002</v>
      </c>
      <c r="H28" s="128">
        <f t="shared" si="7"/>
        <v>1250.77557</v>
      </c>
      <c r="I28" s="128">
        <f t="shared" si="7"/>
        <v>60.900553607946236</v>
      </c>
    </row>
    <row r="29" spans="1:204" s="2" customFormat="1" ht="45" x14ac:dyDescent="0.25">
      <c r="A29" s="130" t="s">
        <v>109</v>
      </c>
      <c r="B29" s="128">
        <f t="shared" si="5"/>
        <v>91</v>
      </c>
      <c r="C29" s="128">
        <f t="shared" si="5"/>
        <v>38</v>
      </c>
      <c r="D29" s="128">
        <f t="shared" si="5"/>
        <v>33</v>
      </c>
      <c r="E29" s="128">
        <f t="shared" si="5"/>
        <v>86.842105263157904</v>
      </c>
      <c r="F29" s="128">
        <f t="shared" si="5"/>
        <v>136.44721999999999</v>
      </c>
      <c r="G29" s="128">
        <f t="shared" si="7"/>
        <v>56.85</v>
      </c>
      <c r="H29" s="128">
        <f t="shared" si="7"/>
        <v>48.173859999999998</v>
      </c>
      <c r="I29" s="128">
        <f t="shared" si="7"/>
        <v>84.738540017590154</v>
      </c>
    </row>
    <row r="30" spans="1:204" s="2" customFormat="1" ht="38.1" customHeight="1" x14ac:dyDescent="0.25">
      <c r="A30" s="152" t="s">
        <v>123</v>
      </c>
      <c r="B30" s="128">
        <f t="shared" ref="B30:E30" si="8">B18</f>
        <v>5565</v>
      </c>
      <c r="C30" s="128">
        <f t="shared" si="8"/>
        <v>2319</v>
      </c>
      <c r="D30" s="128">
        <f t="shared" si="8"/>
        <v>2419</v>
      </c>
      <c r="E30" s="128">
        <f t="shared" si="8"/>
        <v>104.3122035360069</v>
      </c>
      <c r="F30" s="128">
        <f t="shared" ref="F30" si="9">F18</f>
        <v>8285.1720000000005</v>
      </c>
      <c r="G30" s="128">
        <f t="shared" ref="G30:I30" si="10">G18</f>
        <v>3452.16</v>
      </c>
      <c r="H30" s="128">
        <f t="shared" si="10"/>
        <v>3588.2480499999997</v>
      </c>
      <c r="I30" s="128">
        <f t="shared" si="10"/>
        <v>103.94211305385612</v>
      </c>
    </row>
    <row r="31" spans="1:204" ht="15.75" thickBot="1" x14ac:dyDescent="0.3">
      <c r="A31" s="325" t="s">
        <v>4</v>
      </c>
      <c r="B31" s="326"/>
      <c r="C31" s="326"/>
      <c r="D31" s="326"/>
      <c r="E31" s="326"/>
      <c r="F31" s="326">
        <f>F19</f>
        <v>16929.04477</v>
      </c>
      <c r="G31" s="326">
        <f>G19</f>
        <v>7053.76</v>
      </c>
      <c r="H31" s="326">
        <f>H19</f>
        <v>6001.4800300000006</v>
      </c>
      <c r="I31" s="326">
        <f>I19</f>
        <v>85.081999245792318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</row>
    <row r="32" spans="1:204" ht="17.25" customHeight="1" x14ac:dyDescent="0.25"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2"/>
  <sheetViews>
    <sheetView showZeros="0" zoomScaleNormal="100" zoomScaleSheetLayoutView="100" workbookViewId="0">
      <pane xSplit="1" ySplit="6" topLeftCell="B250" activePane="bottomRight" state="frozen"/>
      <selection pane="topRight" activeCell="B1" sqref="B1"/>
      <selection pane="bottomLeft" activeCell="A7" sqref="A7"/>
      <selection pane="bottomRight" activeCell="C255" sqref="C255"/>
    </sheetView>
  </sheetViews>
  <sheetFormatPr defaultColWidth="9.140625" defaultRowHeight="15" x14ac:dyDescent="0.25"/>
  <cols>
    <col min="1" max="1" width="41.140625" style="17" customWidth="1"/>
    <col min="2" max="2" width="13" style="26" customWidth="1"/>
    <col min="3" max="3" width="14.42578125" style="26" customWidth="1"/>
    <col min="4" max="4" width="13.42578125" style="26" customWidth="1"/>
    <col min="5" max="5" width="9" style="101" customWidth="1"/>
    <col min="6" max="6" width="12.28515625" style="17" customWidth="1"/>
    <col min="7" max="7" width="13.42578125" style="17" customWidth="1"/>
    <col min="8" max="8" width="13.5703125" style="17" customWidth="1"/>
    <col min="9" max="9" width="11.28515625" style="17" customWidth="1"/>
    <col min="10" max="10" width="15.7109375" style="17" customWidth="1"/>
    <col min="11" max="11" width="13.28515625" style="380" customWidth="1"/>
    <col min="12" max="12" width="18.28515625" style="380" customWidth="1"/>
    <col min="13" max="14" width="13.42578125" style="17" bestFit="1" customWidth="1"/>
    <col min="15" max="16384" width="9.140625" style="17"/>
  </cols>
  <sheetData>
    <row r="1" spans="1:185" ht="59.25" customHeight="1" x14ac:dyDescent="0.25">
      <c r="A1" s="392" t="s">
        <v>137</v>
      </c>
      <c r="B1" s="394"/>
      <c r="C1" s="394"/>
      <c r="D1" s="394"/>
      <c r="E1" s="394"/>
      <c r="F1" s="394"/>
      <c r="G1" s="394"/>
      <c r="H1" s="394"/>
      <c r="I1" s="394"/>
    </row>
    <row r="2" spans="1:185" ht="16.5" customHeight="1" thickBot="1" x14ac:dyDescent="0.3">
      <c r="A2" s="392"/>
      <c r="B2" s="393"/>
      <c r="C2" s="393"/>
      <c r="D2" s="393"/>
      <c r="E2" s="393"/>
      <c r="F2" s="393"/>
      <c r="G2" s="393"/>
      <c r="H2" s="393"/>
      <c r="I2" s="393"/>
    </row>
    <row r="3" spans="1:185" ht="15" hidden="1" customHeight="1" thickBot="1" x14ac:dyDescent="0.3">
      <c r="A3" s="341">
        <v>5</v>
      </c>
    </row>
    <row r="4" spans="1:185" ht="30" customHeight="1" thickBot="1" x14ac:dyDescent="0.3">
      <c r="A4" s="12" t="s">
        <v>0</v>
      </c>
      <c r="B4" s="389" t="s">
        <v>102</v>
      </c>
      <c r="C4" s="390"/>
      <c r="D4" s="390"/>
      <c r="E4" s="391"/>
      <c r="F4" s="389" t="s">
        <v>101</v>
      </c>
      <c r="G4" s="390"/>
      <c r="H4" s="390"/>
      <c r="I4" s="391"/>
    </row>
    <row r="5" spans="1:185" ht="60.75" thickBot="1" x14ac:dyDescent="0.3">
      <c r="A5" s="13"/>
      <c r="B5" s="148" t="s">
        <v>128</v>
      </c>
      <c r="C5" s="148" t="s">
        <v>138</v>
      </c>
      <c r="D5" s="148" t="s">
        <v>103</v>
      </c>
      <c r="E5" s="38" t="s">
        <v>35</v>
      </c>
      <c r="F5" s="148" t="s">
        <v>129</v>
      </c>
      <c r="G5" s="148" t="s">
        <v>135</v>
      </c>
      <c r="H5" s="149" t="s">
        <v>104</v>
      </c>
      <c r="I5" s="38" t="s">
        <v>35</v>
      </c>
    </row>
    <row r="6" spans="1:185" s="5" customFormat="1" ht="15.75" thickBot="1" x14ac:dyDescent="0.3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111"/>
      <c r="K6" s="380"/>
      <c r="L6" s="381"/>
    </row>
    <row r="7" spans="1:185" s="18" customFormat="1" ht="15" customHeight="1" x14ac:dyDescent="0.25">
      <c r="A7" s="14" t="s">
        <v>16</v>
      </c>
      <c r="B7" s="16"/>
      <c r="C7" s="16"/>
      <c r="D7" s="16"/>
      <c r="E7" s="102"/>
      <c r="F7" s="27"/>
      <c r="G7" s="27"/>
      <c r="H7" s="27"/>
      <c r="I7" s="27"/>
      <c r="K7" s="380"/>
      <c r="L7" s="381"/>
    </row>
    <row r="8" spans="1:185" ht="30" x14ac:dyDescent="0.25">
      <c r="A8" s="225" t="s">
        <v>120</v>
      </c>
      <c r="B8" s="226">
        <f>'1 уровень'!C241</f>
        <v>136098</v>
      </c>
      <c r="C8" s="226">
        <f>'1 уровень'!D241</f>
        <v>56713</v>
      </c>
      <c r="D8" s="226">
        <f>'1 уровень'!E241</f>
        <v>56002</v>
      </c>
      <c r="E8" s="227">
        <f>'1 уровень'!F241</f>
        <v>98.746319186077272</v>
      </c>
      <c r="F8" s="228">
        <f>'1 уровень'!G241</f>
        <v>194960.87882999997</v>
      </c>
      <c r="G8" s="228">
        <f>'1 уровень'!H241</f>
        <v>81233.75</v>
      </c>
      <c r="H8" s="228">
        <f>'1 уровень'!I241</f>
        <v>80361.527799999996</v>
      </c>
      <c r="I8" s="228">
        <f>'1 уровень'!J241</f>
        <v>98.926281010048157</v>
      </c>
      <c r="J8" s="46"/>
      <c r="L8" s="381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</row>
    <row r="9" spans="1:185" ht="30" x14ac:dyDescent="0.25">
      <c r="A9" s="57" t="s">
        <v>79</v>
      </c>
      <c r="B9" s="21">
        <f>'1 уровень'!C242</f>
        <v>103458</v>
      </c>
      <c r="C9" s="21">
        <f>'1 уровень'!D242</f>
        <v>43109</v>
      </c>
      <c r="D9" s="21">
        <f>'1 уровень'!E242</f>
        <v>42558</v>
      </c>
      <c r="E9" s="104">
        <f>'1 уровень'!F242</f>
        <v>98.721844626412121</v>
      </c>
      <c r="F9" s="28">
        <f>'1 уровень'!G242</f>
        <v>138915.41019999998</v>
      </c>
      <c r="G9" s="28">
        <f>'1 уровень'!H242</f>
        <v>57881.43</v>
      </c>
      <c r="H9" s="28">
        <f>'1 уровень'!I242</f>
        <v>53912.653250000003</v>
      </c>
      <c r="I9" s="28">
        <f>'1 уровень'!J242</f>
        <v>93.143264169527257</v>
      </c>
      <c r="J9" s="46"/>
      <c r="L9" s="381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</row>
    <row r="10" spans="1:185" ht="30" x14ac:dyDescent="0.25">
      <c r="A10" s="57" t="s">
        <v>80</v>
      </c>
      <c r="B10" s="21">
        <f>'1 уровень'!C243</f>
        <v>31037</v>
      </c>
      <c r="C10" s="21">
        <f>'1 уровень'!D243</f>
        <v>12934</v>
      </c>
      <c r="D10" s="21">
        <f>'1 уровень'!E243</f>
        <v>11908</v>
      </c>
      <c r="E10" s="104">
        <f>'1 уровень'!F243</f>
        <v>92.067419205195606</v>
      </c>
      <c r="F10" s="28">
        <f>'1 уровень'!G243</f>
        <v>47279.62343</v>
      </c>
      <c r="G10" s="28">
        <f>'1 уровень'!H243</f>
        <v>19699.839999999997</v>
      </c>
      <c r="H10" s="28">
        <f>'1 уровень'!I243</f>
        <v>18077.301700000004</v>
      </c>
      <c r="I10" s="28">
        <f>'1 уровень'!J243</f>
        <v>91.76369808079663</v>
      </c>
      <c r="J10" s="46"/>
      <c r="L10" s="381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</row>
    <row r="11" spans="1:185" ht="45" x14ac:dyDescent="0.25">
      <c r="A11" s="57" t="s">
        <v>110</v>
      </c>
      <c r="B11" s="21">
        <f>'1 уровень'!C244</f>
        <v>846</v>
      </c>
      <c r="C11" s="21">
        <f>'1 уровень'!D244</f>
        <v>354</v>
      </c>
      <c r="D11" s="21">
        <f>'1 уровень'!E244</f>
        <v>858</v>
      </c>
      <c r="E11" s="104">
        <f>'1 уровень'!F244</f>
        <v>242.37288135593224</v>
      </c>
      <c r="F11" s="28">
        <f>'1 уровень'!G244</f>
        <v>4626.2663999999995</v>
      </c>
      <c r="G11" s="28">
        <f>'1 уровень'!H244</f>
        <v>1927.6399999999999</v>
      </c>
      <c r="H11" s="28">
        <f>'1 уровень'!I244</f>
        <v>4691.8872000000001</v>
      </c>
      <c r="I11" s="28">
        <f>'1 уровень'!J244</f>
        <v>243.40059347181011</v>
      </c>
      <c r="J11" s="46"/>
      <c r="L11" s="381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</row>
    <row r="12" spans="1:185" ht="30" x14ac:dyDescent="0.25">
      <c r="A12" s="57" t="s">
        <v>111</v>
      </c>
      <c r="B12" s="21">
        <f>'1 уровень'!C245</f>
        <v>757</v>
      </c>
      <c r="C12" s="21">
        <f>'1 уровень'!D245</f>
        <v>316</v>
      </c>
      <c r="D12" s="21">
        <f>'1 уровень'!E245</f>
        <v>678</v>
      </c>
      <c r="E12" s="104">
        <f>'1 уровень'!F245</f>
        <v>214.55696202531644</v>
      </c>
      <c r="F12" s="28">
        <f>'1 уровень'!G245</f>
        <v>4139.5787999999993</v>
      </c>
      <c r="G12" s="28">
        <f>'1 уровень'!H245</f>
        <v>1724.8399999999997</v>
      </c>
      <c r="H12" s="28">
        <f>'1 уровень'!I245</f>
        <v>3679.6856499999994</v>
      </c>
      <c r="I12" s="28">
        <f>'1 уровень'!J245</f>
        <v>213.3348977296445</v>
      </c>
      <c r="J12" s="46"/>
      <c r="L12" s="381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</row>
    <row r="13" spans="1:185" ht="30" x14ac:dyDescent="0.25">
      <c r="A13" s="229" t="s">
        <v>112</v>
      </c>
      <c r="B13" s="226">
        <f>'1 уровень'!C246</f>
        <v>150239</v>
      </c>
      <c r="C13" s="226">
        <f>'1 уровень'!D246</f>
        <v>62602</v>
      </c>
      <c r="D13" s="226">
        <f>'1 уровень'!E246</f>
        <v>62941</v>
      </c>
      <c r="E13" s="227">
        <f>'1 уровень'!F246</f>
        <v>100.54151624548737</v>
      </c>
      <c r="F13" s="228">
        <f>'1 уровень'!G246</f>
        <v>299908.21309999999</v>
      </c>
      <c r="G13" s="228">
        <f>'1 уровень'!H246</f>
        <v>124961.78</v>
      </c>
      <c r="H13" s="228">
        <f>'1 уровень'!I246</f>
        <v>118234.78533</v>
      </c>
      <c r="I13" s="228">
        <f>'1 уровень'!J246</f>
        <v>94.616758284012931</v>
      </c>
      <c r="J13" s="46"/>
      <c r="L13" s="381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</row>
    <row r="14" spans="1:185" ht="30" x14ac:dyDescent="0.25">
      <c r="A14" s="57" t="s">
        <v>108</v>
      </c>
      <c r="B14" s="21">
        <f>'1 уровень'!C247</f>
        <v>20598</v>
      </c>
      <c r="C14" s="21">
        <f>'1 уровень'!D247</f>
        <v>8583</v>
      </c>
      <c r="D14" s="21">
        <f>'1 уровень'!E247</f>
        <v>8323</v>
      </c>
      <c r="E14" s="104">
        <f>'1 уровень'!F247</f>
        <v>96.970756145869743</v>
      </c>
      <c r="F14" s="28">
        <f>'1 уровень'!G247</f>
        <v>36398.725800000007</v>
      </c>
      <c r="G14" s="28">
        <f>'1 уровень'!H247</f>
        <v>15166.15</v>
      </c>
      <c r="H14" s="28">
        <f>'1 уровень'!I247</f>
        <v>14646.40143</v>
      </c>
      <c r="I14" s="28">
        <f>'1 уровень'!J247</f>
        <v>96.572969606656926</v>
      </c>
      <c r="J14" s="46"/>
      <c r="L14" s="381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</row>
    <row r="15" spans="1:185" ht="60" x14ac:dyDescent="0.25">
      <c r="A15" s="57" t="s">
        <v>81</v>
      </c>
      <c r="B15" s="21">
        <f>'1 уровень'!C248</f>
        <v>105307</v>
      </c>
      <c r="C15" s="21">
        <f>'1 уровень'!D248</f>
        <v>43878</v>
      </c>
      <c r="D15" s="21">
        <f>'1 уровень'!E248</f>
        <v>42182</v>
      </c>
      <c r="E15" s="104">
        <f>'1 уровень'!F248</f>
        <v>96.134737225944662</v>
      </c>
      <c r="F15" s="28">
        <f>'1 уровень'!G248</f>
        <v>243133.47609999997</v>
      </c>
      <c r="G15" s="28">
        <f>'1 уровень'!H248</f>
        <v>101305.62000000002</v>
      </c>
      <c r="H15" s="28">
        <f>'1 уровень'!I248</f>
        <v>91927.009060000011</v>
      </c>
      <c r="I15" s="28">
        <f>'1 уровень'!J248</f>
        <v>90.742259965439217</v>
      </c>
      <c r="J15" s="46"/>
      <c r="L15" s="381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</row>
    <row r="16" spans="1:185" ht="45" x14ac:dyDescent="0.25">
      <c r="A16" s="57" t="s">
        <v>109</v>
      </c>
      <c r="B16" s="21">
        <f>'1 уровень'!C249</f>
        <v>24334</v>
      </c>
      <c r="C16" s="21">
        <f>'1 уровень'!D249</f>
        <v>10141</v>
      </c>
      <c r="D16" s="21">
        <f>'1 уровень'!E249</f>
        <v>12436</v>
      </c>
      <c r="E16" s="104">
        <f>'1 уровень'!F249</f>
        <v>122.63090425007394</v>
      </c>
      <c r="F16" s="28">
        <f>'1 уровень'!G249</f>
        <v>20376.011200000001</v>
      </c>
      <c r="G16" s="28">
        <f>'1 уровень'!H249</f>
        <v>8490.0099999999984</v>
      </c>
      <c r="H16" s="28">
        <f>'1 уровень'!I249</f>
        <v>11661.37484</v>
      </c>
      <c r="I16" s="28">
        <f>'1 уровень'!J249</f>
        <v>137.3540766147508</v>
      </c>
      <c r="J16" s="46"/>
      <c r="L16" s="381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</row>
    <row r="17" spans="1:185" ht="30" x14ac:dyDescent="0.25">
      <c r="A17" s="351" t="s">
        <v>123</v>
      </c>
      <c r="B17" s="231">
        <f>'1 уровень'!C250</f>
        <v>295944.8</v>
      </c>
      <c r="C17" s="231">
        <f>'1 уровень'!D250</f>
        <v>123311</v>
      </c>
      <c r="D17" s="21">
        <f>'1 уровень'!E250</f>
        <v>124770</v>
      </c>
      <c r="E17" s="232">
        <f>'1 уровень'!F250</f>
        <v>101.18318722579494</v>
      </c>
      <c r="F17" s="28">
        <f>'1 уровень'!G250</f>
        <v>240017.31389999998</v>
      </c>
      <c r="G17" s="258">
        <f>'1 уровень'!H250</f>
        <v>100007.22999999998</v>
      </c>
      <c r="H17" s="258">
        <f>'1 уровень'!I250</f>
        <v>100813.86864000002</v>
      </c>
      <c r="I17" s="258">
        <f>'1 уровень'!J250</f>
        <v>100.80658032424259</v>
      </c>
      <c r="J17" s="46"/>
      <c r="K17" s="46"/>
      <c r="L17" s="46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</row>
    <row r="18" spans="1:185" ht="30" x14ac:dyDescent="0.25">
      <c r="A18" s="57" t="s">
        <v>124</v>
      </c>
      <c r="B18" s="231">
        <f>'1 уровень'!C251</f>
        <v>25864.400000000001</v>
      </c>
      <c r="C18" s="231">
        <f>'1 уровень'!D251</f>
        <v>10777</v>
      </c>
      <c r="D18" s="21">
        <f>'1 уровень'!E251</f>
        <v>10544</v>
      </c>
      <c r="E18" s="232">
        <f>'1 уровень'!F251</f>
        <v>97.837988308434632</v>
      </c>
      <c r="F18" s="28">
        <f>'1 уровень'!G251</f>
        <v>20976.617719373913</v>
      </c>
      <c r="G18" s="258">
        <f>'1 уровень'!H251</f>
        <v>8740.26</v>
      </c>
      <c r="H18" s="258">
        <f>'1 уровень'!I251</f>
        <v>8532.1251999999986</v>
      </c>
      <c r="I18" s="258">
        <f>'1 уровень'!J251</f>
        <v>97.618665806280347</v>
      </c>
      <c r="J18" s="46"/>
      <c r="K18" s="46"/>
      <c r="L18" s="46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</row>
    <row r="19" spans="1:185" ht="24" customHeight="1" thickBot="1" x14ac:dyDescent="0.3">
      <c r="A19" s="351" t="s">
        <v>125</v>
      </c>
      <c r="B19" s="231">
        <f>'1 уровень'!C252</f>
        <v>9471.6</v>
      </c>
      <c r="C19" s="231">
        <f>'1 уровень'!D252</f>
        <v>3947</v>
      </c>
      <c r="D19" s="21">
        <f>'1 уровень'!E252</f>
        <v>5000</v>
      </c>
      <c r="E19" s="232">
        <f>'1 уровень'!F252</f>
        <v>126.67848999239931</v>
      </c>
      <c r="F19" s="28">
        <f>'1 уровень'!G252</f>
        <v>7681.7064666208862</v>
      </c>
      <c r="G19" s="258">
        <f>'1 уровень'!H252</f>
        <v>3200.7200000000003</v>
      </c>
      <c r="H19" s="258">
        <f>'1 уровень'!I252</f>
        <v>4048.4460799999997</v>
      </c>
      <c r="I19" s="258">
        <f>'1 уровень'!J252</f>
        <v>126.48548076682744</v>
      </c>
      <c r="J19" s="46"/>
      <c r="K19" s="46"/>
      <c r="L19" s="46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</row>
    <row r="20" spans="1:185" ht="15.75" thickBot="1" x14ac:dyDescent="0.3">
      <c r="A20" s="235" t="s">
        <v>106</v>
      </c>
      <c r="B20" s="236">
        <f>'1 уровень'!C253</f>
        <v>0</v>
      </c>
      <c r="C20" s="236">
        <f>'1 уровень'!D253</f>
        <v>0</v>
      </c>
      <c r="D20" s="236">
        <f>'1 уровень'!E253</f>
        <v>0</v>
      </c>
      <c r="E20" s="237">
        <f>'1 уровень'!F253</f>
        <v>0</v>
      </c>
      <c r="F20" s="263">
        <f>'1 уровень'!G253</f>
        <v>734886.40583000006</v>
      </c>
      <c r="G20" s="263">
        <f>'1 уровень'!H253</f>
        <v>306202.75999999995</v>
      </c>
      <c r="H20" s="263">
        <f>'1 уровень'!I253</f>
        <v>299410.18177000002</v>
      </c>
      <c r="I20" s="263">
        <f>'1 уровень'!J253</f>
        <v>97.781673088119803</v>
      </c>
      <c r="J20" s="46"/>
      <c r="L20" s="381"/>
    </row>
    <row r="21" spans="1:185" ht="15.75" customHeight="1" thickBot="1" x14ac:dyDescent="0.3">
      <c r="A21" s="259"/>
      <c r="B21" s="260"/>
      <c r="C21" s="260"/>
      <c r="D21" s="260"/>
      <c r="E21" s="261"/>
      <c r="F21" s="262"/>
      <c r="G21" s="262"/>
      <c r="H21" s="262"/>
      <c r="I21" s="262"/>
      <c r="J21" s="46"/>
      <c r="L21" s="381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</row>
    <row r="22" spans="1:185" s="18" customFormat="1" ht="15" customHeight="1" x14ac:dyDescent="0.25">
      <c r="A22" s="14" t="s">
        <v>17</v>
      </c>
      <c r="B22" s="29"/>
      <c r="C22" s="29"/>
      <c r="D22" s="29"/>
      <c r="E22" s="105"/>
      <c r="F22" s="30"/>
      <c r="G22" s="30"/>
      <c r="H22" s="30"/>
      <c r="I22" s="30"/>
      <c r="J22" s="46"/>
      <c r="K22" s="380"/>
      <c r="L22" s="381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</row>
    <row r="23" spans="1:185" ht="30" x14ac:dyDescent="0.25">
      <c r="A23" s="225" t="s">
        <v>120</v>
      </c>
      <c r="B23" s="226">
        <f>'2 уровень'!C101</f>
        <v>62921</v>
      </c>
      <c r="C23" s="226">
        <f>'2 уровень'!D101</f>
        <v>26217</v>
      </c>
      <c r="D23" s="226">
        <f>'2 уровень'!E101</f>
        <v>28501</v>
      </c>
      <c r="E23" s="227">
        <f>'2 уровень'!F101</f>
        <v>108.7119044894534</v>
      </c>
      <c r="F23" s="230">
        <f>'2 уровень'!G101</f>
        <v>97857.466299999985</v>
      </c>
      <c r="G23" s="230">
        <f>'2 уровень'!H101</f>
        <v>40773.93</v>
      </c>
      <c r="H23" s="230">
        <f>'2 уровень'!I101</f>
        <v>48148.338400000001</v>
      </c>
      <c r="I23" s="230">
        <f>'2 уровень'!J101</f>
        <v>118.08608686972289</v>
      </c>
      <c r="J23" s="46"/>
      <c r="L23" s="381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</row>
    <row r="24" spans="1:185" ht="30" x14ac:dyDescent="0.25">
      <c r="A24" s="57" t="s">
        <v>79</v>
      </c>
      <c r="B24" s="21">
        <f>'2 уровень'!C102</f>
        <v>47780</v>
      </c>
      <c r="C24" s="21">
        <f>'2 уровень'!D102</f>
        <v>19908</v>
      </c>
      <c r="D24" s="21">
        <f>'2 уровень'!E102</f>
        <v>22799</v>
      </c>
      <c r="E24" s="104">
        <f>'2 уровень'!F102</f>
        <v>114.52180028129395</v>
      </c>
      <c r="F24" s="31">
        <f>'2 уровень'!G102</f>
        <v>66832.42839999999</v>
      </c>
      <c r="G24" s="31">
        <f>'2 уровень'!H102</f>
        <v>27846.84</v>
      </c>
      <c r="H24" s="31">
        <f>'2 уровень'!I102</f>
        <v>33887.64329</v>
      </c>
      <c r="I24" s="31">
        <f>'2 уровень'!J102</f>
        <v>121.6929579442407</v>
      </c>
      <c r="J24" s="46"/>
      <c r="L24" s="381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</row>
    <row r="25" spans="1:185" ht="30" x14ac:dyDescent="0.25">
      <c r="A25" s="57" t="s">
        <v>80</v>
      </c>
      <c r="B25" s="21">
        <f>'2 уровень'!C103</f>
        <v>14336</v>
      </c>
      <c r="C25" s="21">
        <f>'2 уровень'!D103</f>
        <v>5974</v>
      </c>
      <c r="D25" s="21">
        <f>'2 уровень'!E103</f>
        <v>4832</v>
      </c>
      <c r="E25" s="104">
        <f>'2 уровень'!F103</f>
        <v>80.883829929695352</v>
      </c>
      <c r="F25" s="31">
        <f>'2 уровень'!G103</f>
        <v>25742.563499999997</v>
      </c>
      <c r="G25" s="31">
        <f>'2 уровень'!H103</f>
        <v>10726.06</v>
      </c>
      <c r="H25" s="31">
        <f>'2 уровень'!I103</f>
        <v>8577.934510000001</v>
      </c>
      <c r="I25" s="31">
        <f>'2 уровень'!J103</f>
        <v>79.97283727668875</v>
      </c>
      <c r="J25" s="46"/>
      <c r="L25" s="381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</row>
    <row r="26" spans="1:185" ht="45" x14ac:dyDescent="0.25">
      <c r="A26" s="57" t="s">
        <v>99</v>
      </c>
      <c r="B26" s="21">
        <f>'2 уровень'!C104</f>
        <v>185</v>
      </c>
      <c r="C26" s="21">
        <f>'2 уровень'!D104</f>
        <v>77</v>
      </c>
      <c r="D26" s="21">
        <f>'2 уровень'!E104</f>
        <v>164</v>
      </c>
      <c r="E26" s="104">
        <f>'2 уровень'!F104</f>
        <v>212.98701298701297</v>
      </c>
      <c r="F26" s="31">
        <f>'2 уровень'!G104</f>
        <v>1213.9848000000002</v>
      </c>
      <c r="G26" s="31">
        <f>'2 уровень'!H104</f>
        <v>505.82000000000005</v>
      </c>
      <c r="H26" s="31">
        <f>'2 уровень'!I104</f>
        <v>1076.1811200000002</v>
      </c>
      <c r="I26" s="31">
        <f>'2 уровень'!J104</f>
        <v>212.75970107943542</v>
      </c>
      <c r="J26" s="46"/>
      <c r="L26" s="381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</row>
    <row r="27" spans="1:185" ht="30" x14ac:dyDescent="0.25">
      <c r="A27" s="57" t="s">
        <v>100</v>
      </c>
      <c r="B27" s="21">
        <f>'2 уровень'!C105</f>
        <v>620</v>
      </c>
      <c r="C27" s="21">
        <f>'2 уровень'!D105</f>
        <v>258</v>
      </c>
      <c r="D27" s="21">
        <f>'2 уровень'!E105</f>
        <v>706</v>
      </c>
      <c r="E27" s="104">
        <f>'2 уровень'!F105</f>
        <v>273.6434108527132</v>
      </c>
      <c r="F27" s="31">
        <f>'2 уровень'!G105</f>
        <v>4068.4896000000003</v>
      </c>
      <c r="G27" s="31">
        <f>'2 уровень'!H105</f>
        <v>1695.21</v>
      </c>
      <c r="H27" s="31">
        <f>'2 уровень'!I105</f>
        <v>4606.5794800000003</v>
      </c>
      <c r="I27" s="31">
        <f>'2 уровень'!J105</f>
        <v>271.74093357165191</v>
      </c>
      <c r="J27" s="46"/>
      <c r="L27" s="381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</row>
    <row r="28" spans="1:185" ht="30" x14ac:dyDescent="0.25">
      <c r="A28" s="229" t="s">
        <v>112</v>
      </c>
      <c r="B28" s="226">
        <f>'2 уровень'!C106</f>
        <v>82327</v>
      </c>
      <c r="C28" s="226">
        <f>'2 уровень'!D106</f>
        <v>34304</v>
      </c>
      <c r="D28" s="226">
        <f>'2 уровень'!E106</f>
        <v>35134</v>
      </c>
      <c r="E28" s="227">
        <f>'2 уровень'!F106</f>
        <v>102.41954291044777</v>
      </c>
      <c r="F28" s="230">
        <f>'2 уровень'!G106</f>
        <v>173135.19366999998</v>
      </c>
      <c r="G28" s="230">
        <f>'2 уровень'!H106</f>
        <v>72139.66</v>
      </c>
      <c r="H28" s="230">
        <f>'2 уровень'!I106</f>
        <v>72219.369779999994</v>
      </c>
      <c r="I28" s="230">
        <f>'2 уровень'!J106</f>
        <v>100.11049370069112</v>
      </c>
      <c r="J28" s="46"/>
      <c r="L28" s="381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</row>
    <row r="29" spans="1:185" ht="30" x14ac:dyDescent="0.25">
      <c r="A29" s="57" t="s">
        <v>108</v>
      </c>
      <c r="B29" s="21">
        <f>'2 уровень'!C107</f>
        <v>11370</v>
      </c>
      <c r="C29" s="21">
        <f>'2 уровень'!D107</f>
        <v>4738</v>
      </c>
      <c r="D29" s="21">
        <f>'2 уровень'!E107</f>
        <v>5265</v>
      </c>
      <c r="E29" s="104">
        <f>'2 уровень'!F107</f>
        <v>111.12283663993246</v>
      </c>
      <c r="F29" s="31">
        <f>'2 уровень'!G107</f>
        <v>24110.198700000004</v>
      </c>
      <c r="G29" s="31">
        <f>'2 уровень'!H107</f>
        <v>10045.91</v>
      </c>
      <c r="H29" s="31">
        <f>'2 уровень'!I107</f>
        <v>11061.477779999999</v>
      </c>
      <c r="I29" s="31">
        <f>'2 уровень'!J107</f>
        <v>110.10926615906374</v>
      </c>
      <c r="J29" s="46"/>
      <c r="L29" s="381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</row>
    <row r="30" spans="1:185" ht="60" x14ac:dyDescent="0.25">
      <c r="A30" s="57" t="s">
        <v>81</v>
      </c>
      <c r="B30" s="21">
        <f>'2 уровень'!C108</f>
        <v>46885</v>
      </c>
      <c r="C30" s="21">
        <f>'2 уровень'!D108</f>
        <v>19536</v>
      </c>
      <c r="D30" s="21">
        <f>'2 уровень'!E108</f>
        <v>20988</v>
      </c>
      <c r="E30" s="104">
        <f>'2 уровень'!F108</f>
        <v>107.43243243243244</v>
      </c>
      <c r="F30" s="31">
        <f>'2 уровень'!G108</f>
        <v>125430.58345000001</v>
      </c>
      <c r="G30" s="31">
        <f>'2 уровень'!H108</f>
        <v>52262.74</v>
      </c>
      <c r="H30" s="31">
        <f>'2 уровень'!I108</f>
        <v>51480.298699999999</v>
      </c>
      <c r="I30" s="31">
        <f>'2 уровень'!J108</f>
        <v>98.502869730901978</v>
      </c>
      <c r="J30" s="46"/>
      <c r="L30" s="381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</row>
    <row r="31" spans="1:185" ht="45" x14ac:dyDescent="0.25">
      <c r="A31" s="57" t="s">
        <v>109</v>
      </c>
      <c r="B31" s="21">
        <f>'2 уровень'!C109</f>
        <v>24072</v>
      </c>
      <c r="C31" s="21">
        <f>'2 уровень'!D109</f>
        <v>10030</v>
      </c>
      <c r="D31" s="21">
        <f>'2 уровень'!E109</f>
        <v>8881</v>
      </c>
      <c r="E31" s="104">
        <f>'2 уровень'!F109</f>
        <v>88.544366899302091</v>
      </c>
      <c r="F31" s="31">
        <f>'2 уровень'!G109</f>
        <v>23594.411520000001</v>
      </c>
      <c r="G31" s="31">
        <f>'2 уровень'!H109</f>
        <v>9831.010000000002</v>
      </c>
      <c r="H31" s="31">
        <f>'2 уровень'!I109</f>
        <v>9677.5932999999986</v>
      </c>
      <c r="I31" s="31">
        <f>'2 уровень'!J109</f>
        <v>98.439461459198981</v>
      </c>
      <c r="J31" s="46"/>
      <c r="L31" s="381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</row>
    <row r="32" spans="1:185" ht="30" x14ac:dyDescent="0.25">
      <c r="A32" s="351" t="s">
        <v>123</v>
      </c>
      <c r="B32" s="231">
        <f>'2 уровень'!C110</f>
        <v>125063</v>
      </c>
      <c r="C32" s="231">
        <f>'2 уровень'!D110</f>
        <v>52109</v>
      </c>
      <c r="D32" s="231">
        <f>'2 уровень'!E110</f>
        <v>51570</v>
      </c>
      <c r="E32" s="232">
        <f>'2 уровень'!F110</f>
        <v>98.965629737665282</v>
      </c>
      <c r="F32" s="233">
        <f>'2 уровень'!G110</f>
        <v>121713.81286000001</v>
      </c>
      <c r="G32" s="233">
        <f>'2 уровень'!H110</f>
        <v>50714.1</v>
      </c>
      <c r="H32" s="233">
        <f>'2 уровень'!I110</f>
        <v>49667.345330000004</v>
      </c>
      <c r="I32" s="233">
        <f>'2 уровень'!J110</f>
        <v>97.935969148619435</v>
      </c>
      <c r="J32" s="46"/>
      <c r="K32" s="46"/>
      <c r="L32" s="46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</row>
    <row r="33" spans="1:185" ht="30" x14ac:dyDescent="0.25">
      <c r="A33" s="351" t="s">
        <v>124</v>
      </c>
      <c r="B33" s="231">
        <f>'2 уровень'!C111</f>
        <v>20100</v>
      </c>
      <c r="C33" s="231">
        <f>'2 уровень'!D111</f>
        <v>8375</v>
      </c>
      <c r="D33" s="231">
        <f>'2 уровень'!E111</f>
        <v>9055</v>
      </c>
      <c r="E33" s="232">
        <f>'2 уровень'!F111</f>
        <v>108.11940298507463</v>
      </c>
      <c r="F33" s="233">
        <f>'2 уровень'!G111</f>
        <v>19561.721999999998</v>
      </c>
      <c r="G33" s="233">
        <f>'2 уровень'!H111</f>
        <v>8150.72</v>
      </c>
      <c r="H33" s="233">
        <f>'2 уровень'!I111</f>
        <v>8646.0191899999991</v>
      </c>
      <c r="I33" s="233">
        <f>'2 уровень'!J111</f>
        <v>0</v>
      </c>
      <c r="J33" s="46"/>
      <c r="K33" s="46"/>
      <c r="L33" s="46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</row>
    <row r="34" spans="1:185" ht="30.75" thickBot="1" x14ac:dyDescent="0.3">
      <c r="A34" s="351" t="s">
        <v>125</v>
      </c>
      <c r="B34" s="231">
        <f>'2 уровень'!C112</f>
        <v>13611</v>
      </c>
      <c r="C34" s="231">
        <f>'2 уровень'!D112</f>
        <v>5671</v>
      </c>
      <c r="D34" s="231">
        <f>'2 уровень'!E112</f>
        <v>10183</v>
      </c>
      <c r="E34" s="232">
        <f>'2 уровень'!F112</f>
        <v>179.5626873567272</v>
      </c>
      <c r="F34" s="233">
        <f>'2 уровень'!G112</f>
        <v>13246.49742</v>
      </c>
      <c r="G34" s="233">
        <f>'2 уровень'!H112</f>
        <v>5519.3799999999992</v>
      </c>
      <c r="H34" s="233">
        <f>'2 уровень'!I112</f>
        <v>9870.0504500000025</v>
      </c>
      <c r="I34" s="233">
        <f>'2 уровень'!J112</f>
        <v>178.82534723102964</v>
      </c>
      <c r="J34" s="46"/>
      <c r="K34" s="46"/>
      <c r="L34" s="46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</row>
    <row r="35" spans="1:185" ht="15.75" thickBot="1" x14ac:dyDescent="0.3">
      <c r="A35" s="235" t="s">
        <v>106</v>
      </c>
      <c r="B35" s="236">
        <f>'2 уровень'!C113</f>
        <v>0</v>
      </c>
      <c r="C35" s="236">
        <f>'2 уровень'!D113</f>
        <v>0</v>
      </c>
      <c r="D35" s="236">
        <f>'2 уровень'!E113</f>
        <v>0</v>
      </c>
      <c r="E35" s="237">
        <f>'2 уровень'!F113</f>
        <v>0</v>
      </c>
      <c r="F35" s="238">
        <f>'2 уровень'!G113</f>
        <v>392706.47283000004</v>
      </c>
      <c r="G35" s="238">
        <f>'2 уровень'!H113</f>
        <v>163627.69</v>
      </c>
      <c r="H35" s="238">
        <f>'2 уровень'!I113</f>
        <v>170035.05351</v>
      </c>
      <c r="I35" s="238">
        <f>'2 уровень'!J113</f>
        <v>103.91581859402892</v>
      </c>
      <c r="J35" s="46"/>
      <c r="L35" s="381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</row>
    <row r="36" spans="1:185" ht="15" customHeight="1" x14ac:dyDescent="0.25">
      <c r="A36" s="14" t="s">
        <v>11</v>
      </c>
      <c r="B36" s="32"/>
      <c r="C36" s="32"/>
      <c r="D36" s="32"/>
      <c r="E36" s="106"/>
      <c r="F36" s="33"/>
      <c r="G36" s="33"/>
      <c r="H36" s="33"/>
      <c r="I36" s="33"/>
      <c r="J36" s="46"/>
      <c r="L36" s="381"/>
    </row>
    <row r="37" spans="1:185" ht="30" x14ac:dyDescent="0.25">
      <c r="A37" s="229" t="s">
        <v>120</v>
      </c>
      <c r="B37" s="226">
        <f>'2 уровень'!C131</f>
        <v>9871</v>
      </c>
      <c r="C37" s="226">
        <f>'2 уровень'!D131</f>
        <v>4113</v>
      </c>
      <c r="D37" s="226">
        <f>'2 уровень'!E131</f>
        <v>3530</v>
      </c>
      <c r="E37" s="227">
        <f>'2 уровень'!F131</f>
        <v>85.825431558473127</v>
      </c>
      <c r="F37" s="230">
        <f>'2 уровень'!G131</f>
        <v>16458.894070000002</v>
      </c>
      <c r="G37" s="230">
        <f>'2 уровень'!H131</f>
        <v>6857.88</v>
      </c>
      <c r="H37" s="230">
        <f>'2 уровень'!I131</f>
        <v>6113.2181499999988</v>
      </c>
      <c r="I37" s="230">
        <f>'2 уровень'!J131</f>
        <v>89.141515307937709</v>
      </c>
      <c r="J37" s="46"/>
      <c r="L37" s="381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</row>
    <row r="38" spans="1:185" ht="30" x14ac:dyDescent="0.25">
      <c r="A38" s="57" t="s">
        <v>79</v>
      </c>
      <c r="B38" s="21">
        <f>'2 уровень'!C132</f>
        <v>7286</v>
      </c>
      <c r="C38" s="21">
        <f>'2 уровень'!D132</f>
        <v>3036</v>
      </c>
      <c r="D38" s="21">
        <f>'2 уровень'!E132</f>
        <v>3021</v>
      </c>
      <c r="E38" s="104">
        <f>'2 уровень'!F132</f>
        <v>99.505928853754938</v>
      </c>
      <c r="F38" s="31">
        <f>'2 уровень'!G132</f>
        <v>9954.481600000001</v>
      </c>
      <c r="G38" s="31">
        <f>'2 уровень'!H132</f>
        <v>4147.7</v>
      </c>
      <c r="H38" s="31">
        <f>'2 уровень'!I132</f>
        <v>4235.4859599999991</v>
      </c>
      <c r="I38" s="31">
        <f>'2 уровень'!J132</f>
        <v>102.11649733587286</v>
      </c>
      <c r="J38" s="46"/>
      <c r="L38" s="381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</row>
    <row r="39" spans="1:185" ht="30" x14ac:dyDescent="0.25">
      <c r="A39" s="57" t="s">
        <v>80</v>
      </c>
      <c r="B39" s="21">
        <f>'2 уровень'!C133</f>
        <v>2186</v>
      </c>
      <c r="C39" s="21">
        <f>'2 уровень'!D133</f>
        <v>911</v>
      </c>
      <c r="D39" s="21">
        <f>'2 уровень'!E133</f>
        <v>301</v>
      </c>
      <c r="E39" s="104">
        <f>'2 уровень'!F133</f>
        <v>33.040614709110869</v>
      </c>
      <c r="F39" s="31">
        <f>'2 уровень'!G133</f>
        <v>3886.14255</v>
      </c>
      <c r="G39" s="31">
        <f>'2 уровень'!H133</f>
        <v>1619.23</v>
      </c>
      <c r="H39" s="31">
        <f>'2 уровень'!I133</f>
        <v>512.81954999999994</v>
      </c>
      <c r="I39" s="31">
        <f>'2 уровень'!J133</f>
        <v>31.670581078660842</v>
      </c>
      <c r="J39" s="46"/>
      <c r="L39" s="381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</row>
    <row r="40" spans="1:185" ht="45" x14ac:dyDescent="0.25">
      <c r="A40" s="57" t="s">
        <v>99</v>
      </c>
      <c r="B40" s="21">
        <f>'2 уровень'!C134</f>
        <v>49</v>
      </c>
      <c r="C40" s="21">
        <f>'2 уровень'!D134</f>
        <v>20</v>
      </c>
      <c r="D40" s="21">
        <f>'2 уровень'!E134</f>
        <v>43</v>
      </c>
      <c r="E40" s="104">
        <f>'2 уровень'!F134</f>
        <v>215</v>
      </c>
      <c r="F40" s="31">
        <f>'2 уровень'!G134</f>
        <v>321.54192</v>
      </c>
      <c r="G40" s="31">
        <f>'2 уровень'!H134</f>
        <v>133.97999999999999</v>
      </c>
      <c r="H40" s="31">
        <f>'2 уровень'!I134</f>
        <v>282.16944000000001</v>
      </c>
      <c r="I40" s="31">
        <f>'2 уровень'!J134</f>
        <v>210.60564263322888</v>
      </c>
      <c r="J40" s="46"/>
      <c r="L40" s="381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</row>
    <row r="41" spans="1:185" ht="30" x14ac:dyDescent="0.25">
      <c r="A41" s="57" t="s">
        <v>100</v>
      </c>
      <c r="B41" s="21">
        <f>'2 уровень'!C135</f>
        <v>350</v>
      </c>
      <c r="C41" s="21">
        <f>'2 уровень'!D135</f>
        <v>146</v>
      </c>
      <c r="D41" s="21">
        <f>'2 уровень'!E135</f>
        <v>165</v>
      </c>
      <c r="E41" s="104">
        <f>'2 уровень'!F135</f>
        <v>0</v>
      </c>
      <c r="F41" s="31">
        <f>'2 уровень'!G135</f>
        <v>2296.7280000000001</v>
      </c>
      <c r="G41" s="31">
        <f>'2 уровень'!H135</f>
        <v>956.97</v>
      </c>
      <c r="H41" s="31">
        <f>'2 уровень'!I135</f>
        <v>1082.7431999999999</v>
      </c>
      <c r="I41" s="31">
        <f>'2 уровень'!J135</f>
        <v>113.14285714285712</v>
      </c>
      <c r="J41" s="46"/>
      <c r="L41" s="381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</row>
    <row r="42" spans="1:185" ht="30" x14ac:dyDescent="0.25">
      <c r="A42" s="229" t="s">
        <v>112</v>
      </c>
      <c r="B42" s="226">
        <f>'2 уровень'!C136</f>
        <v>16426</v>
      </c>
      <c r="C42" s="226">
        <f>'2 уровень'!D136</f>
        <v>6844</v>
      </c>
      <c r="D42" s="226">
        <f>'2 уровень'!E136</f>
        <v>8342</v>
      </c>
      <c r="E42" s="227">
        <f>'2 уровень'!F136</f>
        <v>121.88778492109877</v>
      </c>
      <c r="F42" s="230">
        <f>'2 уровень'!G136</f>
        <v>36959.141160000006</v>
      </c>
      <c r="G42" s="230">
        <f>'2 уровень'!H136</f>
        <v>15399.65</v>
      </c>
      <c r="H42" s="230">
        <f>'2 уровень'!I136</f>
        <v>17731.129269999998</v>
      </c>
      <c r="I42" s="230">
        <f>'2 уровень'!J136</f>
        <v>115.13981986603589</v>
      </c>
      <c r="J42" s="46"/>
      <c r="L42" s="381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</row>
    <row r="43" spans="1:185" ht="30" x14ac:dyDescent="0.25">
      <c r="A43" s="57" t="s">
        <v>108</v>
      </c>
      <c r="B43" s="21">
        <f>'2 уровень'!C137</f>
        <v>1500</v>
      </c>
      <c r="C43" s="21">
        <f>'2 уровень'!D137</f>
        <v>625</v>
      </c>
      <c r="D43" s="21">
        <f>'2 уровень'!E137</f>
        <v>299</v>
      </c>
      <c r="E43" s="104">
        <f>'2 уровень'!F137</f>
        <v>47.839999999999996</v>
      </c>
      <c r="F43" s="31">
        <f>'2 уровень'!G137</f>
        <v>3180.7649999999999</v>
      </c>
      <c r="G43" s="31">
        <f>'2 уровень'!H137</f>
        <v>1325.32</v>
      </c>
      <c r="H43" s="31">
        <f>'2 уровень'!I137</f>
        <v>633.11829</v>
      </c>
      <c r="I43" s="31">
        <f>'2 уровень'!J137</f>
        <v>47.770975311622855</v>
      </c>
      <c r="J43" s="46"/>
      <c r="L43" s="381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</row>
    <row r="44" spans="1:185" ht="60" x14ac:dyDescent="0.25">
      <c r="A44" s="57" t="s">
        <v>81</v>
      </c>
      <c r="B44" s="21">
        <f>'2 уровень'!C138</f>
        <v>10800</v>
      </c>
      <c r="C44" s="21">
        <f>'2 уровень'!D138</f>
        <v>4500</v>
      </c>
      <c r="D44" s="21">
        <f>'2 уровень'!E138</f>
        <v>5997</v>
      </c>
      <c r="E44" s="104">
        <f>'2 уровень'!F138</f>
        <v>133.26666666666668</v>
      </c>
      <c r="F44" s="31">
        <f>'2 уровень'!G138</f>
        <v>29734.236000000001</v>
      </c>
      <c r="G44" s="31">
        <f>'2 уровень'!H138</f>
        <v>12389.27</v>
      </c>
      <c r="H44" s="31">
        <f>'2 уровень'!I138</f>
        <v>14890.697259999999</v>
      </c>
      <c r="I44" s="31">
        <f>'2 уровень'!J138</f>
        <v>120.19027158178002</v>
      </c>
      <c r="J44" s="46"/>
      <c r="L44" s="381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</row>
    <row r="45" spans="1:185" ht="45" x14ac:dyDescent="0.25">
      <c r="A45" s="57" t="s">
        <v>109</v>
      </c>
      <c r="B45" s="21">
        <f>'2 уровень'!C139</f>
        <v>4126</v>
      </c>
      <c r="C45" s="21">
        <f>'2 уровень'!D139</f>
        <v>1719</v>
      </c>
      <c r="D45" s="21">
        <f>'2 уровень'!E139</f>
        <v>2046</v>
      </c>
      <c r="E45" s="104">
        <f>'2 уровень'!F139</f>
        <v>119.02268760907504</v>
      </c>
      <c r="F45" s="31">
        <f>'2 уровень'!G139</f>
        <v>4044.1401599999999</v>
      </c>
      <c r="G45" s="31">
        <f>'2 уровень'!H139</f>
        <v>1685.06</v>
      </c>
      <c r="H45" s="31">
        <f>'2 уровень'!I139</f>
        <v>2207.3137199999996</v>
      </c>
      <c r="I45" s="31">
        <f>'2 уровень'!J139</f>
        <v>130.9931824386075</v>
      </c>
      <c r="J45" s="46"/>
      <c r="L45" s="381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</row>
    <row r="46" spans="1:185" ht="30" x14ac:dyDescent="0.25">
      <c r="A46" s="351" t="s">
        <v>123</v>
      </c>
      <c r="B46" s="231">
        <f>'2 уровень'!C140</f>
        <v>38095</v>
      </c>
      <c r="C46" s="231">
        <f>'2 уровень'!D140</f>
        <v>15873</v>
      </c>
      <c r="D46" s="231">
        <f>'2 уровень'!E140</f>
        <v>17292</v>
      </c>
      <c r="E46" s="232">
        <f>'2 уровень'!F140</f>
        <v>108.93970893970895</v>
      </c>
      <c r="F46" s="233">
        <f>'2 уровень'!G140</f>
        <v>37074.815900000001</v>
      </c>
      <c r="G46" s="233">
        <f>'2 уровень'!H140</f>
        <v>15447.84</v>
      </c>
      <c r="H46" s="233">
        <f>'2 уровень'!I140</f>
        <v>16802.285609999999</v>
      </c>
      <c r="I46" s="233">
        <f>'2 уровень'!J140</f>
        <v>108.76786405089642</v>
      </c>
      <c r="J46" s="46"/>
      <c r="K46" s="46"/>
      <c r="L46" s="46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</row>
    <row r="47" spans="1:185" ht="30" x14ac:dyDescent="0.25">
      <c r="A47" s="351" t="s">
        <v>124</v>
      </c>
      <c r="B47" s="231">
        <f>'2 уровень'!C141</f>
        <v>2640</v>
      </c>
      <c r="C47" s="231">
        <f>'2 уровень'!D141</f>
        <v>1100</v>
      </c>
      <c r="D47" s="231">
        <f>'2 уровень'!E141</f>
        <v>1058</v>
      </c>
      <c r="E47" s="232">
        <f>'2 уровень'!F141</f>
        <v>96.181818181818173</v>
      </c>
      <c r="F47" s="233">
        <f>'2 уровень'!G141</f>
        <v>2569.3008000000004</v>
      </c>
      <c r="G47" s="233">
        <f>'2 уровень'!H141</f>
        <v>1070.54</v>
      </c>
      <c r="H47" s="233">
        <f>'2 уровень'!I141</f>
        <v>1028.8576700000001</v>
      </c>
      <c r="I47" s="233">
        <f>'2 уровень'!J141</f>
        <v>96.106420124423195</v>
      </c>
      <c r="J47" s="46"/>
      <c r="K47" s="46"/>
      <c r="L47" s="46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</row>
    <row r="48" spans="1:185" ht="30.75" thickBot="1" x14ac:dyDescent="0.3">
      <c r="A48" s="351" t="s">
        <v>125</v>
      </c>
      <c r="B48" s="231">
        <f>'2 уровень'!C142</f>
        <v>3143</v>
      </c>
      <c r="C48" s="231">
        <f>'2 уровень'!D142</f>
        <v>1310</v>
      </c>
      <c r="D48" s="231">
        <f>'2 уровень'!E142</f>
        <v>757</v>
      </c>
      <c r="E48" s="232">
        <f>'2 уровень'!F142</f>
        <v>57.786259541984734</v>
      </c>
      <c r="F48" s="233">
        <f>'2 уровень'!G142</f>
        <v>3058.8304600000001</v>
      </c>
      <c r="G48" s="233">
        <f>'2 уровень'!H142</f>
        <v>1274.51</v>
      </c>
      <c r="H48" s="233">
        <f>'2 уровень'!I142</f>
        <v>736.23515000000009</v>
      </c>
      <c r="I48" s="233">
        <f>'2 уровень'!J142</f>
        <v>57.766133651364058</v>
      </c>
      <c r="J48" s="46"/>
      <c r="K48" s="46"/>
      <c r="L48" s="46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</row>
    <row r="49" spans="1:185" ht="15.75" thickBot="1" x14ac:dyDescent="0.3">
      <c r="A49" s="235" t="s">
        <v>106</v>
      </c>
      <c r="B49" s="236">
        <f>'2 уровень'!C143</f>
        <v>0</v>
      </c>
      <c r="C49" s="236">
        <f>'2 уровень'!D143</f>
        <v>0</v>
      </c>
      <c r="D49" s="236">
        <f>'2 уровень'!E143</f>
        <v>0</v>
      </c>
      <c r="E49" s="237">
        <f>'2 уровень'!F143</f>
        <v>0</v>
      </c>
      <c r="F49" s="238">
        <f>'2 уровень'!G143</f>
        <v>90492.85113000001</v>
      </c>
      <c r="G49" s="238">
        <f>'2 уровень'!H143</f>
        <v>37705.369999999995</v>
      </c>
      <c r="H49" s="238">
        <f>'2 уровень'!I143</f>
        <v>40646.633029999997</v>
      </c>
      <c r="I49" s="238">
        <f>'2 уровень'!J143</f>
        <v>107.80064757354191</v>
      </c>
      <c r="J49" s="46"/>
      <c r="L49" s="381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</row>
    <row r="50" spans="1:185" ht="15" customHeight="1" x14ac:dyDescent="0.25">
      <c r="A50" s="39" t="s">
        <v>18</v>
      </c>
      <c r="B50" s="40"/>
      <c r="C50" s="40"/>
      <c r="D50" s="40"/>
      <c r="E50" s="107"/>
      <c r="F50" s="41"/>
      <c r="G50" s="41"/>
      <c r="H50" s="41"/>
      <c r="I50" s="41"/>
      <c r="J50" s="46"/>
      <c r="L50" s="381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</row>
    <row r="51" spans="1:185" ht="30" x14ac:dyDescent="0.25">
      <c r="A51" s="229" t="s">
        <v>120</v>
      </c>
      <c r="B51" s="267">
        <f>'Аян '!B21</f>
        <v>505</v>
      </c>
      <c r="C51" s="267">
        <f>'Аян '!C21</f>
        <v>211</v>
      </c>
      <c r="D51" s="267">
        <f>'Аян '!D21</f>
        <v>285</v>
      </c>
      <c r="E51" s="268">
        <f>'Аян '!E21</f>
        <v>135.07109004739337</v>
      </c>
      <c r="F51" s="230">
        <f>'Аян '!F21</f>
        <v>1382.8329799999999</v>
      </c>
      <c r="G51" s="230">
        <f>'Аян '!G21</f>
        <v>576.17999999999995</v>
      </c>
      <c r="H51" s="230">
        <f>'Аян '!H21</f>
        <v>966.85077000000001</v>
      </c>
      <c r="I51" s="230">
        <f>'Аян '!I21</f>
        <v>167.80359783401022</v>
      </c>
      <c r="J51" s="46"/>
      <c r="L51" s="381"/>
    </row>
    <row r="52" spans="1:185" ht="30" x14ac:dyDescent="0.25">
      <c r="A52" s="57" t="s">
        <v>79</v>
      </c>
      <c r="B52" s="25">
        <f>'Аян '!B22</f>
        <v>323</v>
      </c>
      <c r="C52" s="25">
        <f>'Аян '!C22</f>
        <v>135</v>
      </c>
      <c r="D52" s="25">
        <f>'Аян '!D22</f>
        <v>154</v>
      </c>
      <c r="E52" s="108">
        <f>'Аян '!E22</f>
        <v>114.07407407407408</v>
      </c>
      <c r="F52" s="31">
        <f>'Аян '!F22</f>
        <v>711.52359999999999</v>
      </c>
      <c r="G52" s="31">
        <f>'Аян '!G22</f>
        <v>296.47000000000003</v>
      </c>
      <c r="H52" s="31">
        <f>'Аян '!H22</f>
        <v>345.54768999999993</v>
      </c>
      <c r="I52" s="31">
        <f>'Аян '!I22</f>
        <v>116.55401558336422</v>
      </c>
      <c r="J52" s="46"/>
      <c r="L52" s="381"/>
    </row>
    <row r="53" spans="1:185" ht="30" x14ac:dyDescent="0.25">
      <c r="A53" s="57" t="s">
        <v>80</v>
      </c>
      <c r="B53" s="25">
        <f>'Аян '!B23</f>
        <v>131</v>
      </c>
      <c r="C53" s="25">
        <f>'Аян '!C23</f>
        <v>55</v>
      </c>
      <c r="D53" s="25">
        <f>'Аян '!D23</f>
        <v>83</v>
      </c>
      <c r="E53" s="108">
        <f>'Аян '!E23</f>
        <v>150.90909090909091</v>
      </c>
      <c r="F53" s="31">
        <f>'Аян '!F23</f>
        <v>327.08008000000001</v>
      </c>
      <c r="G53" s="31">
        <f>'Аян '!G23</f>
        <v>136.28</v>
      </c>
      <c r="H53" s="31">
        <f>'Аян '!H23</f>
        <v>203.20483999999999</v>
      </c>
      <c r="I53" s="31">
        <f>'Аян '!I23</f>
        <v>149.10833577927795</v>
      </c>
      <c r="J53" s="46"/>
      <c r="L53" s="381"/>
    </row>
    <row r="54" spans="1:185" ht="45" x14ac:dyDescent="0.25">
      <c r="A54" s="57" t="s">
        <v>99</v>
      </c>
      <c r="B54" s="25">
        <f>'Аян '!B24</f>
        <v>8</v>
      </c>
      <c r="C54" s="25">
        <f>'Аян '!C24</f>
        <v>3</v>
      </c>
      <c r="D54" s="25">
        <f>'Аян '!D24</f>
        <v>16</v>
      </c>
      <c r="E54" s="108">
        <f>'Аян '!E24</f>
        <v>533.33333333333326</v>
      </c>
      <c r="F54" s="31">
        <f>'Аян '!F24</f>
        <v>19.683</v>
      </c>
      <c r="G54" s="31">
        <f>'Аян '!G24</f>
        <v>8.1999999999999993</v>
      </c>
      <c r="H54" s="31">
        <f>'Аян '!H24</f>
        <v>139.36607999999998</v>
      </c>
      <c r="I54" s="31">
        <f>'Аян '!I24</f>
        <v>1699.5863414634148</v>
      </c>
      <c r="J54" s="46"/>
      <c r="L54" s="381"/>
    </row>
    <row r="55" spans="1:185" ht="30" x14ac:dyDescent="0.25">
      <c r="A55" s="57" t="s">
        <v>100</v>
      </c>
      <c r="B55" s="25">
        <f>'Аян '!B25</f>
        <v>43</v>
      </c>
      <c r="C55" s="25">
        <f>'Аян '!C25</f>
        <v>18</v>
      </c>
      <c r="D55" s="25">
        <f>'Аян '!D25</f>
        <v>32</v>
      </c>
      <c r="E55" s="108">
        <f>'Аян '!E25</f>
        <v>177.77777777777777</v>
      </c>
      <c r="F55" s="31">
        <f>'Аян '!F25</f>
        <v>324.54629999999997</v>
      </c>
      <c r="G55" s="31">
        <f>'Аян '!G25</f>
        <v>135.22999999999999</v>
      </c>
      <c r="H55" s="31">
        <f>'Аян '!H25</f>
        <v>278.73215999999996</v>
      </c>
      <c r="I55" s="31">
        <f>'Аян '!I25</f>
        <v>206.11710419285663</v>
      </c>
      <c r="J55" s="46"/>
      <c r="L55" s="381"/>
    </row>
    <row r="56" spans="1:185" ht="30" x14ac:dyDescent="0.25">
      <c r="A56" s="229" t="s">
        <v>112</v>
      </c>
      <c r="B56" s="267">
        <f>'Аян '!B26</f>
        <v>961</v>
      </c>
      <c r="C56" s="267">
        <f>'Аян '!C26</f>
        <v>401</v>
      </c>
      <c r="D56" s="267">
        <f>'Аян '!D26</f>
        <v>166</v>
      </c>
      <c r="E56" s="268">
        <f>'Аян '!E26</f>
        <v>41.396508728179548</v>
      </c>
      <c r="F56" s="230">
        <f>'Аян '!F26</f>
        <v>2684.9690000000001</v>
      </c>
      <c r="G56" s="230">
        <f>'Аян '!G26</f>
        <v>1118.74</v>
      </c>
      <c r="H56" s="230">
        <f>'Аян '!H26</f>
        <v>518.55177000000003</v>
      </c>
      <c r="I56" s="230">
        <f>'Аян '!I26</f>
        <v>46.351410515401255</v>
      </c>
      <c r="J56" s="46"/>
      <c r="L56" s="381"/>
    </row>
    <row r="57" spans="1:185" ht="30" x14ac:dyDescent="0.25">
      <c r="A57" s="57" t="s">
        <v>108</v>
      </c>
      <c r="B57" s="25">
        <f>'Аян '!B27</f>
        <v>200</v>
      </c>
      <c r="C57" s="25">
        <f>'Аян '!C27</f>
        <v>83</v>
      </c>
      <c r="D57" s="25">
        <f>'Аян '!D27</f>
        <v>40</v>
      </c>
      <c r="E57" s="108">
        <f>'Аян '!E27</f>
        <v>48.192771084337352</v>
      </c>
      <c r="F57" s="31">
        <f>'Аян '!F27</f>
        <v>542.94600000000003</v>
      </c>
      <c r="G57" s="31">
        <f>'Аян '!G27</f>
        <v>226.23</v>
      </c>
      <c r="H57" s="31">
        <f>'Аян '!H27</f>
        <v>110.18146</v>
      </c>
      <c r="I57" s="31">
        <f>'Аян '!I27</f>
        <v>48.7032931087831</v>
      </c>
      <c r="J57" s="46"/>
      <c r="L57" s="381"/>
    </row>
    <row r="58" spans="1:185" ht="60" x14ac:dyDescent="0.25">
      <c r="A58" s="57" t="s">
        <v>81</v>
      </c>
      <c r="B58" s="25">
        <f>'Аян '!B28</f>
        <v>551</v>
      </c>
      <c r="C58" s="25">
        <f>'Аян '!C28</f>
        <v>230</v>
      </c>
      <c r="D58" s="25">
        <f>'Аян '!D28</f>
        <v>82</v>
      </c>
      <c r="E58" s="108">
        <f>'Аян '!E28</f>
        <v>35.652173913043477</v>
      </c>
      <c r="F58" s="31">
        <f>'Аян '!F28</f>
        <v>1878.8025</v>
      </c>
      <c r="G58" s="31">
        <f>'Аян '!G28</f>
        <v>782.83</v>
      </c>
      <c r="H58" s="31">
        <f>'Аян '!H28</f>
        <v>353.20822999999996</v>
      </c>
      <c r="I58" s="31">
        <f>'Аян '!I28</f>
        <v>45.119403957436468</v>
      </c>
      <c r="J58" s="46"/>
      <c r="L58" s="381"/>
    </row>
    <row r="59" spans="1:185" ht="45" x14ac:dyDescent="0.25">
      <c r="A59" s="57" t="s">
        <v>109</v>
      </c>
      <c r="B59" s="25">
        <f>'Аян '!B29</f>
        <v>210</v>
      </c>
      <c r="C59" s="25">
        <f>'Аян '!C29</f>
        <v>88</v>
      </c>
      <c r="D59" s="25">
        <f>'Аян '!D29</f>
        <v>44</v>
      </c>
      <c r="E59" s="108">
        <f>'Аян '!E29</f>
        <v>50</v>
      </c>
      <c r="F59" s="31">
        <f>'Аян '!F29</f>
        <v>263.22050000000002</v>
      </c>
      <c r="G59" s="31">
        <f>'Аян '!G29</f>
        <v>109.68</v>
      </c>
      <c r="H59" s="31">
        <f>'Аян '!H29</f>
        <v>55.162080000000003</v>
      </c>
      <c r="I59" s="31">
        <f>'Аян '!I29</f>
        <v>50.29365426695842</v>
      </c>
      <c r="J59" s="46"/>
      <c r="L59" s="381"/>
    </row>
    <row r="60" spans="1:185" ht="30.75" thickBot="1" x14ac:dyDescent="0.3">
      <c r="A60" s="343" t="s">
        <v>123</v>
      </c>
      <c r="B60" s="240">
        <f>'Аян '!B30</f>
        <v>2800</v>
      </c>
      <c r="C60" s="240">
        <f>'Аян '!C30</f>
        <v>1167</v>
      </c>
      <c r="D60" s="240">
        <f>'Аян '!D30</f>
        <v>1160</v>
      </c>
      <c r="E60" s="241">
        <f>'Аян '!E30</f>
        <v>99.400171379605823</v>
      </c>
      <c r="F60" s="233">
        <f>'Аян '!F30</f>
        <v>3617.152</v>
      </c>
      <c r="G60" s="233">
        <f>'Аян '!G30</f>
        <v>1507.15</v>
      </c>
      <c r="H60" s="233">
        <f>'Аян '!H30</f>
        <v>1494.6465700000001</v>
      </c>
      <c r="I60" s="233">
        <f>'Аян '!I30</f>
        <v>99.170392462594975</v>
      </c>
      <c r="J60" s="46"/>
      <c r="K60" s="46"/>
      <c r="L60" s="46"/>
    </row>
    <row r="61" spans="1:185" ht="15.75" thickBot="1" x14ac:dyDescent="0.3">
      <c r="A61" s="235" t="s">
        <v>4</v>
      </c>
      <c r="B61" s="242">
        <f>'Аян '!B31</f>
        <v>0</v>
      </c>
      <c r="C61" s="242">
        <f>'Аян '!C31</f>
        <v>0</v>
      </c>
      <c r="D61" s="242">
        <f>'Аян '!D31</f>
        <v>0</v>
      </c>
      <c r="E61" s="243">
        <f>'Аян '!E31</f>
        <v>0</v>
      </c>
      <c r="F61" s="238">
        <f>'Аян '!F31</f>
        <v>7684.9539800000002</v>
      </c>
      <c r="G61" s="238">
        <f>'Аян '!G31</f>
        <v>3202.07</v>
      </c>
      <c r="H61" s="238">
        <f>'Аян '!H31</f>
        <v>2980.0491099999999</v>
      </c>
      <c r="I61" s="238">
        <f>'Аян '!I31</f>
        <v>93.066332403726335</v>
      </c>
      <c r="J61" s="46"/>
      <c r="L61" s="381"/>
    </row>
    <row r="62" spans="1:185" ht="15" customHeight="1" x14ac:dyDescent="0.25">
      <c r="A62" s="39" t="s">
        <v>19</v>
      </c>
      <c r="B62" s="40"/>
      <c r="C62" s="40"/>
      <c r="D62" s="40"/>
      <c r="E62" s="107"/>
      <c r="F62" s="41"/>
      <c r="G62" s="41"/>
      <c r="H62" s="41"/>
      <c r="I62" s="41"/>
      <c r="J62" s="46"/>
      <c r="L62" s="381"/>
    </row>
    <row r="63" spans="1:185" ht="30" x14ac:dyDescent="0.25">
      <c r="A63" s="229" t="s">
        <v>120</v>
      </c>
      <c r="B63" s="226">
        <f>'1 уровень'!C271</f>
        <v>2987</v>
      </c>
      <c r="C63" s="226">
        <f>'1 уровень'!D271</f>
        <v>1245</v>
      </c>
      <c r="D63" s="226">
        <f>'1 уровень'!E271</f>
        <v>945</v>
      </c>
      <c r="E63" s="227">
        <f>'1 уровень'!F271</f>
        <v>75.903614457831324</v>
      </c>
      <c r="F63" s="230">
        <f>'1 уровень'!G271</f>
        <v>5092.2485500000003</v>
      </c>
      <c r="G63" s="230">
        <f>'1 уровень'!H271</f>
        <v>2121.77</v>
      </c>
      <c r="H63" s="230">
        <f>'1 уровень'!I271</f>
        <v>1778.0141099999996</v>
      </c>
      <c r="I63" s="230">
        <f>'1 уровень'!J271</f>
        <v>83.798626147037609</v>
      </c>
      <c r="J63" s="46"/>
      <c r="L63" s="381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  <c r="FT63" s="18"/>
      <c r="FU63" s="18"/>
      <c r="FV63" s="18"/>
      <c r="FW63" s="18"/>
      <c r="FX63" s="18"/>
      <c r="FY63" s="18"/>
      <c r="FZ63" s="18"/>
      <c r="GA63" s="18"/>
      <c r="GB63" s="18"/>
      <c r="GC63" s="18"/>
    </row>
    <row r="64" spans="1:185" ht="30" x14ac:dyDescent="0.25">
      <c r="A64" s="57" t="s">
        <v>79</v>
      </c>
      <c r="B64" s="21">
        <f>'1 уровень'!C272</f>
        <v>2121</v>
      </c>
      <c r="C64" s="21">
        <f>'1 уровень'!D272</f>
        <v>884</v>
      </c>
      <c r="D64" s="21">
        <f>'1 уровень'!E272</f>
        <v>727</v>
      </c>
      <c r="E64" s="104">
        <f>'1 уровень'!F272</f>
        <v>82.23981900452489</v>
      </c>
      <c r="F64" s="31">
        <f>'1 уровень'!G272</f>
        <v>2919.2939999999999</v>
      </c>
      <c r="G64" s="31">
        <f>'1 уровень'!H272</f>
        <v>1216.3699999999999</v>
      </c>
      <c r="H64" s="31">
        <f>'1 уровень'!I272</f>
        <v>674.05598999999972</v>
      </c>
      <c r="I64" s="31">
        <f>'1 уровень'!J272</f>
        <v>55.415374433766033</v>
      </c>
      <c r="J64" s="46"/>
      <c r="L64" s="381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  <c r="FT64" s="18"/>
      <c r="FU64" s="18"/>
      <c r="FV64" s="18"/>
      <c r="FW64" s="18"/>
      <c r="FX64" s="18"/>
      <c r="FY64" s="18"/>
      <c r="FZ64" s="18"/>
      <c r="GA64" s="18"/>
      <c r="GB64" s="18"/>
      <c r="GC64" s="18"/>
    </row>
    <row r="65" spans="1:185" ht="30" x14ac:dyDescent="0.25">
      <c r="A65" s="57" t="s">
        <v>80</v>
      </c>
      <c r="B65" s="21">
        <f>'1 уровень'!C273</f>
        <v>636</v>
      </c>
      <c r="C65" s="21">
        <f>'1 уровень'!D273</f>
        <v>265</v>
      </c>
      <c r="D65" s="21">
        <f>'1 уровень'!E273</f>
        <v>16</v>
      </c>
      <c r="E65" s="104">
        <f>'1 уровень'!F273</f>
        <v>6.0377358490566042</v>
      </c>
      <c r="F65" s="31">
        <f>'1 уровень'!G273</f>
        <v>915.22255000000007</v>
      </c>
      <c r="G65" s="31">
        <f>'1 уровень'!H273</f>
        <v>381.34</v>
      </c>
      <c r="H65" s="31">
        <f>'1 уровень'!I273</f>
        <v>-0.65867999999999938</v>
      </c>
      <c r="I65" s="31">
        <f>'1 уровень'!J273</f>
        <v>-0.17272774951486847</v>
      </c>
      <c r="J65" s="46"/>
      <c r="L65" s="381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</row>
    <row r="66" spans="1:185" ht="45" x14ac:dyDescent="0.25">
      <c r="A66" s="57" t="s">
        <v>110</v>
      </c>
      <c r="B66" s="21">
        <f>'1 уровень'!C274</f>
        <v>130</v>
      </c>
      <c r="C66" s="21">
        <f>'1 уровень'!D274</f>
        <v>54</v>
      </c>
      <c r="D66" s="21">
        <f>'1 уровень'!E274</f>
        <v>101</v>
      </c>
      <c r="E66" s="104">
        <f>'1 уровень'!F274</f>
        <v>187.03703703703704</v>
      </c>
      <c r="F66" s="31">
        <f>'1 уровень'!G274</f>
        <v>710.89200000000005</v>
      </c>
      <c r="G66" s="31">
        <f>'1 уровень'!H274</f>
        <v>296.20999999999998</v>
      </c>
      <c r="H66" s="31">
        <f>'1 уровень'!I274</f>
        <v>552.30840000000001</v>
      </c>
      <c r="I66" s="31">
        <f>'1 уровень'!J274</f>
        <v>186.45839100638062</v>
      </c>
      <c r="J66" s="46"/>
      <c r="L66" s="381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</row>
    <row r="67" spans="1:185" s="18" customFormat="1" ht="30" x14ac:dyDescent="0.25">
      <c r="A67" s="57" t="s">
        <v>111</v>
      </c>
      <c r="B67" s="35">
        <f>'1 уровень'!C275</f>
        <v>100</v>
      </c>
      <c r="C67" s="35">
        <f>'1 уровень'!D275</f>
        <v>42</v>
      </c>
      <c r="D67" s="35">
        <f>'1 уровень'!E275</f>
        <v>101</v>
      </c>
      <c r="E67" s="110">
        <f>'1 уровень'!F275</f>
        <v>240.47619047619045</v>
      </c>
      <c r="F67" s="368">
        <f>'1 уровень'!G275</f>
        <v>546.84</v>
      </c>
      <c r="G67" s="368">
        <f>'1 уровень'!H275</f>
        <v>227.85</v>
      </c>
      <c r="H67" s="368">
        <f>'1 уровень'!I275</f>
        <v>552.30840000000001</v>
      </c>
      <c r="I67" s="368">
        <f>'1 уровень'!J275</f>
        <v>242.4</v>
      </c>
      <c r="J67" s="46"/>
      <c r="K67" s="380"/>
      <c r="L67" s="381"/>
    </row>
    <row r="68" spans="1:185" ht="30" x14ac:dyDescent="0.25">
      <c r="A68" s="229" t="s">
        <v>112</v>
      </c>
      <c r="B68" s="226">
        <f>'1 уровень'!C276</f>
        <v>6270</v>
      </c>
      <c r="C68" s="226">
        <f>'1 уровень'!D276</f>
        <v>2613</v>
      </c>
      <c r="D68" s="226">
        <f>'1 уровень'!E276</f>
        <v>482</v>
      </c>
      <c r="E68" s="227">
        <f>'1 уровень'!F276</f>
        <v>18.446230386528896</v>
      </c>
      <c r="F68" s="230">
        <f>'1 уровень'!G276</f>
        <v>11715.552</v>
      </c>
      <c r="G68" s="230">
        <f>'1 уровень'!H276</f>
        <v>4881.4799999999996</v>
      </c>
      <c r="H68" s="230">
        <f>'1 уровень'!I276</f>
        <v>721.30865999999992</v>
      </c>
      <c r="I68" s="230">
        <f>'1 уровень'!J276</f>
        <v>14.776433786474593</v>
      </c>
      <c r="J68" s="46"/>
      <c r="L68" s="381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  <c r="EO68" s="18"/>
      <c r="EP68" s="18"/>
      <c r="EQ68" s="18"/>
      <c r="ER68" s="18"/>
      <c r="ES68" s="18"/>
      <c r="ET68" s="18"/>
      <c r="EU68" s="18"/>
      <c r="EV68" s="18"/>
      <c r="EW68" s="18"/>
      <c r="EX68" s="18"/>
      <c r="EY68" s="18"/>
      <c r="EZ68" s="18"/>
      <c r="FA68" s="18"/>
      <c r="FB68" s="18"/>
      <c r="FC68" s="18"/>
      <c r="FD68" s="18"/>
      <c r="FE68" s="18"/>
      <c r="FF68" s="18"/>
      <c r="FG68" s="18"/>
      <c r="FH68" s="18"/>
      <c r="FI68" s="18"/>
      <c r="FJ68" s="18"/>
      <c r="FK68" s="18"/>
      <c r="FL68" s="18"/>
      <c r="FM68" s="18"/>
      <c r="FN68" s="18"/>
      <c r="FO68" s="18"/>
      <c r="FP68" s="18"/>
      <c r="FQ68" s="18"/>
      <c r="FR68" s="18"/>
      <c r="FS68" s="18"/>
      <c r="FT68" s="18"/>
      <c r="FU68" s="18"/>
      <c r="FV68" s="18"/>
      <c r="FW68" s="18"/>
      <c r="FX68" s="18"/>
      <c r="FY68" s="18"/>
      <c r="FZ68" s="18"/>
      <c r="GA68" s="18"/>
      <c r="GB68" s="18"/>
      <c r="GC68" s="18"/>
    </row>
    <row r="69" spans="1:185" ht="30" x14ac:dyDescent="0.25">
      <c r="A69" s="57" t="s">
        <v>108</v>
      </c>
      <c r="B69" s="21">
        <f>'1 уровень'!C277</f>
        <v>720</v>
      </c>
      <c r="C69" s="21">
        <f>'1 уровень'!D277</f>
        <v>300</v>
      </c>
      <c r="D69" s="21">
        <f>'1 уровень'!E277</f>
        <v>292</v>
      </c>
      <c r="E69" s="104">
        <f>'1 уровень'!F277</f>
        <v>97.333333333333343</v>
      </c>
      <c r="F69" s="31">
        <f>'1 уровень'!G277</f>
        <v>1272.3119999999999</v>
      </c>
      <c r="G69" s="31">
        <f>'1 уровень'!H277</f>
        <v>530.13</v>
      </c>
      <c r="H69" s="31">
        <f>'1 уровень'!I277</f>
        <v>520.79106999999999</v>
      </c>
      <c r="I69" s="31">
        <f>'1 уровень'!J277</f>
        <v>98.238369833814346</v>
      </c>
      <c r="J69" s="46"/>
      <c r="L69" s="381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  <c r="EO69" s="18"/>
      <c r="EP69" s="18"/>
      <c r="EQ69" s="18"/>
      <c r="ER69" s="18"/>
      <c r="ES69" s="18"/>
      <c r="ET69" s="18"/>
      <c r="EU69" s="18"/>
      <c r="EV69" s="18"/>
      <c r="EW69" s="18"/>
      <c r="EX69" s="18"/>
      <c r="EY69" s="18"/>
      <c r="EZ69" s="18"/>
      <c r="FA69" s="18"/>
      <c r="FB69" s="18"/>
      <c r="FC69" s="18"/>
      <c r="FD69" s="18"/>
      <c r="FE69" s="18"/>
      <c r="FF69" s="18"/>
      <c r="FG69" s="18"/>
      <c r="FH69" s="18"/>
      <c r="FI69" s="18"/>
      <c r="FJ69" s="18"/>
      <c r="FK69" s="18"/>
      <c r="FL69" s="18"/>
      <c r="FM69" s="18"/>
      <c r="FN69" s="18"/>
      <c r="FO69" s="18"/>
      <c r="FP69" s="18"/>
      <c r="FQ69" s="18"/>
      <c r="FR69" s="18"/>
      <c r="FS69" s="18"/>
      <c r="FT69" s="18"/>
      <c r="FU69" s="18"/>
      <c r="FV69" s="18"/>
      <c r="FW69" s="18"/>
      <c r="FX69" s="18"/>
      <c r="FY69" s="18"/>
      <c r="FZ69" s="18"/>
      <c r="GA69" s="18"/>
      <c r="GB69" s="18"/>
      <c r="GC69" s="18"/>
    </row>
    <row r="70" spans="1:185" ht="60" x14ac:dyDescent="0.25">
      <c r="A70" s="57" t="s">
        <v>81</v>
      </c>
      <c r="B70" s="21">
        <f>'1 уровень'!C278</f>
        <v>4000</v>
      </c>
      <c r="C70" s="21">
        <f>'1 уровень'!D278</f>
        <v>1667</v>
      </c>
      <c r="D70" s="21">
        <f>'1 уровень'!E278</f>
        <v>71</v>
      </c>
      <c r="E70" s="104">
        <f>'1 уровень'!F278</f>
        <v>4.2591481703659273</v>
      </c>
      <c r="F70" s="31">
        <f>'1 уровень'!G278</f>
        <v>9177.2000000000007</v>
      </c>
      <c r="G70" s="31">
        <f>'1 уровень'!H278</f>
        <v>3823.83</v>
      </c>
      <c r="H70" s="31">
        <f>'1 уровень'!I278</f>
        <v>111.12699000000001</v>
      </c>
      <c r="I70" s="31">
        <f>'1 уровень'!J278</f>
        <v>2.9061697303488914</v>
      </c>
      <c r="J70" s="46"/>
      <c r="L70" s="381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  <c r="EO70" s="18"/>
      <c r="EP70" s="18"/>
      <c r="EQ70" s="18"/>
      <c r="ER70" s="18"/>
      <c r="ES70" s="18"/>
      <c r="ET70" s="18"/>
      <c r="EU70" s="18"/>
      <c r="EV70" s="18"/>
      <c r="EW70" s="18"/>
      <c r="EX70" s="18"/>
      <c r="EY70" s="18"/>
      <c r="EZ70" s="18"/>
      <c r="FA70" s="18"/>
      <c r="FB70" s="18"/>
      <c r="FC70" s="18"/>
      <c r="FD70" s="18"/>
      <c r="FE70" s="18"/>
      <c r="FF70" s="18"/>
      <c r="FG70" s="18"/>
      <c r="FH70" s="18"/>
      <c r="FI70" s="18"/>
      <c r="FJ70" s="18"/>
      <c r="FK70" s="18"/>
      <c r="FL70" s="18"/>
      <c r="FM70" s="18"/>
      <c r="FN70" s="18"/>
      <c r="FO70" s="18"/>
      <c r="FP70" s="18"/>
      <c r="FQ70" s="18"/>
      <c r="FR70" s="18"/>
      <c r="FS70" s="18"/>
      <c r="FT70" s="18"/>
      <c r="FU70" s="18"/>
      <c r="FV70" s="18"/>
      <c r="FW70" s="18"/>
      <c r="FX70" s="18"/>
      <c r="FY70" s="18"/>
      <c r="FZ70" s="18"/>
      <c r="GA70" s="18"/>
      <c r="GB70" s="18"/>
      <c r="GC70" s="18"/>
    </row>
    <row r="71" spans="1:185" ht="45" x14ac:dyDescent="0.25">
      <c r="A71" s="57" t="s">
        <v>109</v>
      </c>
      <c r="B71" s="21">
        <f>'1 уровень'!C279</f>
        <v>1550</v>
      </c>
      <c r="C71" s="21">
        <f>'1 уровень'!D279</f>
        <v>646</v>
      </c>
      <c r="D71" s="21">
        <f>'1 уровень'!E279</f>
        <v>119</v>
      </c>
      <c r="E71" s="104">
        <f>'1 уровень'!F279</f>
        <v>18.421052631578945</v>
      </c>
      <c r="F71" s="31">
        <f>'1 уровень'!G279</f>
        <v>1266.04</v>
      </c>
      <c r="G71" s="31">
        <f>'1 уровень'!H279</f>
        <v>527.52</v>
      </c>
      <c r="H71" s="31">
        <f>'1 уровень'!I279</f>
        <v>89.390599999999992</v>
      </c>
      <c r="I71" s="31">
        <f>'1 уровень'!J279</f>
        <v>16.945442826812251</v>
      </c>
      <c r="J71" s="46"/>
      <c r="L71" s="381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18"/>
      <c r="EU71" s="18"/>
      <c r="EV71" s="18"/>
      <c r="EW71" s="18"/>
      <c r="EX71" s="18"/>
      <c r="EY71" s="18"/>
      <c r="EZ71" s="18"/>
      <c r="FA71" s="18"/>
      <c r="FB71" s="18"/>
      <c r="FC71" s="18"/>
      <c r="FD71" s="18"/>
      <c r="FE71" s="18"/>
      <c r="FF71" s="18"/>
      <c r="FG71" s="18"/>
      <c r="FH71" s="18"/>
      <c r="FI71" s="18"/>
      <c r="FJ71" s="18"/>
      <c r="FK71" s="18"/>
      <c r="FL71" s="18"/>
      <c r="FM71" s="18"/>
      <c r="FN71" s="18"/>
      <c r="FO71" s="18"/>
      <c r="FP71" s="18"/>
      <c r="FQ71" s="18"/>
      <c r="FR71" s="18"/>
      <c r="FS71" s="18"/>
      <c r="FT71" s="18"/>
      <c r="FU71" s="18"/>
      <c r="FV71" s="18"/>
      <c r="FW71" s="18"/>
      <c r="FX71" s="18"/>
      <c r="FY71" s="18"/>
      <c r="FZ71" s="18"/>
      <c r="GA71" s="18"/>
      <c r="GB71" s="18"/>
      <c r="GC71" s="18"/>
    </row>
    <row r="72" spans="1:185" ht="30" x14ac:dyDescent="0.25">
      <c r="A72" s="146" t="s">
        <v>123</v>
      </c>
      <c r="B72" s="231">
        <f>'1 уровень'!C280</f>
        <v>10781</v>
      </c>
      <c r="C72" s="231">
        <f>'1 уровень'!D280</f>
        <v>4492</v>
      </c>
      <c r="D72" s="231">
        <f>'1 уровень'!E280</f>
        <v>4266</v>
      </c>
      <c r="E72" s="232">
        <f>'1 уровень'!F280</f>
        <v>94.968833481745335</v>
      </c>
      <c r="F72" s="233">
        <f>'1 уровень'!G280</f>
        <v>8743.6066199999987</v>
      </c>
      <c r="G72" s="233">
        <f>'1 уровень'!H280</f>
        <v>3643.17</v>
      </c>
      <c r="H72" s="233">
        <f>'1 уровень'!I280</f>
        <v>3420.5894800000001</v>
      </c>
      <c r="I72" s="233">
        <f>'1 уровень'!J280</f>
        <v>93.890471210511734</v>
      </c>
      <c r="J72" s="46"/>
      <c r="K72" s="46"/>
      <c r="L72" s="46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  <c r="FK72" s="18"/>
      <c r="FL72" s="18"/>
      <c r="FM72" s="18"/>
      <c r="FN72" s="18"/>
      <c r="FO72" s="18"/>
      <c r="FP72" s="18"/>
      <c r="FQ72" s="18"/>
      <c r="FR72" s="18"/>
      <c r="FS72" s="18"/>
      <c r="FT72" s="18"/>
      <c r="FU72" s="18"/>
      <c r="FV72" s="18"/>
      <c r="FW72" s="18"/>
      <c r="FX72" s="18"/>
      <c r="FY72" s="18"/>
      <c r="FZ72" s="18"/>
      <c r="GA72" s="18"/>
      <c r="GB72" s="18"/>
      <c r="GC72" s="18"/>
    </row>
    <row r="73" spans="1:185" ht="30.75" thickBot="1" x14ac:dyDescent="0.3">
      <c r="A73" s="351" t="s">
        <v>125</v>
      </c>
      <c r="B73" s="231">
        <f>'1 уровень'!C281</f>
        <v>0</v>
      </c>
      <c r="C73" s="231">
        <f>'1 уровень'!D281</f>
        <v>0</v>
      </c>
      <c r="D73" s="231">
        <f>'1 уровень'!E281</f>
        <v>0</v>
      </c>
      <c r="E73" s="232">
        <f>'1 уровень'!F281</f>
        <v>0</v>
      </c>
      <c r="F73" s="233">
        <f>'1 уровень'!G281</f>
        <v>0</v>
      </c>
      <c r="G73" s="233">
        <f>'1 уровень'!H281</f>
        <v>0</v>
      </c>
      <c r="H73" s="233">
        <f>'1 уровень'!I281</f>
        <v>-4.0454400000000001</v>
      </c>
      <c r="I73" s="233" t="e">
        <f>'1 уровень'!J281</f>
        <v>#DIV/0!</v>
      </c>
      <c r="J73" s="46"/>
      <c r="K73" s="46"/>
      <c r="L73" s="46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  <c r="ER73" s="18"/>
      <c r="ES73" s="18"/>
      <c r="ET73" s="18"/>
      <c r="EU73" s="18"/>
      <c r="EV73" s="18"/>
      <c r="EW73" s="18"/>
      <c r="EX73" s="18"/>
      <c r="EY73" s="18"/>
      <c r="EZ73" s="18"/>
      <c r="FA73" s="18"/>
      <c r="FB73" s="18"/>
      <c r="FC73" s="18"/>
      <c r="FD73" s="18"/>
      <c r="FE73" s="18"/>
      <c r="FF73" s="18"/>
      <c r="FG73" s="18"/>
      <c r="FH73" s="18"/>
      <c r="FI73" s="18"/>
      <c r="FJ73" s="18"/>
      <c r="FK73" s="18"/>
      <c r="FL73" s="18"/>
      <c r="FM73" s="18"/>
      <c r="FN73" s="18"/>
      <c r="FO73" s="18"/>
      <c r="FP73" s="18"/>
      <c r="FQ73" s="18"/>
      <c r="FR73" s="18"/>
      <c r="FS73" s="18"/>
      <c r="FT73" s="18"/>
      <c r="FU73" s="18"/>
      <c r="FV73" s="18"/>
      <c r="FW73" s="18"/>
      <c r="FX73" s="18"/>
      <c r="FY73" s="18"/>
      <c r="FZ73" s="18"/>
      <c r="GA73" s="18"/>
      <c r="GB73" s="18"/>
      <c r="GC73" s="18"/>
    </row>
    <row r="74" spans="1:185" ht="15.75" thickBot="1" x14ac:dyDescent="0.3">
      <c r="A74" s="244" t="s">
        <v>106</v>
      </c>
      <c r="B74" s="236">
        <f>'1 уровень'!C282</f>
        <v>0</v>
      </c>
      <c r="C74" s="236">
        <f>'1 уровень'!D282</f>
        <v>0</v>
      </c>
      <c r="D74" s="236">
        <f>'1 уровень'!E282</f>
        <v>0</v>
      </c>
      <c r="E74" s="237">
        <f>'1 уровень'!F282</f>
        <v>0</v>
      </c>
      <c r="F74" s="238">
        <f>'1 уровень'!G282</f>
        <v>25551.407169999999</v>
      </c>
      <c r="G74" s="238">
        <f>'1 уровень'!H282</f>
        <v>10646.42</v>
      </c>
      <c r="H74" s="238">
        <f>'1 уровень'!I282</f>
        <v>5919.9122499999994</v>
      </c>
      <c r="I74" s="238">
        <f>'1 уровень'!J282</f>
        <v>55.604722056804064</v>
      </c>
      <c r="J74" s="46"/>
      <c r="L74" s="381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18"/>
      <c r="FA74" s="1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M74" s="18"/>
      <c r="FN74" s="18"/>
      <c r="FO74" s="18"/>
      <c r="FP74" s="18"/>
      <c r="FQ74" s="18"/>
      <c r="FR74" s="18"/>
      <c r="FS74" s="18"/>
      <c r="FT74" s="18"/>
      <c r="FU74" s="18"/>
      <c r="FV74" s="18"/>
      <c r="FW74" s="18"/>
      <c r="FX74" s="18"/>
      <c r="FY74" s="18"/>
      <c r="FZ74" s="18"/>
      <c r="GA74" s="18"/>
      <c r="GB74" s="18"/>
      <c r="GC74" s="18"/>
    </row>
    <row r="75" spans="1:185" s="18" customFormat="1" ht="15" customHeight="1" x14ac:dyDescent="0.25">
      <c r="A75" s="125" t="s">
        <v>20</v>
      </c>
      <c r="B75" s="133"/>
      <c r="C75" s="133"/>
      <c r="D75" s="356"/>
      <c r="E75" s="134"/>
      <c r="F75" s="118"/>
      <c r="G75" s="118"/>
      <c r="H75" s="360"/>
      <c r="I75" s="118"/>
      <c r="J75" s="46"/>
      <c r="K75" s="380"/>
      <c r="L75" s="381"/>
    </row>
    <row r="76" spans="1:185" ht="30" x14ac:dyDescent="0.25">
      <c r="A76" s="229" t="s">
        <v>120</v>
      </c>
      <c r="B76" s="226">
        <f>'2 уровень'!C170</f>
        <v>5693</v>
      </c>
      <c r="C76" s="226">
        <f>'2 уровень'!D170</f>
        <v>2372</v>
      </c>
      <c r="D76" s="226">
        <f>'2 уровень'!E170</f>
        <v>1691</v>
      </c>
      <c r="E76" s="227">
        <f>'2 уровень'!F170</f>
        <v>71.290050590219224</v>
      </c>
      <c r="F76" s="230">
        <f>'2 уровень'!G170</f>
        <v>8756.3448399999997</v>
      </c>
      <c r="G76" s="230">
        <f>'2 уровень'!H170</f>
        <v>3648.48</v>
      </c>
      <c r="H76" s="230">
        <f>'2 уровень'!I170</f>
        <v>2705.43228</v>
      </c>
      <c r="I76" s="230">
        <f>'2 уровень'!J170</f>
        <v>74.152312195763713</v>
      </c>
      <c r="J76" s="46"/>
      <c r="L76" s="381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/>
      <c r="EB76" s="18"/>
      <c r="EC76" s="18"/>
      <c r="ED76" s="18"/>
      <c r="EE76" s="18"/>
      <c r="EF76" s="18"/>
      <c r="EG76" s="18"/>
      <c r="EH76" s="18"/>
      <c r="EI76" s="18"/>
      <c r="EJ76" s="18"/>
      <c r="EK76" s="18"/>
      <c r="EL76" s="18"/>
      <c r="EM76" s="18"/>
      <c r="EN76" s="18"/>
      <c r="EO76" s="18"/>
      <c r="EP76" s="18"/>
      <c r="EQ76" s="18"/>
      <c r="ER76" s="18"/>
      <c r="ES76" s="18"/>
      <c r="ET76" s="18"/>
      <c r="EU76" s="18"/>
      <c r="EV76" s="18"/>
      <c r="EW76" s="18"/>
      <c r="EX76" s="18"/>
      <c r="EY76" s="18"/>
      <c r="EZ76" s="18"/>
      <c r="FA76" s="18"/>
      <c r="FB76" s="18"/>
      <c r="FC76" s="18"/>
      <c r="FD76" s="18"/>
      <c r="FE76" s="18"/>
      <c r="FF76" s="18"/>
      <c r="FG76" s="18"/>
      <c r="FH76" s="18"/>
      <c r="FI76" s="18"/>
      <c r="FJ76" s="18"/>
      <c r="FK76" s="18"/>
      <c r="FL76" s="18"/>
      <c r="FM76" s="18"/>
      <c r="FN76" s="18"/>
      <c r="FO76" s="18"/>
      <c r="FP76" s="18"/>
      <c r="FQ76" s="18"/>
      <c r="FR76" s="18"/>
      <c r="FS76" s="18"/>
      <c r="FT76" s="18"/>
      <c r="FU76" s="18"/>
      <c r="FV76" s="18"/>
      <c r="FW76" s="18"/>
      <c r="FX76" s="18"/>
      <c r="FY76" s="18"/>
      <c r="FZ76" s="18"/>
      <c r="GA76" s="18"/>
      <c r="GB76" s="18"/>
      <c r="GC76" s="18"/>
    </row>
    <row r="77" spans="1:185" ht="30" x14ac:dyDescent="0.25">
      <c r="A77" s="57" t="s">
        <v>79</v>
      </c>
      <c r="B77" s="136">
        <f>'2 уровень'!C171</f>
        <v>4199</v>
      </c>
      <c r="C77" s="136">
        <f>'2 уровень'!D171</f>
        <v>1749</v>
      </c>
      <c r="D77" s="21">
        <f>'2 уровень'!E171</f>
        <v>1394</v>
      </c>
      <c r="E77" s="137">
        <f>'2 уровень'!F171</f>
        <v>79.702687249857064</v>
      </c>
      <c r="F77" s="117">
        <f>'2 уровень'!G171</f>
        <v>5149.6494000000002</v>
      </c>
      <c r="G77" s="117">
        <f>'2 уровень'!H171</f>
        <v>2145.69</v>
      </c>
      <c r="H77" s="31">
        <f>'2 уровень'!I171</f>
        <v>1888.9707100000001</v>
      </c>
      <c r="I77" s="117">
        <f>'2 уровень'!J171</f>
        <v>88.03558342537832</v>
      </c>
      <c r="J77" s="46"/>
      <c r="L77" s="381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E77" s="18"/>
      <c r="FF77" s="18"/>
      <c r="FG77" s="18"/>
      <c r="FH77" s="18"/>
      <c r="FI77" s="18"/>
      <c r="FJ77" s="18"/>
      <c r="FK77" s="18"/>
      <c r="FL77" s="18"/>
      <c r="FM77" s="18"/>
      <c r="FN77" s="18"/>
      <c r="FO77" s="18"/>
      <c r="FP77" s="18"/>
      <c r="FQ77" s="18"/>
      <c r="FR77" s="18"/>
      <c r="FS77" s="18"/>
      <c r="FT77" s="18"/>
      <c r="FU77" s="18"/>
      <c r="FV77" s="18"/>
      <c r="FW77" s="18"/>
      <c r="FX77" s="18"/>
      <c r="FY77" s="18"/>
      <c r="FZ77" s="18"/>
      <c r="GA77" s="18"/>
      <c r="GB77" s="18"/>
      <c r="GC77" s="18"/>
    </row>
    <row r="78" spans="1:185" ht="30" x14ac:dyDescent="0.25">
      <c r="A78" s="57" t="s">
        <v>80</v>
      </c>
      <c r="B78" s="136">
        <f>'2 уровень'!C172</f>
        <v>1260</v>
      </c>
      <c r="C78" s="136">
        <f>'2 уровень'!D172</f>
        <v>525</v>
      </c>
      <c r="D78" s="21">
        <f>'2 уровень'!E172</f>
        <v>215</v>
      </c>
      <c r="E78" s="137">
        <f>'2 уровень'!F172</f>
        <v>40.952380952380949</v>
      </c>
      <c r="F78" s="117">
        <f>'2 уровень'!G172</f>
        <v>2071.1687199999997</v>
      </c>
      <c r="G78" s="117">
        <f>'2 уровень'!H172</f>
        <v>862.98</v>
      </c>
      <c r="H78" s="31">
        <f>'2 уровень'!I172</f>
        <v>315.77602000000002</v>
      </c>
      <c r="I78" s="117">
        <f>'2 уровень'!J172</f>
        <v>36.59134858281768</v>
      </c>
      <c r="J78" s="46"/>
      <c r="L78" s="381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  <c r="EN78" s="18"/>
      <c r="EO78" s="18"/>
      <c r="EP78" s="18"/>
      <c r="EQ78" s="18"/>
      <c r="ER78" s="18"/>
      <c r="ES78" s="18"/>
      <c r="ET78" s="18"/>
      <c r="EU78" s="18"/>
      <c r="EV78" s="18"/>
      <c r="EW78" s="18"/>
      <c r="EX78" s="18"/>
      <c r="EY78" s="18"/>
      <c r="EZ78" s="18"/>
      <c r="FA78" s="18"/>
      <c r="FB78" s="18"/>
      <c r="FC78" s="18"/>
      <c r="FD78" s="18"/>
      <c r="FE78" s="18"/>
      <c r="FF78" s="18"/>
      <c r="FG78" s="18"/>
      <c r="FH78" s="18"/>
      <c r="FI78" s="18"/>
      <c r="FJ78" s="18"/>
      <c r="FK78" s="18"/>
      <c r="FL78" s="18"/>
      <c r="FM78" s="18"/>
      <c r="FN78" s="18"/>
      <c r="FO78" s="18"/>
      <c r="FP78" s="18"/>
      <c r="FQ78" s="18"/>
      <c r="FR78" s="18"/>
      <c r="FS78" s="18"/>
      <c r="FT78" s="18"/>
      <c r="FU78" s="18"/>
      <c r="FV78" s="18"/>
      <c r="FW78" s="18"/>
      <c r="FX78" s="18"/>
      <c r="FY78" s="18"/>
      <c r="FZ78" s="18"/>
      <c r="GA78" s="18"/>
      <c r="GB78" s="18"/>
      <c r="GC78" s="18"/>
    </row>
    <row r="79" spans="1:185" ht="45" x14ac:dyDescent="0.25">
      <c r="A79" s="57" t="s">
        <v>130</v>
      </c>
      <c r="B79" s="136">
        <f>'2 уровень'!C173</f>
        <v>54</v>
      </c>
      <c r="C79" s="136">
        <f>'2 уровень'!D173</f>
        <v>23</v>
      </c>
      <c r="D79" s="21">
        <f>'2 уровень'!E173</f>
        <v>49</v>
      </c>
      <c r="E79" s="137">
        <f>'2 уровень'!F173</f>
        <v>213.04347826086959</v>
      </c>
      <c r="F79" s="117">
        <f>'2 уровень'!G173</f>
        <v>354.35232000000002</v>
      </c>
      <c r="G79" s="117">
        <f>'2 уровень'!H173</f>
        <v>147.65</v>
      </c>
      <c r="H79" s="31">
        <f>'2 уровень'!I173</f>
        <v>321.54192</v>
      </c>
      <c r="I79" s="117">
        <f>'2 уровень'!J173</f>
        <v>217.77305790721303</v>
      </c>
      <c r="J79" s="46"/>
      <c r="L79" s="381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</row>
    <row r="80" spans="1:185" ht="30" x14ac:dyDescent="0.25">
      <c r="A80" s="57" t="s">
        <v>111</v>
      </c>
      <c r="B80" s="136">
        <f>'2 уровень'!C174</f>
        <v>180</v>
      </c>
      <c r="C80" s="136">
        <f>'2 уровень'!D174</f>
        <v>75</v>
      </c>
      <c r="D80" s="21">
        <f>'2 уровень'!E174</f>
        <v>33</v>
      </c>
      <c r="E80" s="137">
        <f>'2 уровень'!F174</f>
        <v>44</v>
      </c>
      <c r="F80" s="117">
        <f>'2 уровень'!G174</f>
        <v>1181.1743999999999</v>
      </c>
      <c r="G80" s="117">
        <f>'2 уровень'!H174</f>
        <v>492.16</v>
      </c>
      <c r="H80" s="31">
        <f>'2 уровень'!I174</f>
        <v>179.14362999999997</v>
      </c>
      <c r="I80" s="117">
        <f>'2 уровень'!J174</f>
        <v>36.399469684655386</v>
      </c>
      <c r="J80" s="46"/>
      <c r="L80" s="381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</row>
    <row r="81" spans="1:185" ht="30" x14ac:dyDescent="0.25">
      <c r="A81" s="229" t="s">
        <v>112</v>
      </c>
      <c r="B81" s="226">
        <f>'2 уровень'!C175</f>
        <v>6994</v>
      </c>
      <c r="C81" s="226">
        <f>'2 уровень'!D175</f>
        <v>2914</v>
      </c>
      <c r="D81" s="226">
        <f>'2 уровень'!E175</f>
        <v>1751</v>
      </c>
      <c r="E81" s="227">
        <f>'2 уровень'!F175</f>
        <v>91.088337809024864</v>
      </c>
      <c r="F81" s="230">
        <f>'2 уровень'!G175</f>
        <v>15168.001750000001</v>
      </c>
      <c r="G81" s="230">
        <f>'2 уровень'!H175</f>
        <v>6320.0100000000011</v>
      </c>
      <c r="H81" s="230">
        <f>'2 уровень'!I175</f>
        <v>3883.0171700000005</v>
      </c>
      <c r="I81" s="230">
        <f>'2 уровень'!J175</f>
        <v>61.440047879671077</v>
      </c>
      <c r="J81" s="46"/>
      <c r="L81" s="381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</row>
    <row r="82" spans="1:185" ht="30" x14ac:dyDescent="0.25">
      <c r="A82" s="57" t="s">
        <v>108</v>
      </c>
      <c r="B82" s="136">
        <f>'2 уровень'!C176</f>
        <v>1138</v>
      </c>
      <c r="C82" s="136">
        <f>'2 уровень'!D176</f>
        <v>474</v>
      </c>
      <c r="D82" s="21">
        <f>'2 уровень'!E176</f>
        <v>297</v>
      </c>
      <c r="E82" s="137">
        <f>'2 уровень'!F176</f>
        <v>99.685699319015185</v>
      </c>
      <c r="F82" s="117">
        <f>'2 уровень'!G176</f>
        <v>2413.1403799999998</v>
      </c>
      <c r="G82" s="117">
        <f>'2 уровень'!H176</f>
        <v>1005.48</v>
      </c>
      <c r="H82" s="31">
        <f>'2 уровень'!I176</f>
        <v>630.42435</v>
      </c>
      <c r="I82" s="117">
        <f>'2 уровень'!J176</f>
        <v>62.698845327604722</v>
      </c>
      <c r="J82" s="46"/>
      <c r="L82" s="381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</row>
    <row r="83" spans="1:185" ht="60" x14ac:dyDescent="0.25">
      <c r="A83" s="57" t="s">
        <v>81</v>
      </c>
      <c r="B83" s="136">
        <f>'2 уровень'!C177</f>
        <v>5141</v>
      </c>
      <c r="C83" s="136">
        <f>'2 уровень'!D177</f>
        <v>2142</v>
      </c>
      <c r="D83" s="21">
        <f>'2 уровень'!E177</f>
        <v>976</v>
      </c>
      <c r="E83" s="137">
        <f>'2 уровень'!F177</f>
        <v>45.564892623716155</v>
      </c>
      <c r="F83" s="117">
        <f>'2 уровень'!G177</f>
        <v>12054.046970000001</v>
      </c>
      <c r="G83" s="117">
        <f>'2 уровень'!H177</f>
        <v>5022.5200000000004</v>
      </c>
      <c r="H83" s="31">
        <f>'2 уровень'!I177</f>
        <v>2757.3841100000004</v>
      </c>
      <c r="I83" s="117">
        <f>'2 уровень'!J177</f>
        <v>54.900410749982086</v>
      </c>
      <c r="J83" s="46"/>
      <c r="L83" s="381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</row>
    <row r="84" spans="1:185" ht="45" x14ac:dyDescent="0.25">
      <c r="A84" s="57" t="s">
        <v>109</v>
      </c>
      <c r="B84" s="136">
        <f>'2 уровень'!C178</f>
        <v>715</v>
      </c>
      <c r="C84" s="136">
        <f>'2 уровень'!D178</f>
        <v>298</v>
      </c>
      <c r="D84" s="21">
        <f>'2 уровень'!E178</f>
        <v>478</v>
      </c>
      <c r="E84" s="137">
        <f>'2 уровень'!F178</f>
        <v>160.40268456375838</v>
      </c>
      <c r="F84" s="117">
        <f>'2 уровень'!G178</f>
        <v>700.81439999999998</v>
      </c>
      <c r="G84" s="117">
        <f>'2 уровень'!H178</f>
        <v>292.01</v>
      </c>
      <c r="H84" s="31">
        <f>'2 уровень'!I178</f>
        <v>495.20870999999988</v>
      </c>
      <c r="I84" s="117">
        <f>'2 уровень'!J178</f>
        <v>169.5862162254717</v>
      </c>
      <c r="J84" s="46"/>
      <c r="L84" s="381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</row>
    <row r="85" spans="1:185" ht="30" x14ac:dyDescent="0.25">
      <c r="A85" s="343" t="s">
        <v>123</v>
      </c>
      <c r="B85" s="245">
        <f>'2 уровень'!C179</f>
        <v>14487</v>
      </c>
      <c r="C85" s="245">
        <f>'2 уровень'!D179</f>
        <v>6037</v>
      </c>
      <c r="D85" s="231">
        <f>'2 уровень'!E179</f>
        <v>2498</v>
      </c>
      <c r="E85" s="246">
        <f>'2 уровень'!F179</f>
        <v>38.238434163701065</v>
      </c>
      <c r="F85" s="234">
        <f>'2 уровень'!G179</f>
        <v>14099.038140000001</v>
      </c>
      <c r="G85" s="234">
        <f>'2 уровень'!H179</f>
        <v>5874.6</v>
      </c>
      <c r="H85" s="233">
        <f>'2 уровень'!I179</f>
        <v>2348.0758599999999</v>
      </c>
      <c r="I85" s="234">
        <f>'2 уровень'!J179</f>
        <v>39.969970040513388</v>
      </c>
      <c r="J85" s="46"/>
      <c r="K85" s="46"/>
      <c r="L85" s="46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</row>
    <row r="86" spans="1:185" ht="30" x14ac:dyDescent="0.25">
      <c r="A86" s="352" t="s">
        <v>124</v>
      </c>
      <c r="B86" s="245">
        <f>'2 уровень'!C180</f>
        <v>700</v>
      </c>
      <c r="C86" s="245">
        <f>'2 уровень'!D180</f>
        <v>292</v>
      </c>
      <c r="D86" s="231">
        <f>'2 уровень'!E180</f>
        <v>243</v>
      </c>
      <c r="E86" s="246">
        <f>'2 уровень'!F180</f>
        <v>83.219178082191775</v>
      </c>
      <c r="F86" s="234">
        <f>'2 уровень'!G180</f>
        <v>681.25400000000002</v>
      </c>
      <c r="G86" s="234">
        <f>'2 уровень'!H180</f>
        <v>283.86</v>
      </c>
      <c r="H86" s="233">
        <f>'2 уровень'!I180</f>
        <v>234.20618999999996</v>
      </c>
      <c r="I86" s="234">
        <f>'2 уровень'!J180</f>
        <v>0</v>
      </c>
      <c r="J86" s="46"/>
      <c r="K86" s="46"/>
      <c r="L86" s="46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</row>
    <row r="87" spans="1:185" ht="30.75" thickBot="1" x14ac:dyDescent="0.3">
      <c r="A87" s="343" t="s">
        <v>125</v>
      </c>
      <c r="B87" s="245">
        <f>'2 уровень'!C181</f>
        <v>600</v>
      </c>
      <c r="C87" s="245">
        <f>'2 уровень'!D181</f>
        <v>250</v>
      </c>
      <c r="D87" s="231">
        <f>'2 уровень'!E181</f>
        <v>204</v>
      </c>
      <c r="E87" s="246">
        <f>'2 уровень'!F181</f>
        <v>64.8</v>
      </c>
      <c r="F87" s="234">
        <f>'2 уровень'!G181</f>
        <v>583.93200000000002</v>
      </c>
      <c r="G87" s="234">
        <f>'2 уровень'!H181</f>
        <v>243.3</v>
      </c>
      <c r="H87" s="233">
        <f>'2 уровень'!I181</f>
        <v>192.61664999999999</v>
      </c>
      <c r="I87" s="234">
        <f>'2 уровень'!J181</f>
        <v>0</v>
      </c>
      <c r="J87" s="46"/>
      <c r="K87" s="46"/>
      <c r="L87" s="46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</row>
    <row r="88" spans="1:185" ht="15.75" thickBot="1" x14ac:dyDescent="0.3">
      <c r="A88" s="235" t="s">
        <v>4</v>
      </c>
      <c r="B88" s="247">
        <f>'2 уровень'!C182</f>
        <v>0</v>
      </c>
      <c r="C88" s="247">
        <f>'2 уровень'!D182</f>
        <v>0</v>
      </c>
      <c r="D88" s="236">
        <f>'2 уровень'!E182</f>
        <v>0</v>
      </c>
      <c r="E88" s="248">
        <f>'2 уровень'!F182</f>
        <v>0</v>
      </c>
      <c r="F88" s="239">
        <f>'2 уровень'!G182</f>
        <v>38023.384730000005</v>
      </c>
      <c r="G88" s="239">
        <f>'2 уровень'!H182</f>
        <v>15843.090000000002</v>
      </c>
      <c r="H88" s="238">
        <f>'2 уровень'!I182</f>
        <v>8936.5253100000009</v>
      </c>
      <c r="I88" s="239">
        <f>'2 уровень'!J182</f>
        <v>56.406454233359781</v>
      </c>
      <c r="J88" s="46"/>
      <c r="L88" s="381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</row>
    <row r="89" spans="1:185" s="18" customFormat="1" ht="15" customHeight="1" x14ac:dyDescent="0.25">
      <c r="A89" s="125" t="s">
        <v>21</v>
      </c>
      <c r="B89" s="133"/>
      <c r="C89" s="133"/>
      <c r="D89" s="356"/>
      <c r="E89" s="134"/>
      <c r="F89" s="118"/>
      <c r="G89" s="118"/>
      <c r="H89" s="360"/>
      <c r="I89" s="118"/>
      <c r="J89" s="46"/>
      <c r="K89" s="380"/>
      <c r="L89" s="381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  <c r="EM89" s="17"/>
      <c r="EN89" s="17"/>
      <c r="EO89" s="17"/>
      <c r="EP89" s="17"/>
      <c r="EQ89" s="17"/>
      <c r="ER89" s="17"/>
      <c r="ES89" s="17"/>
      <c r="ET89" s="17"/>
      <c r="EU89" s="17"/>
      <c r="EV89" s="17"/>
      <c r="EW89" s="17"/>
      <c r="EX89" s="17"/>
      <c r="EY89" s="17"/>
      <c r="EZ89" s="17"/>
      <c r="FA89" s="17"/>
      <c r="FB89" s="17"/>
      <c r="FC89" s="17"/>
      <c r="FD89" s="17"/>
      <c r="FE89" s="17"/>
      <c r="FF89" s="17"/>
      <c r="FG89" s="17"/>
      <c r="FH89" s="17"/>
      <c r="FI89" s="17"/>
      <c r="FJ89" s="17"/>
      <c r="FK89" s="17"/>
      <c r="FL89" s="17"/>
      <c r="FM89" s="17"/>
      <c r="FN89" s="17"/>
      <c r="FO89" s="17"/>
      <c r="FP89" s="17"/>
      <c r="FQ89" s="17"/>
      <c r="FR89" s="17"/>
      <c r="FS89" s="17"/>
      <c r="FT89" s="17"/>
      <c r="FU89" s="17"/>
      <c r="FV89" s="17"/>
      <c r="FW89" s="17"/>
      <c r="FX89" s="17"/>
      <c r="FY89" s="17"/>
      <c r="FZ89" s="17"/>
      <c r="GA89" s="17"/>
      <c r="GB89" s="17"/>
      <c r="GC89" s="17"/>
    </row>
    <row r="90" spans="1:185" s="18" customFormat="1" ht="53.25" customHeight="1" x14ac:dyDescent="0.25">
      <c r="A90" s="229" t="s">
        <v>120</v>
      </c>
      <c r="B90" s="264">
        <f>'2 уровень'!C198</f>
        <v>4185</v>
      </c>
      <c r="C90" s="264">
        <f>'2 уровень'!D198</f>
        <v>1744</v>
      </c>
      <c r="D90" s="264">
        <f>'2 уровень'!E198</f>
        <v>1019</v>
      </c>
      <c r="E90" s="265">
        <f>'2 уровень'!F198</f>
        <v>58.428899082568805</v>
      </c>
      <c r="F90" s="266">
        <f>'2 уровень'!G198</f>
        <v>7005.2602500000003</v>
      </c>
      <c r="G90" s="266">
        <f>'2 уровень'!H198</f>
        <v>2918.8499999999995</v>
      </c>
      <c r="H90" s="266">
        <f>'2 уровень'!I198</f>
        <v>1555.5777999999998</v>
      </c>
      <c r="I90" s="266">
        <f>'2 уровень'!J198</f>
        <v>53.294201483460959</v>
      </c>
      <c r="J90" s="46"/>
      <c r="K90" s="380"/>
      <c r="L90" s="381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17"/>
      <c r="ER90" s="17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  <c r="FF90" s="17"/>
      <c r="FG90" s="17"/>
      <c r="FH90" s="17"/>
      <c r="FI90" s="17"/>
      <c r="FJ90" s="17"/>
      <c r="FK90" s="17"/>
      <c r="FL90" s="17"/>
      <c r="FM90" s="17"/>
      <c r="FN90" s="17"/>
      <c r="FO90" s="17"/>
      <c r="FP90" s="17"/>
      <c r="FQ90" s="17"/>
      <c r="FR90" s="17"/>
      <c r="FS90" s="17"/>
      <c r="FT90" s="17"/>
      <c r="FU90" s="17"/>
      <c r="FV90" s="17"/>
      <c r="FW90" s="17"/>
      <c r="FX90" s="17"/>
      <c r="FY90" s="17"/>
      <c r="FZ90" s="17"/>
      <c r="GA90" s="17"/>
      <c r="GB90" s="17"/>
      <c r="GC90" s="17"/>
    </row>
    <row r="91" spans="1:185" s="18" customFormat="1" ht="38.1" customHeight="1" x14ac:dyDescent="0.25">
      <c r="A91" s="57" t="s">
        <v>79</v>
      </c>
      <c r="B91" s="141">
        <f>'2 уровень'!C199</f>
        <v>3071</v>
      </c>
      <c r="C91" s="141">
        <f>'2 уровень'!D199</f>
        <v>1280</v>
      </c>
      <c r="D91" s="35">
        <f>'2 уровень'!E199</f>
        <v>1019</v>
      </c>
      <c r="E91" s="142">
        <f>'2 уровень'!F199</f>
        <v>79.609375</v>
      </c>
      <c r="F91" s="143">
        <f>'2 уровень'!G199</f>
        <v>4181.0510000000004</v>
      </c>
      <c r="G91" s="143">
        <f>'2 уровень'!H199</f>
        <v>1742.1</v>
      </c>
      <c r="H91" s="361">
        <f>'2 уровень'!I199</f>
        <v>1625.7219499999997</v>
      </c>
      <c r="I91" s="143">
        <f>'2 уровень'!J199</f>
        <v>93.319668790540135</v>
      </c>
      <c r="J91" s="46"/>
      <c r="K91" s="380"/>
      <c r="L91" s="381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  <c r="EM91" s="17"/>
      <c r="EN91" s="17"/>
      <c r="EO91" s="17"/>
      <c r="EP91" s="17"/>
      <c r="EQ91" s="17"/>
      <c r="ER91" s="17"/>
      <c r="ES91" s="17"/>
      <c r="ET91" s="17"/>
      <c r="EU91" s="17"/>
      <c r="EV91" s="17"/>
      <c r="EW91" s="17"/>
      <c r="EX91" s="17"/>
      <c r="EY91" s="17"/>
      <c r="EZ91" s="17"/>
      <c r="FA91" s="17"/>
      <c r="FB91" s="17"/>
      <c r="FC91" s="17"/>
      <c r="FD91" s="17"/>
      <c r="FE91" s="17"/>
      <c r="FF91" s="17"/>
      <c r="FG91" s="17"/>
      <c r="FH91" s="17"/>
      <c r="FI91" s="17"/>
      <c r="FJ91" s="17"/>
      <c r="FK91" s="17"/>
      <c r="FL91" s="17"/>
      <c r="FM91" s="17"/>
      <c r="FN91" s="17"/>
      <c r="FO91" s="17"/>
      <c r="FP91" s="17"/>
      <c r="FQ91" s="17"/>
      <c r="FR91" s="17"/>
      <c r="FS91" s="17"/>
      <c r="FT91" s="17"/>
      <c r="FU91" s="17"/>
      <c r="FV91" s="17"/>
      <c r="FW91" s="17"/>
      <c r="FX91" s="17"/>
      <c r="FY91" s="17"/>
      <c r="FZ91" s="17"/>
      <c r="GA91" s="17"/>
      <c r="GB91" s="17"/>
      <c r="GC91" s="17"/>
    </row>
    <row r="92" spans="1:185" s="18" customFormat="1" ht="38.1" customHeight="1" x14ac:dyDescent="0.25">
      <c r="A92" s="57" t="s">
        <v>80</v>
      </c>
      <c r="B92" s="141">
        <f>'2 уровень'!C200</f>
        <v>921</v>
      </c>
      <c r="C92" s="141">
        <f>'2 уровень'!D200</f>
        <v>384</v>
      </c>
      <c r="D92" s="35">
        <f>'2 уровень'!E200</f>
        <v>0</v>
      </c>
      <c r="E92" s="142">
        <f>'2 уровень'!F200</f>
        <v>0</v>
      </c>
      <c r="F92" s="143">
        <f>'2 уровень'!G200</f>
        <v>1557.7278099999999</v>
      </c>
      <c r="G92" s="143">
        <f>'2 уровень'!H200</f>
        <v>649.04999999999995</v>
      </c>
      <c r="H92" s="361">
        <f>'2 уровень'!I200</f>
        <v>-63.581899999999997</v>
      </c>
      <c r="I92" s="143">
        <f>'2 уровень'!J200</f>
        <v>-9.7961482166242977</v>
      </c>
      <c r="J92" s="46"/>
      <c r="K92" s="380"/>
      <c r="L92" s="381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17"/>
      <c r="FG92" s="17"/>
      <c r="FH92" s="17"/>
      <c r="FI92" s="17"/>
      <c r="FJ92" s="17"/>
      <c r="FK92" s="17"/>
      <c r="FL92" s="17"/>
      <c r="FM92" s="17"/>
      <c r="FN92" s="17"/>
      <c r="FO92" s="17"/>
      <c r="FP92" s="17"/>
      <c r="FQ92" s="17"/>
      <c r="FR92" s="17"/>
      <c r="FS92" s="17"/>
      <c r="FT92" s="17"/>
      <c r="FU92" s="17"/>
      <c r="FV92" s="17"/>
      <c r="FW92" s="17"/>
      <c r="FX92" s="17"/>
      <c r="FY92" s="17"/>
      <c r="FZ92" s="17"/>
      <c r="GA92" s="17"/>
      <c r="GB92" s="17"/>
      <c r="GC92" s="17"/>
    </row>
    <row r="93" spans="1:185" s="18" customFormat="1" ht="45" customHeight="1" x14ac:dyDescent="0.25">
      <c r="A93" s="57" t="s">
        <v>110</v>
      </c>
      <c r="B93" s="141">
        <f>'2 уровень'!C201</f>
        <v>20</v>
      </c>
      <c r="C93" s="141">
        <f>'2 уровень'!D201</f>
        <v>8</v>
      </c>
      <c r="D93" s="35">
        <f>'2 уровень'!E201</f>
        <v>0</v>
      </c>
      <c r="E93" s="142">
        <f>'2 уровень'!F201</f>
        <v>0</v>
      </c>
      <c r="F93" s="143">
        <f>'2 уровень'!G201</f>
        <v>131.24160000000001</v>
      </c>
      <c r="G93" s="143">
        <f>'2 уровень'!H201</f>
        <v>54.68</v>
      </c>
      <c r="H93" s="361">
        <f>'2 уровень'!I201</f>
        <v>0</v>
      </c>
      <c r="I93" s="143">
        <f>'2 уровень'!J201</f>
        <v>0</v>
      </c>
      <c r="J93" s="46"/>
      <c r="K93" s="380"/>
      <c r="L93" s="381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  <c r="ES93" s="17"/>
      <c r="ET93" s="17"/>
      <c r="EU93" s="17"/>
      <c r="EV93" s="17"/>
      <c r="EW93" s="17"/>
      <c r="EX93" s="17"/>
      <c r="EY93" s="17"/>
      <c r="EZ93" s="17"/>
      <c r="FA93" s="17"/>
      <c r="FB93" s="17"/>
      <c r="FC93" s="17"/>
      <c r="FD93" s="17"/>
      <c r="FE93" s="17"/>
      <c r="FF93" s="17"/>
      <c r="FG93" s="17"/>
      <c r="FH93" s="17"/>
      <c r="FI93" s="17"/>
      <c r="FJ93" s="17"/>
      <c r="FK93" s="17"/>
      <c r="FL93" s="17"/>
      <c r="FM93" s="17"/>
      <c r="FN93" s="17"/>
      <c r="FO93" s="17"/>
      <c r="FP93" s="17"/>
      <c r="FQ93" s="17"/>
      <c r="FR93" s="17"/>
      <c r="FS93" s="17"/>
      <c r="FT93" s="17"/>
      <c r="FU93" s="17"/>
      <c r="FV93" s="17"/>
      <c r="FW93" s="17"/>
      <c r="FX93" s="17"/>
      <c r="FY93" s="17"/>
      <c r="FZ93" s="17"/>
      <c r="GA93" s="17"/>
      <c r="GB93" s="17"/>
      <c r="GC93" s="17"/>
    </row>
    <row r="94" spans="1:185" s="18" customFormat="1" ht="38.1" customHeight="1" x14ac:dyDescent="0.25">
      <c r="A94" s="57" t="s">
        <v>111</v>
      </c>
      <c r="B94" s="116">
        <f>'2 уровень'!C202</f>
        <v>173</v>
      </c>
      <c r="C94" s="116">
        <f>'2 уровень'!D202</f>
        <v>72</v>
      </c>
      <c r="D94" s="20">
        <f>'2 уровень'!E202</f>
        <v>0</v>
      </c>
      <c r="E94" s="135">
        <f>'2 уровень'!F202</f>
        <v>0</v>
      </c>
      <c r="F94" s="115">
        <f>'2 уровень'!G202</f>
        <v>1135.2398400000002</v>
      </c>
      <c r="G94" s="115">
        <f>'2 уровень'!H202</f>
        <v>473.02</v>
      </c>
      <c r="H94" s="362">
        <f>'2 уровень'!I202</f>
        <v>-6.5622499999999997</v>
      </c>
      <c r="I94" s="115">
        <f>'2 уровень'!J202</f>
        <v>-1.3873092046847912</v>
      </c>
      <c r="J94" s="46"/>
      <c r="K94" s="380"/>
      <c r="L94" s="381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17"/>
      <c r="ER94" s="17"/>
      <c r="ES94" s="17"/>
      <c r="ET94" s="17"/>
      <c r="EU94" s="17"/>
      <c r="EV94" s="17"/>
      <c r="EW94" s="17"/>
      <c r="EX94" s="17"/>
      <c r="EY94" s="17"/>
      <c r="EZ94" s="17"/>
      <c r="FA94" s="17"/>
      <c r="FB94" s="17"/>
      <c r="FC94" s="17"/>
      <c r="FD94" s="17"/>
      <c r="FE94" s="17"/>
      <c r="FF94" s="17"/>
      <c r="FG94" s="17"/>
      <c r="FH94" s="17"/>
      <c r="FI94" s="17"/>
      <c r="FJ94" s="17"/>
      <c r="FK94" s="17"/>
      <c r="FL94" s="17"/>
      <c r="FM94" s="17"/>
      <c r="FN94" s="17"/>
      <c r="FO94" s="17"/>
      <c r="FP94" s="17"/>
      <c r="FQ94" s="17"/>
      <c r="FR94" s="17"/>
      <c r="FS94" s="17"/>
      <c r="FT94" s="17"/>
      <c r="FU94" s="17"/>
      <c r="FV94" s="17"/>
      <c r="FW94" s="17"/>
      <c r="FX94" s="17"/>
      <c r="FY94" s="17"/>
      <c r="FZ94" s="17"/>
      <c r="GA94" s="17"/>
      <c r="GB94" s="17"/>
      <c r="GC94" s="17"/>
    </row>
    <row r="95" spans="1:185" s="18" customFormat="1" ht="54" customHeight="1" x14ac:dyDescent="0.25">
      <c r="A95" s="229" t="s">
        <v>112</v>
      </c>
      <c r="B95" s="264">
        <f>'2 уровень'!C203</f>
        <v>4350</v>
      </c>
      <c r="C95" s="264">
        <f>'2 уровень'!D203</f>
        <v>1813</v>
      </c>
      <c r="D95" s="264">
        <f>'2 уровень'!E203</f>
        <v>560</v>
      </c>
      <c r="E95" s="265">
        <f>'2 уровень'!F203</f>
        <v>30.888030888030887</v>
      </c>
      <c r="F95" s="266">
        <f>'2 уровень'!G203</f>
        <v>10640.283499999998</v>
      </c>
      <c r="G95" s="266">
        <f>'2 уровень'!H203</f>
        <v>4433.45</v>
      </c>
      <c r="H95" s="266">
        <f>'2 уровень'!I203</f>
        <v>588.58403999999996</v>
      </c>
      <c r="I95" s="266">
        <f>'2 уровень'!J203</f>
        <v>13.275982361366429</v>
      </c>
      <c r="J95" s="46"/>
      <c r="K95" s="380"/>
      <c r="L95" s="381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7"/>
      <c r="DW95" s="17"/>
      <c r="DX95" s="17"/>
      <c r="DY95" s="17"/>
      <c r="DZ95" s="17"/>
      <c r="EA95" s="17"/>
      <c r="EB95" s="17"/>
      <c r="EC95" s="17"/>
      <c r="ED95" s="17"/>
      <c r="EE95" s="17"/>
      <c r="EF95" s="17"/>
      <c r="EG95" s="17"/>
      <c r="EH95" s="17"/>
      <c r="EI95" s="17"/>
      <c r="EJ95" s="17"/>
      <c r="EK95" s="17"/>
      <c r="EL95" s="17"/>
      <c r="EM95" s="17"/>
      <c r="EN95" s="17"/>
      <c r="EO95" s="17"/>
      <c r="EP95" s="17"/>
      <c r="EQ95" s="17"/>
      <c r="ER95" s="17"/>
      <c r="ES95" s="17"/>
      <c r="ET95" s="17"/>
      <c r="EU95" s="17"/>
      <c r="EV95" s="17"/>
      <c r="EW95" s="17"/>
      <c r="EX95" s="17"/>
      <c r="EY95" s="17"/>
      <c r="EZ95" s="17"/>
      <c r="FA95" s="17"/>
      <c r="FB95" s="17"/>
      <c r="FC95" s="17"/>
      <c r="FD95" s="17"/>
      <c r="FE95" s="17"/>
      <c r="FF95" s="17"/>
      <c r="FG95" s="17"/>
      <c r="FH95" s="17"/>
      <c r="FI95" s="17"/>
      <c r="FJ95" s="17"/>
      <c r="FK95" s="17"/>
      <c r="FL95" s="17"/>
      <c r="FM95" s="17"/>
      <c r="FN95" s="17"/>
      <c r="FO95" s="17"/>
      <c r="FP95" s="17"/>
      <c r="FQ95" s="17"/>
      <c r="FR95" s="17"/>
      <c r="FS95" s="17"/>
      <c r="FT95" s="17"/>
      <c r="FU95" s="17"/>
      <c r="FV95" s="17"/>
      <c r="FW95" s="17"/>
      <c r="FX95" s="17"/>
      <c r="FY95" s="17"/>
      <c r="FZ95" s="17"/>
      <c r="GA95" s="17"/>
      <c r="GB95" s="17"/>
      <c r="GC95" s="17"/>
    </row>
    <row r="96" spans="1:185" s="18" customFormat="1" ht="54" customHeight="1" x14ac:dyDescent="0.25">
      <c r="A96" s="57" t="s">
        <v>108</v>
      </c>
      <c r="B96" s="141">
        <f>'2 уровень'!C204</f>
        <v>150</v>
      </c>
      <c r="C96" s="141">
        <f>'2 уровень'!D204</f>
        <v>63</v>
      </c>
      <c r="D96" s="35">
        <f>'2 уровень'!E204</f>
        <v>23</v>
      </c>
      <c r="E96" s="142">
        <f>'2 уровень'!F204</f>
        <v>36.507936507936506</v>
      </c>
      <c r="F96" s="143">
        <f>'2 уровень'!G204</f>
        <v>318.07650000000001</v>
      </c>
      <c r="G96" s="143">
        <f>'2 уровень'!H204</f>
        <v>132.53</v>
      </c>
      <c r="H96" s="361">
        <f>'2 уровень'!I204</f>
        <v>49.155720000000002</v>
      </c>
      <c r="I96" s="143">
        <f>'2 уровень'!J204</f>
        <v>37.090258809326194</v>
      </c>
      <c r="J96" s="46"/>
      <c r="K96" s="380"/>
      <c r="L96" s="381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  <c r="EM96" s="17"/>
      <c r="EN96" s="17"/>
      <c r="EO96" s="17"/>
      <c r="EP96" s="17"/>
      <c r="EQ96" s="17"/>
      <c r="ER96" s="17"/>
      <c r="ES96" s="17"/>
      <c r="ET96" s="17"/>
      <c r="EU96" s="17"/>
      <c r="EV96" s="17"/>
      <c r="EW96" s="17"/>
      <c r="EX96" s="17"/>
      <c r="EY96" s="17"/>
      <c r="EZ96" s="17"/>
      <c r="FA96" s="17"/>
      <c r="FB96" s="17"/>
      <c r="FC96" s="17"/>
      <c r="FD96" s="17"/>
      <c r="FE96" s="17"/>
      <c r="FF96" s="17"/>
      <c r="FG96" s="17"/>
      <c r="FH96" s="17"/>
      <c r="FI96" s="17"/>
      <c r="FJ96" s="17"/>
      <c r="FK96" s="17"/>
      <c r="FL96" s="17"/>
      <c r="FM96" s="17"/>
      <c r="FN96" s="17"/>
      <c r="FO96" s="17"/>
      <c r="FP96" s="17"/>
      <c r="FQ96" s="17"/>
      <c r="FR96" s="17"/>
      <c r="FS96" s="17"/>
      <c r="FT96" s="17"/>
      <c r="FU96" s="17"/>
      <c r="FV96" s="17"/>
      <c r="FW96" s="17"/>
      <c r="FX96" s="17"/>
      <c r="FY96" s="17"/>
      <c r="FZ96" s="17"/>
      <c r="GA96" s="17"/>
      <c r="GB96" s="17"/>
      <c r="GC96" s="17"/>
    </row>
    <row r="97" spans="1:185" s="18" customFormat="1" ht="60" x14ac:dyDescent="0.25">
      <c r="A97" s="57" t="s">
        <v>81</v>
      </c>
      <c r="B97" s="141">
        <f>'2 уровень'!C205</f>
        <v>3500</v>
      </c>
      <c r="C97" s="141">
        <f>'2 уровень'!D205</f>
        <v>1458</v>
      </c>
      <c r="D97" s="35">
        <f>'2 уровень'!E205</f>
        <v>141</v>
      </c>
      <c r="E97" s="142">
        <f>'2 уровень'!F205</f>
        <v>9.6707818930041149</v>
      </c>
      <c r="F97" s="143">
        <f>'2 уровень'!G205</f>
        <v>9636.0949999999993</v>
      </c>
      <c r="G97" s="143">
        <f>'2 уровень'!H205</f>
        <v>4015.04</v>
      </c>
      <c r="H97" s="361">
        <f>'2 уровень'!I205</f>
        <v>181.69682999999998</v>
      </c>
      <c r="I97" s="143">
        <f>'2 уровень'!J205</f>
        <v>4.5254052263489273</v>
      </c>
      <c r="J97" s="46"/>
      <c r="K97" s="380"/>
      <c r="L97" s="381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  <c r="EM97" s="17"/>
      <c r="EN97" s="17"/>
      <c r="EO97" s="17"/>
      <c r="EP97" s="17"/>
      <c r="EQ97" s="17"/>
      <c r="ER97" s="17"/>
      <c r="ES97" s="17"/>
      <c r="ET97" s="17"/>
      <c r="EU97" s="17"/>
      <c r="EV97" s="17"/>
      <c r="EW97" s="17"/>
      <c r="EX97" s="17"/>
      <c r="EY97" s="17"/>
      <c r="EZ97" s="17"/>
      <c r="FA97" s="17"/>
      <c r="FB97" s="17"/>
      <c r="FC97" s="17"/>
      <c r="FD97" s="17"/>
      <c r="FE97" s="17"/>
      <c r="FF97" s="17"/>
      <c r="FG97" s="17"/>
      <c r="FH97" s="17"/>
      <c r="FI97" s="17"/>
      <c r="FJ97" s="17"/>
      <c r="FK97" s="17"/>
      <c r="FL97" s="17"/>
      <c r="FM97" s="17"/>
      <c r="FN97" s="17"/>
      <c r="FO97" s="17"/>
      <c r="FP97" s="17"/>
      <c r="FQ97" s="17"/>
      <c r="FR97" s="17"/>
      <c r="FS97" s="17"/>
      <c r="FT97" s="17"/>
      <c r="FU97" s="17"/>
      <c r="FV97" s="17"/>
      <c r="FW97" s="17"/>
      <c r="FX97" s="17"/>
      <c r="FY97" s="17"/>
      <c r="FZ97" s="17"/>
      <c r="GA97" s="17"/>
      <c r="GB97" s="17"/>
      <c r="GC97" s="17"/>
    </row>
    <row r="98" spans="1:185" s="18" customFormat="1" ht="45" x14ac:dyDescent="0.25">
      <c r="A98" s="57" t="s">
        <v>109</v>
      </c>
      <c r="B98" s="141">
        <f>'2 уровень'!C206</f>
        <v>700</v>
      </c>
      <c r="C98" s="141">
        <f>'2 уровень'!D206</f>
        <v>292</v>
      </c>
      <c r="D98" s="35">
        <f>'2 уровень'!E206</f>
        <v>396</v>
      </c>
      <c r="E98" s="142">
        <f>'2 уровень'!F206</f>
        <v>135.61643835616439</v>
      </c>
      <c r="F98" s="143">
        <f>'2 уровень'!G206</f>
        <v>686.11199999999997</v>
      </c>
      <c r="G98" s="143">
        <f>'2 уровень'!H206</f>
        <v>285.88</v>
      </c>
      <c r="H98" s="361">
        <f>'2 уровень'!I206</f>
        <v>357.73148999999995</v>
      </c>
      <c r="I98" s="143">
        <f>'2 уровень'!J206</f>
        <v>125.13344410242058</v>
      </c>
      <c r="J98" s="46"/>
      <c r="K98" s="380"/>
      <c r="L98" s="381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17"/>
      <c r="DZ98" s="17"/>
      <c r="EA98" s="17"/>
      <c r="EB98" s="17"/>
      <c r="EC98" s="17"/>
      <c r="ED98" s="17"/>
      <c r="EE98" s="17"/>
      <c r="EF98" s="17"/>
      <c r="EG98" s="17"/>
      <c r="EH98" s="17"/>
      <c r="EI98" s="17"/>
      <c r="EJ98" s="17"/>
      <c r="EK98" s="17"/>
      <c r="EL98" s="17"/>
      <c r="EM98" s="17"/>
      <c r="EN98" s="17"/>
      <c r="EO98" s="17"/>
      <c r="EP98" s="17"/>
      <c r="EQ98" s="17"/>
      <c r="ER98" s="17"/>
      <c r="ES98" s="17"/>
      <c r="ET98" s="17"/>
      <c r="EU98" s="17"/>
      <c r="EV98" s="17"/>
      <c r="EW98" s="17"/>
      <c r="EX98" s="17"/>
      <c r="EY98" s="17"/>
      <c r="EZ98" s="17"/>
      <c r="FA98" s="17"/>
      <c r="FB98" s="17"/>
      <c r="FC98" s="17"/>
      <c r="FD98" s="17"/>
      <c r="FE98" s="17"/>
      <c r="FF98" s="17"/>
      <c r="FG98" s="17"/>
      <c r="FH98" s="17"/>
      <c r="FI98" s="17"/>
      <c r="FJ98" s="17"/>
      <c r="FK98" s="17"/>
      <c r="FL98" s="17"/>
      <c r="FM98" s="17"/>
      <c r="FN98" s="17"/>
      <c r="FO98" s="17"/>
      <c r="FP98" s="17"/>
      <c r="FQ98" s="17"/>
      <c r="FR98" s="17"/>
      <c r="FS98" s="17"/>
      <c r="FT98" s="17"/>
      <c r="FU98" s="17"/>
      <c r="FV98" s="17"/>
      <c r="FW98" s="17"/>
      <c r="FX98" s="17"/>
      <c r="FY98" s="17"/>
      <c r="FZ98" s="17"/>
      <c r="GA98" s="17"/>
      <c r="GB98" s="17"/>
      <c r="GC98" s="17"/>
    </row>
    <row r="99" spans="1:185" s="18" customFormat="1" ht="38.1" customHeight="1" x14ac:dyDescent="0.25">
      <c r="A99" s="351" t="s">
        <v>123</v>
      </c>
      <c r="B99" s="249">
        <f>'2 уровень'!C207</f>
        <v>6950</v>
      </c>
      <c r="C99" s="249">
        <f>'2 уровень'!D207</f>
        <v>2896</v>
      </c>
      <c r="D99" s="357">
        <f>'2 уровень'!E207</f>
        <v>3283</v>
      </c>
      <c r="E99" s="250">
        <f>'2 уровень'!F207</f>
        <v>113.36325966850829</v>
      </c>
      <c r="F99" s="251">
        <f>'2 уровень'!G207</f>
        <v>6763.8789999999999</v>
      </c>
      <c r="G99" s="251">
        <f>'2 уровень'!H207</f>
        <v>2818.28</v>
      </c>
      <c r="H99" s="363">
        <f>'2 уровень'!I207</f>
        <v>3169.71047</v>
      </c>
      <c r="I99" s="251">
        <f>'2 уровень'!J207</f>
        <v>112.46967902408559</v>
      </c>
      <c r="J99" s="46"/>
      <c r="K99" s="46"/>
      <c r="L99" s="46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  <c r="EM99" s="17"/>
      <c r="EN99" s="17"/>
      <c r="EO99" s="17"/>
      <c r="EP99" s="17"/>
      <c r="EQ99" s="17"/>
      <c r="ER99" s="17"/>
      <c r="ES99" s="17"/>
      <c r="ET99" s="17"/>
      <c r="EU99" s="17"/>
      <c r="EV99" s="17"/>
      <c r="EW99" s="17"/>
      <c r="EX99" s="17"/>
      <c r="EY99" s="17"/>
      <c r="EZ99" s="17"/>
      <c r="FA99" s="17"/>
      <c r="FB99" s="17"/>
      <c r="FC99" s="17"/>
      <c r="FD99" s="17"/>
      <c r="FE99" s="17"/>
      <c r="FF99" s="17"/>
      <c r="FG99" s="17"/>
      <c r="FH99" s="17"/>
      <c r="FI99" s="17"/>
      <c r="FJ99" s="17"/>
      <c r="FK99" s="17"/>
      <c r="FL99" s="17"/>
      <c r="FM99" s="17"/>
      <c r="FN99" s="17"/>
      <c r="FO99" s="17"/>
      <c r="FP99" s="17"/>
      <c r="FQ99" s="17"/>
      <c r="FR99" s="17"/>
      <c r="FS99" s="17"/>
      <c r="FT99" s="17"/>
      <c r="FU99" s="17"/>
      <c r="FV99" s="17"/>
      <c r="FW99" s="17"/>
      <c r="FX99" s="17"/>
      <c r="FY99" s="17"/>
      <c r="FZ99" s="17"/>
      <c r="GA99" s="17"/>
      <c r="GB99" s="17"/>
      <c r="GC99" s="17"/>
    </row>
    <row r="100" spans="1:185" s="18" customFormat="1" ht="38.1" customHeight="1" thickBot="1" x14ac:dyDescent="0.3">
      <c r="A100" s="351" t="s">
        <v>125</v>
      </c>
      <c r="B100" s="249">
        <f>'2 уровень'!C208</f>
        <v>1850</v>
      </c>
      <c r="C100" s="249">
        <f>'2 уровень'!D208</f>
        <v>771</v>
      </c>
      <c r="D100" s="357">
        <f>'2 уровень'!E208</f>
        <v>890</v>
      </c>
      <c r="E100" s="250">
        <f>'2 уровень'!F208</f>
        <v>115.43450064850842</v>
      </c>
      <c r="F100" s="251">
        <f>'2 уровень'!G208</f>
        <v>1800.4569999999999</v>
      </c>
      <c r="G100" s="251">
        <f>'2 уровень'!H208</f>
        <v>750.19</v>
      </c>
      <c r="H100" s="363">
        <f>'2 уровень'!I208</f>
        <v>858.15811000000008</v>
      </c>
      <c r="I100" s="251">
        <f>'2 уровень'!J208</f>
        <v>114.39210200082645</v>
      </c>
      <c r="J100" s="46"/>
      <c r="K100" s="46"/>
      <c r="L100" s="46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  <c r="EM100" s="17"/>
      <c r="EN100" s="17"/>
      <c r="EO100" s="17"/>
      <c r="EP100" s="17"/>
      <c r="EQ100" s="17"/>
      <c r="ER100" s="17"/>
      <c r="ES100" s="17"/>
      <c r="ET100" s="17"/>
      <c r="EU100" s="17"/>
      <c r="EV100" s="17"/>
      <c r="EW100" s="17"/>
      <c r="EX100" s="17"/>
      <c r="EY100" s="17"/>
      <c r="EZ100" s="17"/>
      <c r="FA100" s="17"/>
      <c r="FB100" s="17"/>
      <c r="FC100" s="17"/>
      <c r="FD100" s="17"/>
      <c r="FE100" s="17"/>
      <c r="FF100" s="17"/>
      <c r="FG100" s="17"/>
      <c r="FH100" s="17"/>
      <c r="FI100" s="17"/>
      <c r="FJ100" s="17"/>
      <c r="FK100" s="17"/>
      <c r="FL100" s="17"/>
      <c r="FM100" s="17"/>
      <c r="FN100" s="17"/>
      <c r="FO100" s="17"/>
      <c r="FP100" s="17"/>
      <c r="FQ100" s="17"/>
      <c r="FR100" s="17"/>
      <c r="FS100" s="17"/>
      <c r="FT100" s="17"/>
      <c r="FU100" s="17"/>
      <c r="FV100" s="17"/>
      <c r="FW100" s="17"/>
      <c r="FX100" s="17"/>
      <c r="FY100" s="17"/>
      <c r="FZ100" s="17"/>
      <c r="GA100" s="17"/>
      <c r="GB100" s="17"/>
      <c r="GC100" s="17"/>
    </row>
    <row r="101" spans="1:185" s="18" customFormat="1" ht="15" customHeight="1" thickBot="1" x14ac:dyDescent="0.3">
      <c r="A101" s="235" t="s">
        <v>107</v>
      </c>
      <c r="B101" s="252">
        <f>'2 уровень'!C209</f>
        <v>0</v>
      </c>
      <c r="C101" s="252">
        <f>'2 уровень'!D209</f>
        <v>0</v>
      </c>
      <c r="D101" s="358">
        <f>'2 уровень'!E209</f>
        <v>0</v>
      </c>
      <c r="E101" s="253">
        <f>'2 уровень'!F209</f>
        <v>0</v>
      </c>
      <c r="F101" s="254">
        <f>'2 уровень'!G209</f>
        <v>24409.422749999998</v>
      </c>
      <c r="G101" s="254">
        <f>'2 уровень'!H209</f>
        <v>10170.58</v>
      </c>
      <c r="H101" s="364">
        <f>'2 уровень'!I209</f>
        <v>5313.8723099999997</v>
      </c>
      <c r="I101" s="254">
        <f>'2 уровень'!J209</f>
        <v>52.247485492469458</v>
      </c>
      <c r="J101" s="46"/>
      <c r="K101" s="380"/>
      <c r="L101" s="381"/>
    </row>
    <row r="102" spans="1:185" ht="15" customHeight="1" x14ac:dyDescent="0.25">
      <c r="A102" s="125" t="s">
        <v>22</v>
      </c>
      <c r="B102" s="40"/>
      <c r="C102" s="40"/>
      <c r="D102" s="40"/>
      <c r="E102" s="107"/>
      <c r="F102" s="41"/>
      <c r="G102" s="41"/>
      <c r="H102" s="41"/>
      <c r="I102" s="41"/>
      <c r="J102" s="46"/>
      <c r="L102" s="381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18"/>
      <c r="FZ102" s="18"/>
      <c r="GA102" s="18"/>
      <c r="GB102" s="18"/>
      <c r="GC102" s="18"/>
    </row>
    <row r="103" spans="1:185" ht="30" x14ac:dyDescent="0.25">
      <c r="A103" s="229" t="s">
        <v>120</v>
      </c>
      <c r="B103" s="226">
        <f>'1 уровень'!C298</f>
        <v>4015</v>
      </c>
      <c r="C103" s="226">
        <f>'1 уровень'!D298</f>
        <v>1674</v>
      </c>
      <c r="D103" s="226">
        <f>'1 уровень'!E298</f>
        <v>513</v>
      </c>
      <c r="E103" s="227">
        <f>'1 уровень'!F298</f>
        <v>30.64516129032258</v>
      </c>
      <c r="F103" s="230">
        <f>'1 уровень'!G298</f>
        <v>7369.6050500000001</v>
      </c>
      <c r="G103" s="230">
        <f>'1 уровень'!H298</f>
        <v>3070.67</v>
      </c>
      <c r="H103" s="230">
        <f>'1 уровень'!I298</f>
        <v>1221.0264999999999</v>
      </c>
      <c r="I103" s="230">
        <f>'1 уровень'!J298</f>
        <v>39.764171988523671</v>
      </c>
      <c r="J103" s="46"/>
      <c r="L103" s="381"/>
    </row>
    <row r="104" spans="1:185" ht="30" x14ac:dyDescent="0.25">
      <c r="A104" s="57" t="s">
        <v>79</v>
      </c>
      <c r="B104" s="21">
        <f>'1 уровень'!C299</f>
        <v>2788</v>
      </c>
      <c r="C104" s="21">
        <f>'1 уровень'!D299</f>
        <v>1162</v>
      </c>
      <c r="D104" s="21">
        <f>'1 уровень'!E299</f>
        <v>385</v>
      </c>
      <c r="E104" s="104">
        <f>'1 уровень'!F299</f>
        <v>33.132530120481931</v>
      </c>
      <c r="F104" s="31">
        <f>'1 уровень'!G299</f>
        <v>3965.808</v>
      </c>
      <c r="G104" s="31">
        <f>'1 уровень'!H299</f>
        <v>1652.42</v>
      </c>
      <c r="H104" s="31">
        <f>'1 уровень'!I299</f>
        <v>527.43597</v>
      </c>
      <c r="I104" s="31">
        <f>'1 уровень'!J299</f>
        <v>31.919001827622516</v>
      </c>
      <c r="J104" s="46"/>
      <c r="L104" s="381"/>
    </row>
    <row r="105" spans="1:185" ht="30" x14ac:dyDescent="0.25">
      <c r="A105" s="57" t="s">
        <v>80</v>
      </c>
      <c r="B105" s="21">
        <f>'1 уровень'!C300</f>
        <v>837</v>
      </c>
      <c r="C105" s="21">
        <f>'1 уровень'!D300</f>
        <v>349</v>
      </c>
      <c r="D105" s="21">
        <f>'1 уровень'!E300</f>
        <v>1</v>
      </c>
      <c r="E105" s="104">
        <f>'1 уровень'!F300</f>
        <v>0.28653295128939826</v>
      </c>
      <c r="F105" s="31">
        <f>'1 уровень'!G300</f>
        <v>1271.12105</v>
      </c>
      <c r="G105" s="31">
        <f>'1 уровень'!H300</f>
        <v>529.63</v>
      </c>
      <c r="H105" s="31">
        <f>'1 уровень'!I300</f>
        <v>-0.8962699999999999</v>
      </c>
      <c r="I105" s="31">
        <f>'1 уровень'!J300</f>
        <v>-0.16922568585616371</v>
      </c>
      <c r="J105" s="46"/>
      <c r="L105" s="381"/>
    </row>
    <row r="106" spans="1:185" s="18" customFormat="1" ht="45" x14ac:dyDescent="0.25">
      <c r="A106" s="57" t="s">
        <v>110</v>
      </c>
      <c r="B106" s="35">
        <f>'1 уровень'!C301</f>
        <v>160</v>
      </c>
      <c r="C106" s="35">
        <f>'1 уровень'!D301</f>
        <v>67</v>
      </c>
      <c r="D106" s="20">
        <f>'1 уровень'!E301</f>
        <v>109</v>
      </c>
      <c r="E106" s="103">
        <f>'1 уровень'!F301</f>
        <v>162.68656716417911</v>
      </c>
      <c r="F106" s="19">
        <f>'1 уровень'!G301</f>
        <v>874.94399999999996</v>
      </c>
      <c r="G106" s="19">
        <f>'1 уровень'!H301</f>
        <v>364.56</v>
      </c>
      <c r="H106" s="19">
        <f>'1 уровень'!I301</f>
        <v>596.05560000000003</v>
      </c>
      <c r="I106" s="19">
        <f>'1 уровень'!J301</f>
        <v>163.5</v>
      </c>
      <c r="J106" s="46"/>
      <c r="K106" s="380"/>
      <c r="L106" s="381"/>
    </row>
    <row r="107" spans="1:185" ht="30" x14ac:dyDescent="0.25">
      <c r="A107" s="57" t="s">
        <v>111</v>
      </c>
      <c r="B107" s="21">
        <f>'1 уровень'!C302</f>
        <v>230</v>
      </c>
      <c r="C107" s="21">
        <f>'1 уровень'!D302</f>
        <v>96</v>
      </c>
      <c r="D107" s="21">
        <f>'1 уровень'!E302</f>
        <v>18</v>
      </c>
      <c r="E107" s="104">
        <f>'1 уровень'!F302</f>
        <v>18.75</v>
      </c>
      <c r="F107" s="31">
        <f>'1 уровень'!G302</f>
        <v>1257.732</v>
      </c>
      <c r="G107" s="31">
        <f>'1 уровень'!H302</f>
        <v>524.05999999999995</v>
      </c>
      <c r="H107" s="31">
        <f>'1 уровень'!I302</f>
        <v>98.431200000000004</v>
      </c>
      <c r="I107" s="31">
        <f>'1 уровень'!J302</f>
        <v>18.78242949280617</v>
      </c>
      <c r="J107" s="46"/>
      <c r="L107" s="381"/>
    </row>
    <row r="108" spans="1:185" ht="30" x14ac:dyDescent="0.25">
      <c r="A108" s="229" t="s">
        <v>112</v>
      </c>
      <c r="B108" s="226">
        <f>'1 уровень'!C303</f>
        <v>5859</v>
      </c>
      <c r="C108" s="226">
        <f>'1 уровень'!D303</f>
        <v>2441</v>
      </c>
      <c r="D108" s="226">
        <f>'1 уровень'!E303</f>
        <v>2077</v>
      </c>
      <c r="E108" s="227">
        <f>'1 уровень'!F303</f>
        <v>85.088078656288403</v>
      </c>
      <c r="F108" s="230">
        <f>'1 уровень'!G303</f>
        <v>12236.931200000001</v>
      </c>
      <c r="G108" s="230">
        <f>'1 уровень'!H303</f>
        <v>5098.72</v>
      </c>
      <c r="H108" s="230">
        <f>'1 уровень'!I303</f>
        <v>5421.4316199999994</v>
      </c>
      <c r="I108" s="230">
        <f>'1 уровень'!J303</f>
        <v>106.32926734552983</v>
      </c>
      <c r="J108" s="46"/>
      <c r="L108" s="381"/>
    </row>
    <row r="109" spans="1:185" ht="30" x14ac:dyDescent="0.25">
      <c r="A109" s="57" t="s">
        <v>108</v>
      </c>
      <c r="B109" s="21">
        <f>'1 уровень'!C304</f>
        <v>1000</v>
      </c>
      <c r="C109" s="21">
        <f>'1 уровень'!D304</f>
        <v>417</v>
      </c>
      <c r="D109" s="21">
        <f>'1 уровень'!E304</f>
        <v>276</v>
      </c>
      <c r="E109" s="104">
        <f>'1 уровень'!F304</f>
        <v>66.187050359712231</v>
      </c>
      <c r="F109" s="31">
        <f>'1 уровень'!G304</f>
        <v>1767.1</v>
      </c>
      <c r="G109" s="31">
        <f>'1 уровень'!H304</f>
        <v>736.29</v>
      </c>
      <c r="H109" s="31">
        <f>'1 уровень'!I304</f>
        <v>503.98703999999998</v>
      </c>
      <c r="I109" s="31">
        <f>'1 уровень'!J304</f>
        <v>68.449529397384183</v>
      </c>
      <c r="J109" s="46"/>
      <c r="L109" s="381"/>
    </row>
    <row r="110" spans="1:185" ht="60" x14ac:dyDescent="0.25">
      <c r="A110" s="57" t="s">
        <v>81</v>
      </c>
      <c r="B110" s="21">
        <f>'1 уровень'!C305</f>
        <v>4400</v>
      </c>
      <c r="C110" s="21">
        <f>'1 уровень'!D305</f>
        <v>1833</v>
      </c>
      <c r="D110" s="21">
        <f>'1 уровень'!E305</f>
        <v>1786</v>
      </c>
      <c r="E110" s="104">
        <f>'1 уровень'!F305</f>
        <v>97.435897435897431</v>
      </c>
      <c r="F110" s="31">
        <f>'1 уровень'!G305</f>
        <v>10094.92</v>
      </c>
      <c r="G110" s="31">
        <f>'1 уровень'!H305</f>
        <v>4206.22</v>
      </c>
      <c r="H110" s="31">
        <f>'1 уровень'!I305</f>
        <v>4906.0058799999997</v>
      </c>
      <c r="I110" s="31">
        <f>'1 уровень'!J305</f>
        <v>116.63693007022931</v>
      </c>
      <c r="J110" s="46"/>
      <c r="L110" s="381"/>
    </row>
    <row r="111" spans="1:185" ht="45" x14ac:dyDescent="0.25">
      <c r="A111" s="57" t="s">
        <v>109</v>
      </c>
      <c r="B111" s="21">
        <f>'1 уровень'!C306</f>
        <v>459</v>
      </c>
      <c r="C111" s="21">
        <f>'1 уровень'!D306</f>
        <v>191</v>
      </c>
      <c r="D111" s="21">
        <f>'1 уровень'!E306</f>
        <v>15</v>
      </c>
      <c r="E111" s="104">
        <f>'1 уровень'!F306</f>
        <v>7.8534031413612562</v>
      </c>
      <c r="F111" s="31">
        <f>'1 уровень'!G306</f>
        <v>374.91120000000001</v>
      </c>
      <c r="G111" s="31">
        <f>'1 уровень'!H306</f>
        <v>156.21</v>
      </c>
      <c r="H111" s="31">
        <f>'1 уровень'!I306</f>
        <v>11.438700000000001</v>
      </c>
      <c r="I111" s="31">
        <f>'1 уровень'!J306</f>
        <v>7.3226425965047053</v>
      </c>
      <c r="J111" s="46"/>
      <c r="L111" s="381"/>
    </row>
    <row r="112" spans="1:185" ht="30" x14ac:dyDescent="0.25">
      <c r="A112" s="146" t="s">
        <v>123</v>
      </c>
      <c r="B112" s="231">
        <f>'1 уровень'!C307</f>
        <v>12363</v>
      </c>
      <c r="C112" s="231">
        <f>'1 уровень'!D307</f>
        <v>5151</v>
      </c>
      <c r="D112" s="231">
        <f>'1 уровень'!E307</f>
        <v>2424</v>
      </c>
      <c r="E112" s="232">
        <f>'1 уровень'!F307</f>
        <v>47.058823529411761</v>
      </c>
      <c r="F112" s="233">
        <f>'1 уровень'!G307</f>
        <v>10026.64026</v>
      </c>
      <c r="G112" s="233">
        <f>'1 уровень'!H307</f>
        <v>4177.7700000000004</v>
      </c>
      <c r="H112" s="233">
        <f>'1 уровень'!I307</f>
        <v>1962.52196</v>
      </c>
      <c r="I112" s="233">
        <f>'1 уровень'!J307</f>
        <v>46.975347134954774</v>
      </c>
      <c r="J112" s="46"/>
      <c r="K112" s="46"/>
      <c r="L112" s="46"/>
    </row>
    <row r="113" spans="1:185" s="18" customFormat="1" ht="30.75" thickBot="1" x14ac:dyDescent="0.3">
      <c r="A113" s="351" t="s">
        <v>125</v>
      </c>
      <c r="B113" s="231">
        <f>'1 уровень'!C308</f>
        <v>6500</v>
      </c>
      <c r="C113" s="231">
        <f>'1 уровень'!D308</f>
        <v>2708</v>
      </c>
      <c r="D113" s="231">
        <f>'1 уровень'!E308</f>
        <v>497</v>
      </c>
      <c r="E113" s="232">
        <f>'1 уровень'!F308</f>
        <v>18.353028064992614</v>
      </c>
      <c r="F113" s="233">
        <f>'1 уровень'!G308</f>
        <v>5271.63</v>
      </c>
      <c r="G113" s="233">
        <f>'1 уровень'!H308</f>
        <v>2196.5100000000002</v>
      </c>
      <c r="H113" s="233">
        <f>'1 уровень'!I308</f>
        <v>401.05422000000004</v>
      </c>
      <c r="I113" s="233">
        <f>'1 уровень'!J308</f>
        <v>18.2587022139667</v>
      </c>
      <c r="J113" s="46"/>
      <c r="K113" s="46"/>
      <c r="L113" s="46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7"/>
      <c r="DG113" s="17"/>
      <c r="DH113" s="17"/>
      <c r="DI113" s="17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  <c r="DV113" s="17"/>
      <c r="DW113" s="17"/>
      <c r="DX113" s="17"/>
      <c r="DY113" s="17"/>
      <c r="DZ113" s="17"/>
      <c r="EA113" s="17"/>
      <c r="EB113" s="17"/>
      <c r="EC113" s="17"/>
      <c r="ED113" s="17"/>
      <c r="EE113" s="17"/>
      <c r="EF113" s="17"/>
      <c r="EG113" s="17"/>
      <c r="EH113" s="17"/>
      <c r="EI113" s="17"/>
      <c r="EJ113" s="17"/>
      <c r="EK113" s="17"/>
      <c r="EL113" s="17"/>
      <c r="EM113" s="17"/>
      <c r="EN113" s="17"/>
      <c r="EO113" s="17"/>
      <c r="EP113" s="17"/>
      <c r="EQ113" s="17"/>
      <c r="ER113" s="17"/>
      <c r="ES113" s="17"/>
      <c r="ET113" s="17"/>
      <c r="EU113" s="17"/>
      <c r="EV113" s="17"/>
      <c r="EW113" s="17"/>
      <c r="EX113" s="17"/>
      <c r="EY113" s="17"/>
      <c r="EZ113" s="17"/>
      <c r="FA113" s="17"/>
      <c r="FB113" s="17"/>
      <c r="FC113" s="17"/>
      <c r="FD113" s="17"/>
      <c r="FE113" s="17"/>
      <c r="FF113" s="17"/>
      <c r="FG113" s="17"/>
      <c r="FH113" s="17"/>
      <c r="FI113" s="17"/>
      <c r="FJ113" s="17"/>
      <c r="FK113" s="17"/>
      <c r="FL113" s="17"/>
      <c r="FM113" s="17"/>
      <c r="FN113" s="17"/>
      <c r="FO113" s="17"/>
      <c r="FP113" s="17"/>
      <c r="FQ113" s="17"/>
      <c r="FR113" s="17"/>
      <c r="FS113" s="17"/>
      <c r="FT113" s="17"/>
      <c r="FU113" s="17"/>
      <c r="FV113" s="17"/>
      <c r="FW113" s="17"/>
      <c r="FX113" s="17"/>
      <c r="FY113" s="17"/>
      <c r="FZ113" s="17"/>
      <c r="GA113" s="17"/>
      <c r="GB113" s="17"/>
      <c r="GC113" s="17"/>
    </row>
    <row r="114" spans="1:185" ht="15.75" thickBot="1" x14ac:dyDescent="0.3">
      <c r="A114" s="244" t="s">
        <v>105</v>
      </c>
      <c r="B114" s="236">
        <f>'1 уровень'!C309</f>
        <v>0</v>
      </c>
      <c r="C114" s="236">
        <f>'1 уровень'!D309</f>
        <v>0</v>
      </c>
      <c r="D114" s="236">
        <f>'1 уровень'!E309</f>
        <v>0</v>
      </c>
      <c r="E114" s="237">
        <f>'1 уровень'!F309</f>
        <v>0</v>
      </c>
      <c r="F114" s="238">
        <f>'1 уровень'!G309</f>
        <v>29633.176510000001</v>
      </c>
      <c r="G114" s="238">
        <f>'1 уровень'!H309</f>
        <v>12347.16</v>
      </c>
      <c r="H114" s="238">
        <f>'1 уровень'!I309</f>
        <v>8604.9800799999994</v>
      </c>
      <c r="I114" s="238">
        <f>'1 уровень'!J309</f>
        <v>69.691978398271331</v>
      </c>
      <c r="J114" s="46"/>
      <c r="L114" s="381"/>
    </row>
    <row r="115" spans="1:185" ht="15" customHeight="1" x14ac:dyDescent="0.25">
      <c r="A115" s="125" t="s">
        <v>23</v>
      </c>
      <c r="B115" s="40"/>
      <c r="C115" s="40"/>
      <c r="D115" s="40"/>
      <c r="E115" s="107"/>
      <c r="F115" s="41"/>
      <c r="G115" s="41"/>
      <c r="H115" s="41"/>
      <c r="I115" s="41"/>
      <c r="J115" s="46"/>
      <c r="L115" s="381"/>
    </row>
    <row r="116" spans="1:185" ht="30" x14ac:dyDescent="0.25">
      <c r="A116" s="229" t="s">
        <v>120</v>
      </c>
      <c r="B116" s="226">
        <f>'2 уровень'!C224</f>
        <v>5336</v>
      </c>
      <c r="C116" s="226">
        <f>'2 уровень'!D224</f>
        <v>2224</v>
      </c>
      <c r="D116" s="226">
        <f>'2 уровень'!E224</f>
        <v>2780</v>
      </c>
      <c r="E116" s="227">
        <f>'2 уровень'!F224</f>
        <v>125</v>
      </c>
      <c r="F116" s="230">
        <f>'2 уровень'!G224</f>
        <v>10257.084710000001</v>
      </c>
      <c r="G116" s="230">
        <f>'2 уровень'!H224</f>
        <v>4273.79</v>
      </c>
      <c r="H116" s="230">
        <f>'2 уровень'!I224</f>
        <v>5711.2745300000006</v>
      </c>
      <c r="I116" s="230">
        <f>'2 уровень'!J224</f>
        <v>133.63488917330989</v>
      </c>
      <c r="J116" s="46"/>
      <c r="L116" s="381"/>
    </row>
    <row r="117" spans="1:185" ht="30" x14ac:dyDescent="0.25">
      <c r="A117" s="57" t="s">
        <v>79</v>
      </c>
      <c r="B117" s="21">
        <f>'2 уровень'!C225</f>
        <v>3917</v>
      </c>
      <c r="C117" s="21">
        <f>'2 уровень'!D225</f>
        <v>1632</v>
      </c>
      <c r="D117" s="21">
        <f>'2 уровень'!E225</f>
        <v>2242</v>
      </c>
      <c r="E117" s="104">
        <f>'2 уровень'!F225</f>
        <v>137.37745098039215</v>
      </c>
      <c r="F117" s="31">
        <f>'2 уровень'!G225</f>
        <v>6449.5396000000001</v>
      </c>
      <c r="G117" s="31">
        <f>'2 уровень'!H225</f>
        <v>2687.31</v>
      </c>
      <c r="H117" s="31">
        <f>'2 уровень'!I225</f>
        <v>3622.2108699999999</v>
      </c>
      <c r="I117" s="31">
        <f>'2 уровень'!J225</f>
        <v>134.78946865080695</v>
      </c>
      <c r="J117" s="46"/>
      <c r="L117" s="381"/>
    </row>
    <row r="118" spans="1:185" ht="30" x14ac:dyDescent="0.25">
      <c r="A118" s="57" t="s">
        <v>80</v>
      </c>
      <c r="B118" s="21">
        <f>'2 уровень'!C226</f>
        <v>1175</v>
      </c>
      <c r="C118" s="21">
        <f>'2 уровень'!D226</f>
        <v>490</v>
      </c>
      <c r="D118" s="21">
        <f>'2 уровень'!E226</f>
        <v>304</v>
      </c>
      <c r="E118" s="104">
        <f>'2 уровень'!F226</f>
        <v>62.04081632653061</v>
      </c>
      <c r="F118" s="31">
        <f>'2 уровень'!G226</f>
        <v>2206.39759</v>
      </c>
      <c r="G118" s="31">
        <f>'2 уровень'!H226</f>
        <v>919.33</v>
      </c>
      <c r="H118" s="31">
        <f>'2 уровень'!I226</f>
        <v>553.53693999999996</v>
      </c>
      <c r="I118" s="31">
        <f>'2 уровень'!J226</f>
        <v>60.210907943828651</v>
      </c>
      <c r="J118" s="46"/>
      <c r="L118" s="381"/>
    </row>
    <row r="119" spans="1:185" ht="45" x14ac:dyDescent="0.25">
      <c r="A119" s="57" t="s">
        <v>110</v>
      </c>
      <c r="B119" s="21">
        <f>'2 уровень'!C227</f>
        <v>52</v>
      </c>
      <c r="C119" s="21">
        <f>'2 уровень'!D227</f>
        <v>22</v>
      </c>
      <c r="D119" s="21">
        <f>'2 уровень'!E227</f>
        <v>56</v>
      </c>
      <c r="E119" s="104">
        <f>'2 уровень'!F227</f>
        <v>254.54545454545453</v>
      </c>
      <c r="F119" s="31">
        <f>'2 уровень'!G227</f>
        <v>341.22816</v>
      </c>
      <c r="G119" s="31">
        <f>'2 уровень'!H227</f>
        <v>142.18</v>
      </c>
      <c r="H119" s="31">
        <f>'2 уровень'!I227</f>
        <v>367.47647999999998</v>
      </c>
      <c r="I119" s="31">
        <f>'2 уровень'!J227</f>
        <v>258.45862990575324</v>
      </c>
      <c r="J119" s="46"/>
      <c r="L119" s="381"/>
    </row>
    <row r="120" spans="1:185" ht="30" x14ac:dyDescent="0.25">
      <c r="A120" s="57" t="s">
        <v>111</v>
      </c>
      <c r="B120" s="21">
        <f>'2 уровень'!C228</f>
        <v>192</v>
      </c>
      <c r="C120" s="21">
        <f>'2 уровень'!D228</f>
        <v>80</v>
      </c>
      <c r="D120" s="21">
        <f>'2 уровень'!E228</f>
        <v>178</v>
      </c>
      <c r="E120" s="104">
        <f>'2 уровень'!F228</f>
        <v>222.5</v>
      </c>
      <c r="F120" s="31">
        <f>'2 уровень'!G228</f>
        <v>1259.9193599999999</v>
      </c>
      <c r="G120" s="31">
        <f>'2 уровень'!H228</f>
        <v>524.97</v>
      </c>
      <c r="H120" s="31">
        <f>'2 уровень'!I228</f>
        <v>1168.05024</v>
      </c>
      <c r="I120" s="31">
        <f>'2 уровень'!J228</f>
        <v>222.49847419852563</v>
      </c>
      <c r="J120" s="46"/>
      <c r="L120" s="381"/>
    </row>
    <row r="121" spans="1:185" ht="30" x14ac:dyDescent="0.25">
      <c r="A121" s="229" t="s">
        <v>112</v>
      </c>
      <c r="B121" s="226">
        <f>'2 уровень'!C229</f>
        <v>8769</v>
      </c>
      <c r="C121" s="226">
        <f>'2 уровень'!D229</f>
        <v>3654</v>
      </c>
      <c r="D121" s="226">
        <f>'2 уровень'!E229</f>
        <v>3506</v>
      </c>
      <c r="E121" s="227">
        <f>'2 уровень'!F229</f>
        <v>95.94964422550629</v>
      </c>
      <c r="F121" s="230">
        <f>'2 уровень'!G229</f>
        <v>22940.131579999997</v>
      </c>
      <c r="G121" s="230">
        <f>'2 уровень'!H229</f>
        <v>9558.3900000000012</v>
      </c>
      <c r="H121" s="230">
        <f>'2 уровень'!I229</f>
        <v>8664.4876199999981</v>
      </c>
      <c r="I121" s="230">
        <f>'2 уровень'!J229</f>
        <v>90.647981720770929</v>
      </c>
      <c r="J121" s="46"/>
      <c r="L121" s="381"/>
    </row>
    <row r="122" spans="1:185" ht="30" x14ac:dyDescent="0.25">
      <c r="A122" s="57" t="s">
        <v>108</v>
      </c>
      <c r="B122" s="21">
        <f>'2 уровень'!C230</f>
        <v>2900</v>
      </c>
      <c r="C122" s="21">
        <f>'2 уровень'!D230</f>
        <v>1208</v>
      </c>
      <c r="D122" s="21">
        <f>'2 уровень'!E230</f>
        <v>1056</v>
      </c>
      <c r="E122" s="104">
        <f>'2 уровень'!F230</f>
        <v>87.41721854304636</v>
      </c>
      <c r="F122" s="31">
        <f>'2 уровень'!G230</f>
        <v>6149.4790000000003</v>
      </c>
      <c r="G122" s="31">
        <f>'2 уровень'!H230</f>
        <v>2562.2800000000002</v>
      </c>
      <c r="H122" s="31">
        <f>'2 уровень'!I230</f>
        <v>2232.0937599999997</v>
      </c>
      <c r="I122" s="31">
        <f>'2 уровень'!J230</f>
        <v>87.113576970510621</v>
      </c>
      <c r="J122" s="46"/>
      <c r="L122" s="381"/>
    </row>
    <row r="123" spans="1:185" ht="60" x14ac:dyDescent="0.25">
      <c r="A123" s="57" t="s">
        <v>81</v>
      </c>
      <c r="B123" s="21">
        <f>'2 уровень'!C231</f>
        <v>5154</v>
      </c>
      <c r="C123" s="21">
        <f>'2 уровень'!D231</f>
        <v>2148</v>
      </c>
      <c r="D123" s="21">
        <f>'2 уровень'!E231</f>
        <v>2200</v>
      </c>
      <c r="E123" s="104">
        <f>'2 уровень'!F231</f>
        <v>102.42085661080074</v>
      </c>
      <c r="F123" s="31">
        <f>'2 уровень'!G231</f>
        <v>16089.838179999999</v>
      </c>
      <c r="G123" s="31">
        <f>'2 уровень'!H231</f>
        <v>6704.1</v>
      </c>
      <c r="H123" s="31">
        <f>'2 уровень'!I231</f>
        <v>6222.8753499999993</v>
      </c>
      <c r="I123" s="31">
        <f>'2 уровень'!J231</f>
        <v>92.821935084500524</v>
      </c>
      <c r="J123" s="46"/>
      <c r="L123" s="381"/>
    </row>
    <row r="124" spans="1:185" ht="45" x14ac:dyDescent="0.25">
      <c r="A124" s="57" t="s">
        <v>109</v>
      </c>
      <c r="B124" s="21">
        <f>'2 уровень'!C232</f>
        <v>715</v>
      </c>
      <c r="C124" s="21">
        <f>'2 уровень'!D232</f>
        <v>298</v>
      </c>
      <c r="D124" s="21">
        <f>'2 уровень'!E232</f>
        <v>250</v>
      </c>
      <c r="E124" s="104">
        <f>'2 уровень'!F232</f>
        <v>83.892617449664428</v>
      </c>
      <c r="F124" s="31">
        <f>'2 уровень'!G232</f>
        <v>700.81439999999998</v>
      </c>
      <c r="G124" s="31">
        <f>'2 уровень'!H232</f>
        <v>292.01</v>
      </c>
      <c r="H124" s="31">
        <f>'2 уровень'!I232</f>
        <v>209.51850999999996</v>
      </c>
      <c r="I124" s="31">
        <f>'2 уровень'!J232</f>
        <v>71.750457176124087</v>
      </c>
      <c r="J124" s="46"/>
      <c r="L124" s="381"/>
    </row>
    <row r="125" spans="1:185" ht="30" x14ac:dyDescent="0.25">
      <c r="A125" s="57" t="s">
        <v>123</v>
      </c>
      <c r="B125" s="21">
        <f>'2 уровень'!C233</f>
        <v>12000</v>
      </c>
      <c r="C125" s="21">
        <f>'2 уровень'!D233</f>
        <v>5000</v>
      </c>
      <c r="D125" s="21">
        <f>'2 уровень'!E233</f>
        <v>4317</v>
      </c>
      <c r="E125" s="104">
        <f>'2 уровень'!F233</f>
        <v>86.339999999999989</v>
      </c>
      <c r="F125" s="31">
        <f>'2 уровень'!G233</f>
        <v>11678.64</v>
      </c>
      <c r="G125" s="31">
        <f>'2 уровень'!H233</f>
        <v>4866.1000000000004</v>
      </c>
      <c r="H125" s="31">
        <f>'2 уровень'!I233</f>
        <v>4168.1000599999998</v>
      </c>
      <c r="I125" s="31">
        <f>'2 уровень'!J233</f>
        <v>85.655865271983714</v>
      </c>
      <c r="J125" s="46"/>
      <c r="K125" s="46"/>
      <c r="L125" s="46"/>
    </row>
    <row r="126" spans="1:185" ht="15.75" thickBot="1" x14ac:dyDescent="0.3">
      <c r="A126" s="53" t="s">
        <v>107</v>
      </c>
      <c r="B126" s="21">
        <f>'2 уровень'!C234</f>
        <v>0</v>
      </c>
      <c r="C126" s="21">
        <f>'2 уровень'!D234</f>
        <v>0</v>
      </c>
      <c r="D126" s="21">
        <f>'2 уровень'!E234</f>
        <v>0</v>
      </c>
      <c r="E126" s="104">
        <f>'2 уровень'!F234</f>
        <v>0</v>
      </c>
      <c r="F126" s="31">
        <f>'2 уровень'!G234</f>
        <v>44875.856289999996</v>
      </c>
      <c r="G126" s="31">
        <f>'2 уровень'!H234</f>
        <v>18698.28</v>
      </c>
      <c r="H126" s="31">
        <f>'2 уровень'!I234</f>
        <v>18543.862209999999</v>
      </c>
      <c r="I126" s="31">
        <f>'2 уровень'!J234</f>
        <v>99.174160457539415</v>
      </c>
      <c r="J126" s="46"/>
      <c r="L126" s="381"/>
    </row>
    <row r="127" spans="1:185" ht="15" customHeight="1" x14ac:dyDescent="0.25">
      <c r="A127" s="39" t="s">
        <v>24</v>
      </c>
      <c r="B127" s="40"/>
      <c r="C127" s="40"/>
      <c r="D127" s="40"/>
      <c r="E127" s="107"/>
      <c r="F127" s="41"/>
      <c r="G127" s="41"/>
      <c r="H127" s="41"/>
      <c r="I127" s="41"/>
      <c r="J127" s="46"/>
      <c r="L127" s="381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  <c r="BD127" s="18"/>
      <c r="BE127" s="18"/>
      <c r="BF127" s="18"/>
      <c r="BG127" s="18"/>
      <c r="BH127" s="18"/>
      <c r="BI127" s="18"/>
      <c r="BJ127" s="18"/>
      <c r="BK127" s="18"/>
      <c r="BL127" s="18"/>
      <c r="BM127" s="18"/>
      <c r="BN127" s="18"/>
      <c r="BO127" s="18"/>
      <c r="BP127" s="18"/>
      <c r="BQ127" s="18"/>
      <c r="BR127" s="18"/>
      <c r="BS127" s="18"/>
      <c r="BT127" s="18"/>
      <c r="BU127" s="18"/>
      <c r="BV127" s="18"/>
      <c r="BW127" s="18"/>
      <c r="BX127" s="18"/>
      <c r="BY127" s="18"/>
      <c r="BZ127" s="18"/>
      <c r="CA127" s="18"/>
      <c r="CB127" s="18"/>
      <c r="CC127" s="18"/>
      <c r="CD127" s="18"/>
      <c r="CE127" s="18"/>
      <c r="CF127" s="18"/>
      <c r="CG127" s="18"/>
      <c r="CH127" s="18"/>
      <c r="CI127" s="18"/>
      <c r="CJ127" s="18"/>
      <c r="CK127" s="18"/>
      <c r="CL127" s="18"/>
      <c r="CM127" s="18"/>
      <c r="CN127" s="18"/>
      <c r="CO127" s="18"/>
      <c r="CP127" s="18"/>
      <c r="CQ127" s="18"/>
      <c r="CR127" s="18"/>
      <c r="CS127" s="18"/>
      <c r="CT127" s="18"/>
      <c r="CU127" s="18"/>
      <c r="CV127" s="18"/>
      <c r="CW127" s="18"/>
      <c r="CX127" s="18"/>
      <c r="CY127" s="18"/>
      <c r="CZ127" s="18"/>
      <c r="DA127" s="18"/>
      <c r="DB127" s="18"/>
      <c r="DC127" s="18"/>
      <c r="DD127" s="18"/>
      <c r="DE127" s="18"/>
      <c r="DF127" s="18"/>
      <c r="DG127" s="18"/>
      <c r="DH127" s="18"/>
      <c r="DI127" s="18"/>
      <c r="DJ127" s="18"/>
      <c r="DK127" s="18"/>
      <c r="DL127" s="18"/>
      <c r="DM127" s="18"/>
      <c r="DN127" s="18"/>
      <c r="DO127" s="18"/>
      <c r="DP127" s="18"/>
      <c r="DQ127" s="18"/>
      <c r="DR127" s="18"/>
      <c r="DS127" s="18"/>
      <c r="DT127" s="18"/>
      <c r="DU127" s="18"/>
      <c r="DV127" s="18"/>
      <c r="DW127" s="18"/>
      <c r="DX127" s="18"/>
      <c r="DY127" s="18"/>
      <c r="DZ127" s="18"/>
      <c r="EA127" s="18"/>
      <c r="EB127" s="18"/>
      <c r="EC127" s="18"/>
      <c r="ED127" s="18"/>
      <c r="EE127" s="18"/>
      <c r="EF127" s="18"/>
      <c r="EG127" s="18"/>
      <c r="EH127" s="18"/>
      <c r="EI127" s="18"/>
      <c r="EJ127" s="18"/>
      <c r="EK127" s="18"/>
      <c r="EL127" s="18"/>
      <c r="EM127" s="18"/>
      <c r="EN127" s="18"/>
      <c r="EO127" s="18"/>
      <c r="EP127" s="18"/>
      <c r="EQ127" s="18"/>
      <c r="ER127" s="18"/>
      <c r="ES127" s="18"/>
      <c r="ET127" s="18"/>
      <c r="EU127" s="18"/>
      <c r="EV127" s="18"/>
      <c r="EW127" s="18"/>
      <c r="EX127" s="18"/>
      <c r="EY127" s="18"/>
      <c r="EZ127" s="18"/>
      <c r="FA127" s="18"/>
      <c r="FB127" s="18"/>
      <c r="FC127" s="18"/>
      <c r="FD127" s="18"/>
      <c r="FE127" s="18"/>
      <c r="FF127" s="18"/>
      <c r="FG127" s="18"/>
      <c r="FH127" s="18"/>
      <c r="FI127" s="18"/>
      <c r="FJ127" s="18"/>
      <c r="FK127" s="18"/>
      <c r="FL127" s="18"/>
      <c r="FM127" s="18"/>
      <c r="FN127" s="18"/>
      <c r="FO127" s="18"/>
      <c r="FP127" s="18"/>
      <c r="FQ127" s="18"/>
      <c r="FR127" s="18"/>
      <c r="FS127" s="18"/>
      <c r="FT127" s="18"/>
      <c r="FU127" s="18"/>
      <c r="FV127" s="18"/>
      <c r="FW127" s="18"/>
      <c r="FX127" s="18"/>
      <c r="FY127" s="18"/>
      <c r="FZ127" s="18"/>
      <c r="GA127" s="18"/>
      <c r="GB127" s="18"/>
      <c r="GC127" s="18"/>
    </row>
    <row r="128" spans="1:185" ht="30" x14ac:dyDescent="0.25">
      <c r="A128" s="229" t="s">
        <v>120</v>
      </c>
      <c r="B128" s="226">
        <f>'1 уровень'!C326</f>
        <v>8257</v>
      </c>
      <c r="C128" s="226">
        <f>'1 уровень'!D326</f>
        <v>3440</v>
      </c>
      <c r="D128" s="226">
        <f>'1 уровень'!E326</f>
        <v>3986</v>
      </c>
      <c r="E128" s="227">
        <f>'1 уровень'!F326</f>
        <v>115.8720930232558</v>
      </c>
      <c r="F128" s="230">
        <f>'1 уровень'!G326</f>
        <v>13714.10334</v>
      </c>
      <c r="G128" s="230">
        <f>'1 уровень'!H326</f>
        <v>5714.21</v>
      </c>
      <c r="H128" s="230">
        <f>'1 уровень'!I326</f>
        <v>5924.0125400000006</v>
      </c>
      <c r="I128" s="230">
        <f>'1 уровень'!J326</f>
        <v>103.67159309860855</v>
      </c>
      <c r="J128" s="46"/>
      <c r="L128" s="381"/>
    </row>
    <row r="129" spans="1:185" ht="30" x14ac:dyDescent="0.25">
      <c r="A129" s="57" t="s">
        <v>79</v>
      </c>
      <c r="B129" s="21">
        <f>'1 уровень'!C327</f>
        <v>6003</v>
      </c>
      <c r="C129" s="21">
        <f>'1 уровень'!D327</f>
        <v>2501</v>
      </c>
      <c r="D129" s="21">
        <f>'1 уровень'!E327</f>
        <v>3063</v>
      </c>
      <c r="E129" s="104">
        <f>'1 уровень'!F327</f>
        <v>122.47101159536184</v>
      </c>
      <c r="F129" s="31">
        <f>'1 уровень'!G327</f>
        <v>8459.4328000000005</v>
      </c>
      <c r="G129" s="31">
        <f>'1 уровень'!H327</f>
        <v>3524.76</v>
      </c>
      <c r="H129" s="31">
        <f>'1 уровень'!I327</f>
        <v>3035.9004100000006</v>
      </c>
      <c r="I129" s="31">
        <f>'1 уровень'!J327</f>
        <v>86.130698544014365</v>
      </c>
      <c r="J129" s="46"/>
      <c r="L129" s="381"/>
    </row>
    <row r="130" spans="1:185" ht="30" x14ac:dyDescent="0.25">
      <c r="A130" s="57" t="s">
        <v>80</v>
      </c>
      <c r="B130" s="21">
        <f>'1 уровень'!C328</f>
        <v>1801</v>
      </c>
      <c r="C130" s="21">
        <f>'1 уровень'!D328</f>
        <v>750</v>
      </c>
      <c r="D130" s="21">
        <f>'1 уровень'!E328</f>
        <v>548</v>
      </c>
      <c r="E130" s="104">
        <f>'1 уровень'!F328</f>
        <v>73.066666666666663</v>
      </c>
      <c r="F130" s="31">
        <f>'1 уровень'!G328</f>
        <v>2777.4853399999997</v>
      </c>
      <c r="G130" s="31">
        <f>'1 уровень'!H328</f>
        <v>1157.29</v>
      </c>
      <c r="H130" s="31">
        <f>'1 уровень'!I328</f>
        <v>837.46212999999989</v>
      </c>
      <c r="I130" s="31">
        <f>'1 уровень'!J328</f>
        <v>72.364068643123147</v>
      </c>
      <c r="J130" s="46"/>
      <c r="L130" s="381"/>
    </row>
    <row r="131" spans="1:185" ht="45" x14ac:dyDescent="0.25">
      <c r="A131" s="57" t="s">
        <v>110</v>
      </c>
      <c r="B131" s="21">
        <f>'1 уровень'!C329</f>
        <v>82</v>
      </c>
      <c r="C131" s="21">
        <f>'1 уровень'!D329</f>
        <v>34</v>
      </c>
      <c r="D131" s="21">
        <f>'1 уровень'!E329</f>
        <v>94</v>
      </c>
      <c r="E131" s="104">
        <f>'1 уровень'!F329</f>
        <v>276.47058823529409</v>
      </c>
      <c r="F131" s="31">
        <f>'1 уровень'!G329</f>
        <v>448.40879999999999</v>
      </c>
      <c r="G131" s="31">
        <f>'1 уровень'!H329</f>
        <v>186.84</v>
      </c>
      <c r="H131" s="31">
        <f>'1 уровень'!I329</f>
        <v>514.02959999999996</v>
      </c>
      <c r="I131" s="31">
        <f>'1 уровень'!J329</f>
        <v>275.11753371868974</v>
      </c>
      <c r="J131" s="46"/>
      <c r="L131" s="381"/>
    </row>
    <row r="132" spans="1:185" ht="30" x14ac:dyDescent="0.25">
      <c r="A132" s="57" t="s">
        <v>111</v>
      </c>
      <c r="B132" s="21">
        <f>'1 уровень'!C330</f>
        <v>371</v>
      </c>
      <c r="C132" s="21">
        <f>'1 уровень'!D330</f>
        <v>155</v>
      </c>
      <c r="D132" s="21">
        <f>'1 уровень'!E330</f>
        <v>281</v>
      </c>
      <c r="E132" s="104">
        <f>'1 уровень'!F330</f>
        <v>181.29032258064518</v>
      </c>
      <c r="F132" s="31">
        <f>'1 уровень'!G330</f>
        <v>2028.7764</v>
      </c>
      <c r="G132" s="31">
        <f>'1 уровень'!H330</f>
        <v>845.32</v>
      </c>
      <c r="H132" s="31">
        <f>'1 уровень'!I330</f>
        <v>1536.6204</v>
      </c>
      <c r="I132" s="31">
        <f>'1 уровень'!J330</f>
        <v>181.77972838688305</v>
      </c>
      <c r="J132" s="46"/>
      <c r="L132" s="381"/>
    </row>
    <row r="133" spans="1:185" ht="30" x14ac:dyDescent="0.25">
      <c r="A133" s="229" t="s">
        <v>112</v>
      </c>
      <c r="B133" s="226">
        <f>'1 уровень'!C331</f>
        <v>14763</v>
      </c>
      <c r="C133" s="226">
        <f>'1 уровень'!D331</f>
        <v>6151</v>
      </c>
      <c r="D133" s="226">
        <f>'1 уровень'!E331</f>
        <v>6303</v>
      </c>
      <c r="E133" s="227">
        <f>'1 уровень'!F331</f>
        <v>102.47114290359292</v>
      </c>
      <c r="F133" s="230">
        <f>'1 уровень'!G331</f>
        <v>29050.4709</v>
      </c>
      <c r="G133" s="230">
        <f>'1 уровень'!H331</f>
        <v>12104.37</v>
      </c>
      <c r="H133" s="230">
        <f>'1 уровень'!I331</f>
        <v>11053.290080000001</v>
      </c>
      <c r="I133" s="230">
        <f>'1 уровень'!J331</f>
        <v>91.316525188836764</v>
      </c>
      <c r="J133" s="46"/>
      <c r="L133" s="381"/>
    </row>
    <row r="134" spans="1:185" ht="30" x14ac:dyDescent="0.25">
      <c r="A134" s="57" t="s">
        <v>108</v>
      </c>
      <c r="B134" s="21">
        <f>'1 уровень'!C332</f>
        <v>3000</v>
      </c>
      <c r="C134" s="21">
        <f>'1 уровень'!D332</f>
        <v>1250</v>
      </c>
      <c r="D134" s="21">
        <f>'1 уровень'!E332</f>
        <v>883</v>
      </c>
      <c r="E134" s="104">
        <f>'1 уровень'!F332</f>
        <v>70.64</v>
      </c>
      <c r="F134" s="31">
        <f>'1 уровень'!G332</f>
        <v>5301.3</v>
      </c>
      <c r="G134" s="31">
        <f>'1 уровень'!H332</f>
        <v>2208.88</v>
      </c>
      <c r="H134" s="31">
        <f>'1 уровень'!I332</f>
        <v>1555.3419700000002</v>
      </c>
      <c r="I134" s="31">
        <f>'1 уровень'!J332</f>
        <v>70.413149197783497</v>
      </c>
      <c r="J134" s="46"/>
      <c r="L134" s="381"/>
    </row>
    <row r="135" spans="1:185" ht="60" x14ac:dyDescent="0.25">
      <c r="A135" s="57" t="s">
        <v>81</v>
      </c>
      <c r="B135" s="21">
        <f>'1 уровень'!C333</f>
        <v>9571</v>
      </c>
      <c r="C135" s="21">
        <f>'1 уровень'!D333</f>
        <v>3988</v>
      </c>
      <c r="D135" s="21">
        <f>'1 уровень'!E333</f>
        <v>3741</v>
      </c>
      <c r="E135" s="104">
        <f>'1 уровень'!F333</f>
        <v>93.806419257773328</v>
      </c>
      <c r="F135" s="31">
        <f>'1 уровень'!G333</f>
        <v>21958.745300000002</v>
      </c>
      <c r="G135" s="31">
        <f>'1 уровень'!H333</f>
        <v>9149.48</v>
      </c>
      <c r="H135" s="31">
        <f>'1 уровень'!I333</f>
        <v>8020.298960000001</v>
      </c>
      <c r="I135" s="31">
        <f>'1 уровень'!J333</f>
        <v>87.658522232957509</v>
      </c>
      <c r="J135" s="46"/>
      <c r="L135" s="381"/>
    </row>
    <row r="136" spans="1:185" ht="45" x14ac:dyDescent="0.25">
      <c r="A136" s="57" t="s">
        <v>109</v>
      </c>
      <c r="B136" s="21">
        <f>'1 уровень'!C334</f>
        <v>2192</v>
      </c>
      <c r="C136" s="21">
        <f>'1 уровень'!D334</f>
        <v>913</v>
      </c>
      <c r="D136" s="21">
        <f>'1 уровень'!E334</f>
        <v>1679</v>
      </c>
      <c r="E136" s="104">
        <f>'1 уровень'!F334</f>
        <v>183.89923329682364</v>
      </c>
      <c r="F136" s="31">
        <f>'1 уровень'!G334</f>
        <v>1790.4256</v>
      </c>
      <c r="G136" s="31">
        <f>'1 уровень'!H334</f>
        <v>746.01</v>
      </c>
      <c r="H136" s="31">
        <f>'1 уровень'!I334</f>
        <v>1477.64915</v>
      </c>
      <c r="I136" s="31">
        <f>'1 уровень'!J334</f>
        <v>198.07363842307743</v>
      </c>
      <c r="J136" s="46"/>
      <c r="L136" s="381"/>
    </row>
    <row r="137" spans="1:185" ht="30" x14ac:dyDescent="0.25">
      <c r="A137" s="351" t="s">
        <v>123</v>
      </c>
      <c r="B137" s="21">
        <f>'1 уровень'!C335</f>
        <v>33786</v>
      </c>
      <c r="C137" s="21">
        <f>'1 уровень'!D335</f>
        <v>14078</v>
      </c>
      <c r="D137" s="21">
        <f>'1 уровень'!E335</f>
        <v>14228</v>
      </c>
      <c r="E137" s="104">
        <f>'1 уровень'!F335</f>
        <v>101.06549225742295</v>
      </c>
      <c r="F137" s="31">
        <f>'1 уровень'!G335</f>
        <v>27401.121719999999</v>
      </c>
      <c r="G137" s="31">
        <f>'1 уровень'!H335</f>
        <v>11417.13</v>
      </c>
      <c r="H137" s="31">
        <f>'1 уровень'!I335</f>
        <v>11528.772370000001</v>
      </c>
      <c r="I137" s="31">
        <f>'1 уровень'!J335</f>
        <v>100.97784968726818</v>
      </c>
      <c r="J137" s="46"/>
      <c r="L137" s="381"/>
    </row>
    <row r="138" spans="1:185" ht="30" x14ac:dyDescent="0.25">
      <c r="A138" s="57" t="s">
        <v>124</v>
      </c>
      <c r="B138" s="21">
        <f>'1 уровень'!C336</f>
        <v>670</v>
      </c>
      <c r="C138" s="21">
        <f>'1 уровень'!D336</f>
        <v>279</v>
      </c>
      <c r="D138" s="21">
        <f>'1 уровень'!E336</f>
        <v>335</v>
      </c>
      <c r="E138" s="104">
        <f>'1 уровень'!F336</f>
        <v>120.07168458781361</v>
      </c>
      <c r="F138" s="31">
        <f>'1 уровень'!G336</f>
        <v>543.38339999999994</v>
      </c>
      <c r="G138" s="31">
        <f>'1 уровень'!H336</f>
        <v>226.41</v>
      </c>
      <c r="H138" s="31">
        <f>'1 уровень'!I336</f>
        <v>271.00779999999997</v>
      </c>
      <c r="I138" s="31">
        <f>'1 уровень'!J336</f>
        <v>119.69780486727618</v>
      </c>
      <c r="J138" s="46"/>
      <c r="K138" s="46"/>
      <c r="L138" s="46"/>
    </row>
    <row r="139" spans="1:185" ht="30" x14ac:dyDescent="0.25">
      <c r="A139" s="57" t="s">
        <v>125</v>
      </c>
      <c r="B139" s="21">
        <f>'1 уровень'!C337</f>
        <v>400</v>
      </c>
      <c r="C139" s="21">
        <f>'1 уровень'!D337</f>
        <v>167</v>
      </c>
      <c r="D139" s="21">
        <f>'1 уровень'!E337</f>
        <v>386</v>
      </c>
      <c r="E139" s="104">
        <f>'1 уровень'!F337</f>
        <v>231.13772455089818</v>
      </c>
      <c r="F139" s="31">
        <f>'1 уровень'!G337</f>
        <v>324.40799999999996</v>
      </c>
      <c r="G139" s="31">
        <f>'1 уровень'!H337</f>
        <v>135.16999999999999</v>
      </c>
      <c r="H139" s="31">
        <f>'1 уровень'!I337</f>
        <v>310.69388999999995</v>
      </c>
      <c r="I139" s="31">
        <f>'1 уровень'!J337</f>
        <v>229.85417622253456</v>
      </c>
      <c r="J139" s="46"/>
      <c r="K139" s="46"/>
      <c r="L139" s="46"/>
    </row>
    <row r="140" spans="1:185" ht="15.75" thickBot="1" x14ac:dyDescent="0.3">
      <c r="A140" s="51" t="s">
        <v>105</v>
      </c>
      <c r="B140" s="21">
        <f>'1 уровень'!C338</f>
        <v>0</v>
      </c>
      <c r="C140" s="21">
        <f>'1 уровень'!D338</f>
        <v>0</v>
      </c>
      <c r="D140" s="21">
        <f>'1 уровень'!E338</f>
        <v>0</v>
      </c>
      <c r="E140" s="104">
        <f>'1 уровень'!F338</f>
        <v>0</v>
      </c>
      <c r="F140" s="31">
        <f>'1 уровень'!G338</f>
        <v>70165.695959999997</v>
      </c>
      <c r="G140" s="31">
        <f>'1 уровень'!H338</f>
        <v>29235.71</v>
      </c>
      <c r="H140" s="31">
        <f>'1 уровень'!I338</f>
        <v>28506.074990000001</v>
      </c>
      <c r="I140" s="31">
        <f>'1 уровень'!J338</f>
        <v>97.504302067574216</v>
      </c>
      <c r="J140" s="46"/>
      <c r="L140" s="381"/>
    </row>
    <row r="141" spans="1:185" ht="15" customHeight="1" x14ac:dyDescent="0.25">
      <c r="A141" s="39" t="s">
        <v>25</v>
      </c>
      <c r="B141" s="40"/>
      <c r="C141" s="40"/>
      <c r="D141" s="40"/>
      <c r="E141" s="107"/>
      <c r="F141" s="41"/>
      <c r="G141" s="41"/>
      <c r="H141" s="41"/>
      <c r="I141" s="41"/>
      <c r="J141" s="46"/>
      <c r="L141" s="381"/>
    </row>
    <row r="142" spans="1:185" ht="30" x14ac:dyDescent="0.25">
      <c r="A142" s="229" t="s">
        <v>120</v>
      </c>
      <c r="B142" s="226">
        <f>'1 уровень'!C352</f>
        <v>3368</v>
      </c>
      <c r="C142" s="226">
        <f>'1 уровень'!D352</f>
        <v>1403</v>
      </c>
      <c r="D142" s="226">
        <f>'1 уровень'!E352</f>
        <v>1245</v>
      </c>
      <c r="E142" s="227">
        <f>'1 уровень'!F352</f>
        <v>88.738417676407693</v>
      </c>
      <c r="F142" s="230">
        <f>'1 уровень'!G352</f>
        <v>5553.6662100000003</v>
      </c>
      <c r="G142" s="230">
        <f>'1 уровень'!H352</f>
        <v>2314.04</v>
      </c>
      <c r="H142" s="230">
        <f>'1 уровень'!I352</f>
        <v>2158.3475900000003</v>
      </c>
      <c r="I142" s="230">
        <f>'1 уровень'!J352</f>
        <v>93.271835836891341</v>
      </c>
      <c r="J142" s="46"/>
      <c r="L142" s="381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  <c r="BA142" s="18"/>
      <c r="BB142" s="18"/>
      <c r="BC142" s="18"/>
      <c r="BD142" s="18"/>
      <c r="BE142" s="18"/>
      <c r="BF142" s="18"/>
      <c r="BG142" s="18"/>
      <c r="BH142" s="18"/>
      <c r="BI142" s="18"/>
      <c r="BJ142" s="18"/>
      <c r="BK142" s="18"/>
      <c r="BL142" s="18"/>
      <c r="BM142" s="18"/>
      <c r="BN142" s="18"/>
      <c r="BO142" s="18"/>
      <c r="BP142" s="18"/>
      <c r="BQ142" s="18"/>
      <c r="BR142" s="18"/>
      <c r="BS142" s="18"/>
      <c r="BT142" s="18"/>
      <c r="BU142" s="18"/>
      <c r="BV142" s="18"/>
      <c r="BW142" s="18"/>
      <c r="BX142" s="18"/>
      <c r="BY142" s="18"/>
      <c r="BZ142" s="18"/>
      <c r="CA142" s="18"/>
      <c r="CB142" s="18"/>
      <c r="CC142" s="18"/>
      <c r="CD142" s="18"/>
      <c r="CE142" s="18"/>
      <c r="CF142" s="18"/>
      <c r="CG142" s="18"/>
      <c r="CH142" s="18"/>
      <c r="CI142" s="18"/>
      <c r="CJ142" s="18"/>
      <c r="CK142" s="18"/>
      <c r="CL142" s="18"/>
      <c r="CM142" s="18"/>
      <c r="CN142" s="18"/>
      <c r="CO142" s="18"/>
      <c r="CP142" s="18"/>
      <c r="CQ142" s="18"/>
      <c r="CR142" s="18"/>
      <c r="CS142" s="18"/>
      <c r="CT142" s="18"/>
      <c r="CU142" s="18"/>
      <c r="CV142" s="18"/>
      <c r="CW142" s="18"/>
      <c r="CX142" s="18"/>
      <c r="CY142" s="18"/>
      <c r="CZ142" s="18"/>
      <c r="DA142" s="18"/>
      <c r="DB142" s="18"/>
      <c r="DC142" s="18"/>
      <c r="DD142" s="18"/>
      <c r="DE142" s="18"/>
      <c r="DF142" s="18"/>
      <c r="DG142" s="18"/>
      <c r="DH142" s="18"/>
      <c r="DI142" s="18"/>
      <c r="DJ142" s="18"/>
      <c r="DK142" s="18"/>
      <c r="DL142" s="18"/>
      <c r="DM142" s="18"/>
      <c r="DN142" s="18"/>
      <c r="DO142" s="18"/>
      <c r="DP142" s="18"/>
      <c r="DQ142" s="18"/>
      <c r="DR142" s="18"/>
      <c r="DS142" s="18"/>
      <c r="DT142" s="18"/>
      <c r="DU142" s="18"/>
      <c r="DV142" s="18"/>
      <c r="DW142" s="18"/>
      <c r="DX142" s="18"/>
      <c r="DY142" s="18"/>
      <c r="DZ142" s="18"/>
      <c r="EA142" s="18"/>
      <c r="EB142" s="18"/>
      <c r="EC142" s="18"/>
      <c r="ED142" s="18"/>
      <c r="EE142" s="18"/>
      <c r="EF142" s="18"/>
      <c r="EG142" s="18"/>
      <c r="EH142" s="18"/>
      <c r="EI142" s="18"/>
      <c r="EJ142" s="18"/>
      <c r="EK142" s="18"/>
      <c r="EL142" s="18"/>
      <c r="EM142" s="18"/>
      <c r="EN142" s="18"/>
      <c r="EO142" s="18"/>
      <c r="EP142" s="18"/>
      <c r="EQ142" s="18"/>
      <c r="ER142" s="18"/>
      <c r="ES142" s="18"/>
      <c r="ET142" s="18"/>
      <c r="EU142" s="18"/>
      <c r="EV142" s="18"/>
      <c r="EW142" s="18"/>
      <c r="EX142" s="18"/>
      <c r="EY142" s="18"/>
      <c r="EZ142" s="18"/>
      <c r="FA142" s="18"/>
      <c r="FB142" s="18"/>
      <c r="FC142" s="18"/>
      <c r="FD142" s="18"/>
      <c r="FE142" s="18"/>
      <c r="FF142" s="18"/>
      <c r="FG142" s="18"/>
      <c r="FH142" s="18"/>
      <c r="FI142" s="18"/>
      <c r="FJ142" s="18"/>
      <c r="FK142" s="18"/>
      <c r="FL142" s="18"/>
      <c r="FM142" s="18"/>
      <c r="FN142" s="18"/>
      <c r="FO142" s="18"/>
      <c r="FP142" s="18"/>
      <c r="FQ142" s="18"/>
      <c r="FR142" s="18"/>
      <c r="FS142" s="18"/>
      <c r="FT142" s="18"/>
      <c r="FU142" s="18"/>
      <c r="FV142" s="18"/>
      <c r="FW142" s="18"/>
      <c r="FX142" s="18"/>
      <c r="FY142" s="18"/>
      <c r="FZ142" s="18"/>
      <c r="GA142" s="18"/>
      <c r="GB142" s="18"/>
      <c r="GC142" s="18"/>
    </row>
    <row r="143" spans="1:185" ht="30" x14ac:dyDescent="0.25">
      <c r="A143" s="57" t="s">
        <v>79</v>
      </c>
      <c r="B143" s="21">
        <f>'1 уровень'!C353</f>
        <v>2428</v>
      </c>
      <c r="C143" s="21">
        <f>'1 уровень'!D353</f>
        <v>1012</v>
      </c>
      <c r="D143" s="21">
        <f>'1 уровень'!E353</f>
        <v>936</v>
      </c>
      <c r="E143" s="104">
        <f>'1 уровень'!F353</f>
        <v>92.490118577075094</v>
      </c>
      <c r="F143" s="31">
        <f>'1 уровень'!G353</f>
        <v>3299.7075999999997</v>
      </c>
      <c r="G143" s="31">
        <f>'1 уровень'!H353</f>
        <v>1374.88</v>
      </c>
      <c r="H143" s="31">
        <f>'1 уровень'!I353</f>
        <v>1106.7620900000002</v>
      </c>
      <c r="I143" s="31">
        <f>'1 уровень'!J353</f>
        <v>80.498813714651462</v>
      </c>
      <c r="J143" s="46"/>
      <c r="L143" s="381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  <c r="BA143" s="18"/>
      <c r="BB143" s="18"/>
      <c r="BC143" s="18"/>
      <c r="BD143" s="18"/>
      <c r="BE143" s="18"/>
      <c r="BF143" s="18"/>
      <c r="BG143" s="18"/>
      <c r="BH143" s="18"/>
      <c r="BI143" s="18"/>
      <c r="BJ143" s="18"/>
      <c r="BK143" s="18"/>
      <c r="BL143" s="18"/>
      <c r="BM143" s="18"/>
      <c r="BN143" s="18"/>
      <c r="BO143" s="18"/>
      <c r="BP143" s="18"/>
      <c r="BQ143" s="18"/>
      <c r="BR143" s="18"/>
      <c r="BS143" s="18"/>
      <c r="BT143" s="18"/>
      <c r="BU143" s="18"/>
      <c r="BV143" s="18"/>
      <c r="BW143" s="18"/>
      <c r="BX143" s="18"/>
      <c r="BY143" s="18"/>
      <c r="BZ143" s="18"/>
      <c r="CA143" s="18"/>
      <c r="CB143" s="18"/>
      <c r="CC143" s="18"/>
      <c r="CD143" s="18"/>
      <c r="CE143" s="18"/>
      <c r="CF143" s="18"/>
      <c r="CG143" s="18"/>
      <c r="CH143" s="18"/>
      <c r="CI143" s="18"/>
      <c r="CJ143" s="18"/>
      <c r="CK143" s="18"/>
      <c r="CL143" s="18"/>
      <c r="CM143" s="18"/>
      <c r="CN143" s="18"/>
      <c r="CO143" s="18"/>
      <c r="CP143" s="18"/>
      <c r="CQ143" s="18"/>
      <c r="CR143" s="18"/>
      <c r="CS143" s="18"/>
      <c r="CT143" s="18"/>
      <c r="CU143" s="18"/>
      <c r="CV143" s="18"/>
      <c r="CW143" s="18"/>
      <c r="CX143" s="18"/>
      <c r="CY143" s="18"/>
      <c r="CZ143" s="18"/>
      <c r="DA143" s="18"/>
      <c r="DB143" s="18"/>
      <c r="DC143" s="18"/>
      <c r="DD143" s="18"/>
      <c r="DE143" s="18"/>
      <c r="DF143" s="18"/>
      <c r="DG143" s="18"/>
      <c r="DH143" s="18"/>
      <c r="DI143" s="18"/>
      <c r="DJ143" s="18"/>
      <c r="DK143" s="18"/>
      <c r="DL143" s="18"/>
      <c r="DM143" s="18"/>
      <c r="DN143" s="18"/>
      <c r="DO143" s="18"/>
      <c r="DP143" s="18"/>
      <c r="DQ143" s="18"/>
      <c r="DR143" s="18"/>
      <c r="DS143" s="18"/>
      <c r="DT143" s="18"/>
      <c r="DU143" s="18"/>
      <c r="DV143" s="18"/>
      <c r="DW143" s="18"/>
      <c r="DX143" s="18"/>
      <c r="DY143" s="18"/>
      <c r="DZ143" s="18"/>
      <c r="EA143" s="18"/>
      <c r="EB143" s="18"/>
      <c r="EC143" s="18"/>
      <c r="ED143" s="18"/>
      <c r="EE143" s="18"/>
      <c r="EF143" s="18"/>
      <c r="EG143" s="18"/>
      <c r="EH143" s="18"/>
      <c r="EI143" s="18"/>
      <c r="EJ143" s="18"/>
      <c r="EK143" s="18"/>
      <c r="EL143" s="18"/>
      <c r="EM143" s="18"/>
      <c r="EN143" s="18"/>
      <c r="EO143" s="18"/>
      <c r="EP143" s="18"/>
      <c r="EQ143" s="18"/>
      <c r="ER143" s="18"/>
      <c r="ES143" s="18"/>
      <c r="ET143" s="18"/>
      <c r="EU143" s="18"/>
      <c r="EV143" s="18"/>
      <c r="EW143" s="18"/>
      <c r="EX143" s="18"/>
      <c r="EY143" s="18"/>
      <c r="EZ143" s="18"/>
      <c r="FA143" s="18"/>
      <c r="FB143" s="18"/>
      <c r="FC143" s="18"/>
      <c r="FD143" s="18"/>
      <c r="FE143" s="18"/>
      <c r="FF143" s="18"/>
      <c r="FG143" s="18"/>
      <c r="FH143" s="18"/>
      <c r="FI143" s="18"/>
      <c r="FJ143" s="18"/>
      <c r="FK143" s="18"/>
      <c r="FL143" s="18"/>
      <c r="FM143" s="18"/>
      <c r="FN143" s="18"/>
      <c r="FO143" s="18"/>
      <c r="FP143" s="18"/>
      <c r="FQ143" s="18"/>
      <c r="FR143" s="18"/>
      <c r="FS143" s="18"/>
      <c r="FT143" s="18"/>
      <c r="FU143" s="18"/>
      <c r="FV143" s="18"/>
      <c r="FW143" s="18"/>
      <c r="FX143" s="18"/>
      <c r="FY143" s="18"/>
      <c r="FZ143" s="18"/>
      <c r="GA143" s="18"/>
      <c r="GB143" s="18"/>
      <c r="GC143" s="18"/>
    </row>
    <row r="144" spans="1:185" ht="30" x14ac:dyDescent="0.25">
      <c r="A144" s="57" t="s">
        <v>80</v>
      </c>
      <c r="B144" s="21">
        <f>'1 уровень'!C354</f>
        <v>728</v>
      </c>
      <c r="C144" s="21">
        <f>'1 уровень'!D354</f>
        <v>303</v>
      </c>
      <c r="D144" s="21">
        <f>'1 уровень'!E354</f>
        <v>112</v>
      </c>
      <c r="E144" s="104">
        <f>'1 уровень'!F354</f>
        <v>36.963696369636963</v>
      </c>
      <c r="F144" s="31">
        <f>'1 уровень'!G354</f>
        <v>1094.6578100000002</v>
      </c>
      <c r="G144" s="31">
        <f>'1 уровень'!H354</f>
        <v>456.11</v>
      </c>
      <c r="H144" s="31">
        <f>'1 уровень'!I354</f>
        <v>-25.68929999999996</v>
      </c>
      <c r="I144" s="31">
        <f>'1 уровень'!J354</f>
        <v>-5.6322597618995331</v>
      </c>
      <c r="J144" s="46"/>
      <c r="L144" s="381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  <c r="BA144" s="18"/>
      <c r="BB144" s="18"/>
      <c r="BC144" s="18"/>
      <c r="BD144" s="18"/>
      <c r="BE144" s="18"/>
      <c r="BF144" s="18"/>
      <c r="BG144" s="18"/>
      <c r="BH144" s="18"/>
      <c r="BI144" s="18"/>
      <c r="BJ144" s="18"/>
      <c r="BK144" s="18"/>
      <c r="BL144" s="18"/>
      <c r="BM144" s="18"/>
      <c r="BN144" s="18"/>
      <c r="BO144" s="18"/>
      <c r="BP144" s="18"/>
      <c r="BQ144" s="18"/>
      <c r="BR144" s="18"/>
      <c r="BS144" s="18"/>
      <c r="BT144" s="18"/>
      <c r="BU144" s="18"/>
      <c r="BV144" s="18"/>
      <c r="BW144" s="18"/>
      <c r="BX144" s="18"/>
      <c r="BY144" s="18"/>
      <c r="BZ144" s="18"/>
      <c r="CA144" s="18"/>
      <c r="CB144" s="18"/>
      <c r="CC144" s="18"/>
      <c r="CD144" s="18"/>
      <c r="CE144" s="18"/>
      <c r="CF144" s="18"/>
      <c r="CG144" s="18"/>
      <c r="CH144" s="18"/>
      <c r="CI144" s="18"/>
      <c r="CJ144" s="18"/>
      <c r="CK144" s="18"/>
      <c r="CL144" s="18"/>
      <c r="CM144" s="18"/>
      <c r="CN144" s="18"/>
      <c r="CO144" s="18"/>
      <c r="CP144" s="18"/>
      <c r="CQ144" s="18"/>
      <c r="CR144" s="18"/>
      <c r="CS144" s="18"/>
      <c r="CT144" s="18"/>
      <c r="CU144" s="18"/>
      <c r="CV144" s="18"/>
      <c r="CW144" s="18"/>
      <c r="CX144" s="18"/>
      <c r="CY144" s="18"/>
      <c r="CZ144" s="18"/>
      <c r="DA144" s="18"/>
      <c r="DB144" s="18"/>
      <c r="DC144" s="18"/>
      <c r="DD144" s="18"/>
      <c r="DE144" s="18"/>
      <c r="DF144" s="18"/>
      <c r="DG144" s="18"/>
      <c r="DH144" s="18"/>
      <c r="DI144" s="18"/>
      <c r="DJ144" s="18"/>
      <c r="DK144" s="18"/>
      <c r="DL144" s="18"/>
      <c r="DM144" s="18"/>
      <c r="DN144" s="18"/>
      <c r="DO144" s="18"/>
      <c r="DP144" s="18"/>
      <c r="DQ144" s="18"/>
      <c r="DR144" s="18"/>
      <c r="DS144" s="18"/>
      <c r="DT144" s="18"/>
      <c r="DU144" s="18"/>
      <c r="DV144" s="18"/>
      <c r="DW144" s="18"/>
      <c r="DX144" s="18"/>
      <c r="DY144" s="18"/>
      <c r="DZ144" s="18"/>
      <c r="EA144" s="18"/>
      <c r="EB144" s="18"/>
      <c r="EC144" s="18"/>
      <c r="ED144" s="18"/>
      <c r="EE144" s="18"/>
      <c r="EF144" s="18"/>
      <c r="EG144" s="18"/>
      <c r="EH144" s="18"/>
      <c r="EI144" s="18"/>
      <c r="EJ144" s="18"/>
      <c r="EK144" s="18"/>
      <c r="EL144" s="18"/>
      <c r="EM144" s="18"/>
      <c r="EN144" s="18"/>
      <c r="EO144" s="18"/>
      <c r="EP144" s="18"/>
      <c r="EQ144" s="18"/>
      <c r="ER144" s="18"/>
      <c r="ES144" s="18"/>
      <c r="ET144" s="18"/>
      <c r="EU144" s="18"/>
      <c r="EV144" s="18"/>
      <c r="EW144" s="18"/>
      <c r="EX144" s="18"/>
      <c r="EY144" s="18"/>
      <c r="EZ144" s="18"/>
      <c r="FA144" s="18"/>
      <c r="FB144" s="18"/>
      <c r="FC144" s="18"/>
      <c r="FD144" s="18"/>
      <c r="FE144" s="18"/>
      <c r="FF144" s="18"/>
      <c r="FG144" s="18"/>
      <c r="FH144" s="18"/>
      <c r="FI144" s="18"/>
      <c r="FJ144" s="18"/>
      <c r="FK144" s="18"/>
      <c r="FL144" s="18"/>
      <c r="FM144" s="18"/>
      <c r="FN144" s="18"/>
      <c r="FO144" s="18"/>
      <c r="FP144" s="18"/>
      <c r="FQ144" s="18"/>
      <c r="FR144" s="18"/>
      <c r="FS144" s="18"/>
      <c r="FT144" s="18"/>
      <c r="FU144" s="18"/>
      <c r="FV144" s="18"/>
      <c r="FW144" s="18"/>
      <c r="FX144" s="18"/>
      <c r="FY144" s="18"/>
      <c r="FZ144" s="18"/>
      <c r="GA144" s="18"/>
      <c r="GB144" s="18"/>
      <c r="GC144" s="18"/>
    </row>
    <row r="145" spans="1:185" ht="45" x14ac:dyDescent="0.25">
      <c r="A145" s="57" t="s">
        <v>110</v>
      </c>
      <c r="B145" s="21">
        <f>'1 уровень'!C355</f>
        <v>36</v>
      </c>
      <c r="C145" s="21">
        <f>'1 уровень'!D355</f>
        <v>15</v>
      </c>
      <c r="D145" s="21">
        <f>'1 уровень'!E355</f>
        <v>40</v>
      </c>
      <c r="E145" s="104">
        <f>'1 уровень'!F355</f>
        <v>266.66666666666663</v>
      </c>
      <c r="F145" s="31">
        <f>'1 уровень'!G355</f>
        <v>196.86240000000001</v>
      </c>
      <c r="G145" s="31">
        <f>'1 уровень'!H355</f>
        <v>82.03</v>
      </c>
      <c r="H145" s="31">
        <f>'1 уровень'!I355</f>
        <v>218.73599999999996</v>
      </c>
      <c r="I145" s="31">
        <f>'1 уровень'!J355</f>
        <v>266.65366329391679</v>
      </c>
      <c r="J145" s="46"/>
      <c r="L145" s="381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  <c r="BA145" s="18"/>
      <c r="BB145" s="18"/>
      <c r="BC145" s="18"/>
      <c r="BD145" s="18"/>
      <c r="BE145" s="18"/>
      <c r="BF145" s="18"/>
      <c r="BG145" s="18"/>
      <c r="BH145" s="18"/>
      <c r="BI145" s="18"/>
      <c r="BJ145" s="18"/>
      <c r="BK145" s="18"/>
      <c r="BL145" s="18"/>
      <c r="BM145" s="18"/>
      <c r="BN145" s="18"/>
      <c r="BO145" s="18"/>
      <c r="BP145" s="18"/>
      <c r="BQ145" s="18"/>
      <c r="BR145" s="18"/>
      <c r="BS145" s="18"/>
      <c r="BT145" s="18"/>
      <c r="BU145" s="18"/>
      <c r="BV145" s="18"/>
      <c r="BW145" s="18"/>
      <c r="BX145" s="18"/>
      <c r="BY145" s="18"/>
      <c r="BZ145" s="18"/>
      <c r="CA145" s="18"/>
      <c r="CB145" s="18"/>
      <c r="CC145" s="18"/>
      <c r="CD145" s="18"/>
      <c r="CE145" s="18"/>
      <c r="CF145" s="18"/>
      <c r="CG145" s="18"/>
      <c r="CH145" s="18"/>
      <c r="CI145" s="18"/>
      <c r="CJ145" s="18"/>
      <c r="CK145" s="18"/>
      <c r="CL145" s="18"/>
      <c r="CM145" s="18"/>
      <c r="CN145" s="18"/>
      <c r="CO145" s="18"/>
      <c r="CP145" s="18"/>
      <c r="CQ145" s="18"/>
      <c r="CR145" s="18"/>
      <c r="CS145" s="18"/>
      <c r="CT145" s="18"/>
      <c r="CU145" s="18"/>
      <c r="CV145" s="18"/>
      <c r="CW145" s="18"/>
      <c r="CX145" s="18"/>
      <c r="CY145" s="18"/>
      <c r="CZ145" s="18"/>
      <c r="DA145" s="18"/>
      <c r="DB145" s="18"/>
      <c r="DC145" s="18"/>
      <c r="DD145" s="18"/>
      <c r="DE145" s="18"/>
      <c r="DF145" s="18"/>
      <c r="DG145" s="18"/>
      <c r="DH145" s="18"/>
      <c r="DI145" s="18"/>
      <c r="DJ145" s="18"/>
      <c r="DK145" s="18"/>
      <c r="DL145" s="18"/>
      <c r="DM145" s="18"/>
      <c r="DN145" s="18"/>
      <c r="DO145" s="18"/>
      <c r="DP145" s="18"/>
      <c r="DQ145" s="18"/>
      <c r="DR145" s="18"/>
      <c r="DS145" s="18"/>
      <c r="DT145" s="18"/>
      <c r="DU145" s="18"/>
      <c r="DV145" s="18"/>
      <c r="DW145" s="18"/>
      <c r="DX145" s="18"/>
      <c r="DY145" s="18"/>
      <c r="DZ145" s="18"/>
      <c r="EA145" s="18"/>
      <c r="EB145" s="18"/>
      <c r="EC145" s="18"/>
      <c r="ED145" s="18"/>
      <c r="EE145" s="18"/>
      <c r="EF145" s="18"/>
      <c r="EG145" s="18"/>
      <c r="EH145" s="18"/>
      <c r="EI145" s="18"/>
      <c r="EJ145" s="18"/>
      <c r="EK145" s="18"/>
      <c r="EL145" s="18"/>
      <c r="EM145" s="18"/>
      <c r="EN145" s="18"/>
      <c r="EO145" s="18"/>
      <c r="EP145" s="18"/>
      <c r="EQ145" s="18"/>
      <c r="ER145" s="18"/>
      <c r="ES145" s="18"/>
      <c r="ET145" s="18"/>
      <c r="EU145" s="18"/>
      <c r="EV145" s="18"/>
      <c r="EW145" s="18"/>
      <c r="EX145" s="18"/>
      <c r="EY145" s="18"/>
      <c r="EZ145" s="18"/>
      <c r="FA145" s="18"/>
      <c r="FB145" s="18"/>
      <c r="FC145" s="18"/>
      <c r="FD145" s="18"/>
      <c r="FE145" s="18"/>
      <c r="FF145" s="18"/>
      <c r="FG145" s="18"/>
      <c r="FH145" s="18"/>
      <c r="FI145" s="18"/>
      <c r="FJ145" s="18"/>
      <c r="FK145" s="18"/>
      <c r="FL145" s="18"/>
      <c r="FM145" s="18"/>
      <c r="FN145" s="18"/>
      <c r="FO145" s="18"/>
      <c r="FP145" s="18"/>
      <c r="FQ145" s="18"/>
      <c r="FR145" s="18"/>
      <c r="FS145" s="18"/>
      <c r="FT145" s="18"/>
      <c r="FU145" s="18"/>
      <c r="FV145" s="18"/>
      <c r="FW145" s="18"/>
      <c r="FX145" s="18"/>
      <c r="FY145" s="18"/>
      <c r="FZ145" s="18"/>
      <c r="GA145" s="18"/>
      <c r="GB145" s="18"/>
      <c r="GC145" s="18"/>
    </row>
    <row r="146" spans="1:185" ht="30" x14ac:dyDescent="0.25">
      <c r="A146" s="57" t="s">
        <v>111</v>
      </c>
      <c r="B146" s="21">
        <f>'1 уровень'!C356</f>
        <v>176</v>
      </c>
      <c r="C146" s="21">
        <f>'1 уровень'!D356</f>
        <v>73</v>
      </c>
      <c r="D146" s="21">
        <f>'1 уровень'!E356</f>
        <v>157</v>
      </c>
      <c r="E146" s="104">
        <f>'1 уровень'!F356</f>
        <v>215.06849315068496</v>
      </c>
      <c r="F146" s="31">
        <f>'1 уровень'!G356</f>
        <v>962.43839999999989</v>
      </c>
      <c r="G146" s="31">
        <f>'1 уровень'!H356</f>
        <v>401.02</v>
      </c>
      <c r="H146" s="31">
        <f>'1 уровень'!I356</f>
        <v>858.53880000000004</v>
      </c>
      <c r="I146" s="31">
        <f>'1 уровень'!J356</f>
        <v>214.08877362725053</v>
      </c>
      <c r="J146" s="46"/>
      <c r="L146" s="381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  <c r="BA146" s="18"/>
      <c r="BB146" s="18"/>
      <c r="BC146" s="18"/>
      <c r="BD146" s="18"/>
      <c r="BE146" s="18"/>
      <c r="BF146" s="18"/>
      <c r="BG146" s="18"/>
      <c r="BH146" s="18"/>
      <c r="BI146" s="18"/>
      <c r="BJ146" s="18"/>
      <c r="BK146" s="18"/>
      <c r="BL146" s="18"/>
      <c r="BM146" s="18"/>
      <c r="BN146" s="18"/>
      <c r="BO146" s="18"/>
      <c r="BP146" s="18"/>
      <c r="BQ146" s="18"/>
      <c r="BR146" s="18"/>
      <c r="BS146" s="18"/>
      <c r="BT146" s="18"/>
      <c r="BU146" s="18"/>
      <c r="BV146" s="18"/>
      <c r="BW146" s="18"/>
      <c r="BX146" s="18"/>
      <c r="BY146" s="18"/>
      <c r="BZ146" s="18"/>
      <c r="CA146" s="18"/>
      <c r="CB146" s="18"/>
      <c r="CC146" s="18"/>
      <c r="CD146" s="18"/>
      <c r="CE146" s="18"/>
      <c r="CF146" s="18"/>
      <c r="CG146" s="18"/>
      <c r="CH146" s="18"/>
      <c r="CI146" s="18"/>
      <c r="CJ146" s="18"/>
      <c r="CK146" s="18"/>
      <c r="CL146" s="18"/>
      <c r="CM146" s="18"/>
      <c r="CN146" s="18"/>
      <c r="CO146" s="18"/>
      <c r="CP146" s="18"/>
      <c r="CQ146" s="18"/>
      <c r="CR146" s="18"/>
      <c r="CS146" s="18"/>
      <c r="CT146" s="18"/>
      <c r="CU146" s="18"/>
      <c r="CV146" s="18"/>
      <c r="CW146" s="18"/>
      <c r="CX146" s="18"/>
      <c r="CY146" s="18"/>
      <c r="CZ146" s="18"/>
      <c r="DA146" s="18"/>
      <c r="DB146" s="18"/>
      <c r="DC146" s="18"/>
      <c r="DD146" s="18"/>
      <c r="DE146" s="18"/>
      <c r="DF146" s="18"/>
      <c r="DG146" s="18"/>
      <c r="DH146" s="18"/>
      <c r="DI146" s="18"/>
      <c r="DJ146" s="18"/>
      <c r="DK146" s="18"/>
      <c r="DL146" s="18"/>
      <c r="DM146" s="18"/>
      <c r="DN146" s="18"/>
      <c r="DO146" s="18"/>
      <c r="DP146" s="18"/>
      <c r="DQ146" s="18"/>
      <c r="DR146" s="18"/>
      <c r="DS146" s="18"/>
      <c r="DT146" s="18"/>
      <c r="DU146" s="18"/>
      <c r="DV146" s="18"/>
      <c r="DW146" s="18"/>
      <c r="DX146" s="18"/>
      <c r="DY146" s="18"/>
      <c r="DZ146" s="18"/>
      <c r="EA146" s="18"/>
      <c r="EB146" s="18"/>
      <c r="EC146" s="18"/>
      <c r="ED146" s="18"/>
      <c r="EE146" s="18"/>
      <c r="EF146" s="18"/>
      <c r="EG146" s="18"/>
      <c r="EH146" s="18"/>
      <c r="EI146" s="18"/>
      <c r="EJ146" s="18"/>
      <c r="EK146" s="18"/>
      <c r="EL146" s="18"/>
      <c r="EM146" s="18"/>
      <c r="EN146" s="18"/>
      <c r="EO146" s="18"/>
      <c r="EP146" s="18"/>
      <c r="EQ146" s="18"/>
      <c r="ER146" s="18"/>
      <c r="ES146" s="18"/>
      <c r="ET146" s="18"/>
      <c r="EU146" s="18"/>
      <c r="EV146" s="18"/>
      <c r="EW146" s="18"/>
      <c r="EX146" s="18"/>
      <c r="EY146" s="18"/>
      <c r="EZ146" s="18"/>
      <c r="FA146" s="18"/>
      <c r="FB146" s="18"/>
      <c r="FC146" s="18"/>
      <c r="FD146" s="18"/>
      <c r="FE146" s="18"/>
      <c r="FF146" s="18"/>
      <c r="FG146" s="18"/>
      <c r="FH146" s="18"/>
      <c r="FI146" s="18"/>
      <c r="FJ146" s="18"/>
      <c r="FK146" s="18"/>
      <c r="FL146" s="18"/>
      <c r="FM146" s="18"/>
      <c r="FN146" s="18"/>
      <c r="FO146" s="18"/>
      <c r="FP146" s="18"/>
      <c r="FQ146" s="18"/>
      <c r="FR146" s="18"/>
      <c r="FS146" s="18"/>
      <c r="FT146" s="18"/>
      <c r="FU146" s="18"/>
      <c r="FV146" s="18"/>
      <c r="FW146" s="18"/>
      <c r="FX146" s="18"/>
      <c r="FY146" s="18"/>
      <c r="FZ146" s="18"/>
      <c r="GA146" s="18"/>
      <c r="GB146" s="18"/>
      <c r="GC146" s="18"/>
    </row>
    <row r="147" spans="1:185" ht="30" x14ac:dyDescent="0.25">
      <c r="A147" s="229" t="s">
        <v>112</v>
      </c>
      <c r="B147" s="226">
        <f>'1 уровень'!C357</f>
        <v>5552</v>
      </c>
      <c r="C147" s="226">
        <f>'1 уровень'!D357</f>
        <v>2313</v>
      </c>
      <c r="D147" s="226">
        <f>'1 уровень'!E357</f>
        <v>2083</v>
      </c>
      <c r="E147" s="227">
        <f>'1 уровень'!F357</f>
        <v>90.056204063986172</v>
      </c>
      <c r="F147" s="230">
        <f>'1 уровень'!G357</f>
        <v>10392.8236</v>
      </c>
      <c r="G147" s="230">
        <f>'1 уровень'!H357</f>
        <v>4330.3500000000004</v>
      </c>
      <c r="H147" s="230">
        <f>'1 уровень'!I357</f>
        <v>4135.3301000000001</v>
      </c>
      <c r="I147" s="230">
        <f>'1 уровень'!J357</f>
        <v>95.4964402415509</v>
      </c>
      <c r="J147" s="46"/>
      <c r="L147" s="381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  <c r="BA147" s="18"/>
      <c r="BB147" s="18"/>
      <c r="BC147" s="18"/>
      <c r="BD147" s="18"/>
      <c r="BE147" s="18"/>
      <c r="BF147" s="18"/>
      <c r="BG147" s="18"/>
      <c r="BH147" s="18"/>
      <c r="BI147" s="18"/>
      <c r="BJ147" s="18"/>
      <c r="BK147" s="18"/>
      <c r="BL147" s="18"/>
      <c r="BM147" s="18"/>
      <c r="BN147" s="18"/>
      <c r="BO147" s="18"/>
      <c r="BP147" s="18"/>
      <c r="BQ147" s="18"/>
      <c r="BR147" s="18"/>
      <c r="BS147" s="18"/>
      <c r="BT147" s="18"/>
      <c r="BU147" s="18"/>
      <c r="BV147" s="18"/>
      <c r="BW147" s="18"/>
      <c r="BX147" s="18"/>
      <c r="BY147" s="18"/>
      <c r="BZ147" s="18"/>
      <c r="CA147" s="18"/>
      <c r="CB147" s="18"/>
      <c r="CC147" s="18"/>
      <c r="CD147" s="18"/>
      <c r="CE147" s="18"/>
      <c r="CF147" s="18"/>
      <c r="CG147" s="18"/>
      <c r="CH147" s="18"/>
      <c r="CI147" s="18"/>
      <c r="CJ147" s="18"/>
      <c r="CK147" s="18"/>
      <c r="CL147" s="18"/>
      <c r="CM147" s="18"/>
      <c r="CN147" s="18"/>
      <c r="CO147" s="18"/>
      <c r="CP147" s="18"/>
      <c r="CQ147" s="18"/>
      <c r="CR147" s="18"/>
      <c r="CS147" s="18"/>
      <c r="CT147" s="18"/>
      <c r="CU147" s="18"/>
      <c r="CV147" s="18"/>
      <c r="CW147" s="18"/>
      <c r="CX147" s="18"/>
      <c r="CY147" s="18"/>
      <c r="CZ147" s="18"/>
      <c r="DA147" s="18"/>
      <c r="DB147" s="18"/>
      <c r="DC147" s="18"/>
      <c r="DD147" s="18"/>
      <c r="DE147" s="18"/>
      <c r="DF147" s="18"/>
      <c r="DG147" s="18"/>
      <c r="DH147" s="18"/>
      <c r="DI147" s="18"/>
      <c r="DJ147" s="18"/>
      <c r="DK147" s="18"/>
      <c r="DL147" s="18"/>
      <c r="DM147" s="18"/>
      <c r="DN147" s="18"/>
      <c r="DO147" s="18"/>
      <c r="DP147" s="18"/>
      <c r="DQ147" s="18"/>
      <c r="DR147" s="18"/>
      <c r="DS147" s="18"/>
      <c r="DT147" s="18"/>
      <c r="DU147" s="18"/>
      <c r="DV147" s="18"/>
      <c r="DW147" s="18"/>
      <c r="DX147" s="18"/>
      <c r="DY147" s="18"/>
      <c r="DZ147" s="18"/>
      <c r="EA147" s="18"/>
      <c r="EB147" s="18"/>
      <c r="EC147" s="18"/>
      <c r="ED147" s="18"/>
      <c r="EE147" s="18"/>
      <c r="EF147" s="18"/>
      <c r="EG147" s="18"/>
      <c r="EH147" s="18"/>
      <c r="EI147" s="18"/>
      <c r="EJ147" s="18"/>
      <c r="EK147" s="18"/>
      <c r="EL147" s="18"/>
      <c r="EM147" s="18"/>
      <c r="EN147" s="18"/>
      <c r="EO147" s="18"/>
      <c r="EP147" s="18"/>
      <c r="EQ147" s="18"/>
      <c r="ER147" s="18"/>
      <c r="ES147" s="18"/>
      <c r="ET147" s="18"/>
      <c r="EU147" s="18"/>
      <c r="EV147" s="18"/>
      <c r="EW147" s="18"/>
      <c r="EX147" s="18"/>
      <c r="EY147" s="18"/>
      <c r="EZ147" s="18"/>
      <c r="FA147" s="18"/>
      <c r="FB147" s="18"/>
      <c r="FC147" s="18"/>
      <c r="FD147" s="18"/>
      <c r="FE147" s="18"/>
      <c r="FF147" s="18"/>
      <c r="FG147" s="18"/>
      <c r="FH147" s="18"/>
      <c r="FI147" s="18"/>
      <c r="FJ147" s="18"/>
      <c r="FK147" s="18"/>
      <c r="FL147" s="18"/>
      <c r="FM147" s="18"/>
      <c r="FN147" s="18"/>
      <c r="FO147" s="18"/>
      <c r="FP147" s="18"/>
      <c r="FQ147" s="18"/>
      <c r="FR147" s="18"/>
      <c r="FS147" s="18"/>
      <c r="FT147" s="18"/>
      <c r="FU147" s="18"/>
      <c r="FV147" s="18"/>
      <c r="FW147" s="18"/>
      <c r="FX147" s="18"/>
      <c r="FY147" s="18"/>
      <c r="FZ147" s="18"/>
      <c r="GA147" s="18"/>
      <c r="GB147" s="18"/>
      <c r="GC147" s="18"/>
    </row>
    <row r="148" spans="1:185" ht="30" x14ac:dyDescent="0.25">
      <c r="A148" s="57" t="s">
        <v>108</v>
      </c>
      <c r="B148" s="21">
        <f>'1 уровень'!C358</f>
        <v>1500</v>
      </c>
      <c r="C148" s="21">
        <f>'1 уровень'!D358</f>
        <v>625</v>
      </c>
      <c r="D148" s="21">
        <f>'1 уровень'!E358</f>
        <v>412</v>
      </c>
      <c r="E148" s="104">
        <f>'1 уровень'!F358</f>
        <v>65.92</v>
      </c>
      <c r="F148" s="31">
        <f>'1 уровень'!G358</f>
        <v>2650.65</v>
      </c>
      <c r="G148" s="31">
        <f>'1 уровень'!H358</f>
        <v>1104.44</v>
      </c>
      <c r="H148" s="31">
        <f>'1 уровень'!I358</f>
        <v>731.17903999999999</v>
      </c>
      <c r="I148" s="31">
        <f>'1 уровень'!J358</f>
        <v>66.20360001448698</v>
      </c>
      <c r="J148" s="46"/>
      <c r="L148" s="381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  <c r="BA148" s="18"/>
      <c r="BB148" s="18"/>
      <c r="BC148" s="18"/>
      <c r="BD148" s="18"/>
      <c r="BE148" s="18"/>
      <c r="BF148" s="18"/>
      <c r="BG148" s="18"/>
      <c r="BH148" s="18"/>
      <c r="BI148" s="18"/>
      <c r="BJ148" s="18"/>
      <c r="BK148" s="18"/>
      <c r="BL148" s="18"/>
      <c r="BM148" s="18"/>
      <c r="BN148" s="18"/>
      <c r="BO148" s="18"/>
      <c r="BP148" s="18"/>
      <c r="BQ148" s="18"/>
      <c r="BR148" s="18"/>
      <c r="BS148" s="18"/>
      <c r="BT148" s="18"/>
      <c r="BU148" s="18"/>
      <c r="BV148" s="18"/>
      <c r="BW148" s="18"/>
      <c r="BX148" s="18"/>
      <c r="BY148" s="18"/>
      <c r="BZ148" s="18"/>
      <c r="CA148" s="18"/>
      <c r="CB148" s="18"/>
      <c r="CC148" s="18"/>
      <c r="CD148" s="18"/>
      <c r="CE148" s="18"/>
      <c r="CF148" s="18"/>
      <c r="CG148" s="18"/>
      <c r="CH148" s="18"/>
      <c r="CI148" s="18"/>
      <c r="CJ148" s="18"/>
      <c r="CK148" s="18"/>
      <c r="CL148" s="18"/>
      <c r="CM148" s="18"/>
      <c r="CN148" s="18"/>
      <c r="CO148" s="18"/>
      <c r="CP148" s="18"/>
      <c r="CQ148" s="18"/>
      <c r="CR148" s="18"/>
      <c r="CS148" s="18"/>
      <c r="CT148" s="18"/>
      <c r="CU148" s="18"/>
      <c r="CV148" s="18"/>
      <c r="CW148" s="18"/>
      <c r="CX148" s="18"/>
      <c r="CY148" s="18"/>
      <c r="CZ148" s="18"/>
      <c r="DA148" s="18"/>
      <c r="DB148" s="18"/>
      <c r="DC148" s="18"/>
      <c r="DD148" s="18"/>
      <c r="DE148" s="18"/>
      <c r="DF148" s="18"/>
      <c r="DG148" s="18"/>
      <c r="DH148" s="18"/>
      <c r="DI148" s="18"/>
      <c r="DJ148" s="18"/>
      <c r="DK148" s="18"/>
      <c r="DL148" s="18"/>
      <c r="DM148" s="18"/>
      <c r="DN148" s="18"/>
      <c r="DO148" s="18"/>
      <c r="DP148" s="18"/>
      <c r="DQ148" s="18"/>
      <c r="DR148" s="18"/>
      <c r="DS148" s="18"/>
      <c r="DT148" s="18"/>
      <c r="DU148" s="18"/>
      <c r="DV148" s="18"/>
      <c r="DW148" s="18"/>
      <c r="DX148" s="18"/>
      <c r="DY148" s="18"/>
      <c r="DZ148" s="18"/>
      <c r="EA148" s="18"/>
      <c r="EB148" s="18"/>
      <c r="EC148" s="18"/>
      <c r="ED148" s="18"/>
      <c r="EE148" s="18"/>
      <c r="EF148" s="18"/>
      <c r="EG148" s="18"/>
      <c r="EH148" s="18"/>
      <c r="EI148" s="18"/>
      <c r="EJ148" s="18"/>
      <c r="EK148" s="18"/>
      <c r="EL148" s="18"/>
      <c r="EM148" s="18"/>
      <c r="EN148" s="18"/>
      <c r="EO148" s="18"/>
      <c r="EP148" s="18"/>
      <c r="EQ148" s="18"/>
      <c r="ER148" s="18"/>
      <c r="ES148" s="18"/>
      <c r="ET148" s="18"/>
      <c r="EU148" s="18"/>
      <c r="EV148" s="18"/>
      <c r="EW148" s="18"/>
      <c r="EX148" s="18"/>
      <c r="EY148" s="18"/>
      <c r="EZ148" s="18"/>
      <c r="FA148" s="18"/>
      <c r="FB148" s="18"/>
      <c r="FC148" s="18"/>
      <c r="FD148" s="18"/>
      <c r="FE148" s="18"/>
      <c r="FF148" s="18"/>
      <c r="FG148" s="18"/>
      <c r="FH148" s="18"/>
      <c r="FI148" s="18"/>
      <c r="FJ148" s="18"/>
      <c r="FK148" s="18"/>
      <c r="FL148" s="18"/>
      <c r="FM148" s="18"/>
      <c r="FN148" s="18"/>
      <c r="FO148" s="18"/>
      <c r="FP148" s="18"/>
      <c r="FQ148" s="18"/>
      <c r="FR148" s="18"/>
      <c r="FS148" s="18"/>
      <c r="FT148" s="18"/>
      <c r="FU148" s="18"/>
      <c r="FV148" s="18"/>
      <c r="FW148" s="18"/>
      <c r="FX148" s="18"/>
      <c r="FY148" s="18"/>
      <c r="FZ148" s="18"/>
      <c r="GA148" s="18"/>
      <c r="GB148" s="18"/>
      <c r="GC148" s="18"/>
    </row>
    <row r="149" spans="1:185" ht="60" x14ac:dyDescent="0.25">
      <c r="A149" s="57" t="s">
        <v>81</v>
      </c>
      <c r="B149" s="21">
        <f>'1 уровень'!C359</f>
        <v>3000</v>
      </c>
      <c r="C149" s="21">
        <f>'1 уровень'!D359</f>
        <v>1250</v>
      </c>
      <c r="D149" s="21">
        <f>'1 уровень'!E359</f>
        <v>1202</v>
      </c>
      <c r="E149" s="104">
        <f>'1 уровень'!F359</f>
        <v>96.16</v>
      </c>
      <c r="F149" s="31">
        <f>'1 уровень'!G359</f>
        <v>6882.9</v>
      </c>
      <c r="G149" s="31">
        <f>'1 уровень'!H359</f>
        <v>2867.88</v>
      </c>
      <c r="H149" s="31">
        <f>'1 уровень'!I359</f>
        <v>3022.97066</v>
      </c>
      <c r="I149" s="31">
        <f>'1 уровень'!J359</f>
        <v>105.40785039820355</v>
      </c>
      <c r="J149" s="46"/>
      <c r="L149" s="381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  <c r="BA149" s="18"/>
      <c r="BB149" s="18"/>
      <c r="BC149" s="18"/>
      <c r="BD149" s="18"/>
      <c r="BE149" s="18"/>
      <c r="BF149" s="18"/>
      <c r="BG149" s="18"/>
      <c r="BH149" s="18"/>
      <c r="BI149" s="18"/>
      <c r="BJ149" s="18"/>
      <c r="BK149" s="18"/>
      <c r="BL149" s="18"/>
      <c r="BM149" s="18"/>
      <c r="BN149" s="18"/>
      <c r="BO149" s="18"/>
      <c r="BP149" s="18"/>
      <c r="BQ149" s="18"/>
      <c r="BR149" s="18"/>
      <c r="BS149" s="18"/>
      <c r="BT149" s="18"/>
      <c r="BU149" s="18"/>
      <c r="BV149" s="18"/>
      <c r="BW149" s="18"/>
      <c r="BX149" s="18"/>
      <c r="BY149" s="18"/>
      <c r="BZ149" s="18"/>
      <c r="CA149" s="18"/>
      <c r="CB149" s="18"/>
      <c r="CC149" s="18"/>
      <c r="CD149" s="18"/>
      <c r="CE149" s="18"/>
      <c r="CF149" s="18"/>
      <c r="CG149" s="18"/>
      <c r="CH149" s="18"/>
      <c r="CI149" s="18"/>
      <c r="CJ149" s="18"/>
      <c r="CK149" s="18"/>
      <c r="CL149" s="18"/>
      <c r="CM149" s="18"/>
      <c r="CN149" s="18"/>
      <c r="CO149" s="18"/>
      <c r="CP149" s="18"/>
      <c r="CQ149" s="18"/>
      <c r="CR149" s="18"/>
      <c r="CS149" s="18"/>
      <c r="CT149" s="18"/>
      <c r="CU149" s="18"/>
      <c r="CV149" s="18"/>
      <c r="CW149" s="18"/>
      <c r="CX149" s="18"/>
      <c r="CY149" s="18"/>
      <c r="CZ149" s="18"/>
      <c r="DA149" s="18"/>
      <c r="DB149" s="18"/>
      <c r="DC149" s="18"/>
      <c r="DD149" s="18"/>
      <c r="DE149" s="18"/>
      <c r="DF149" s="18"/>
      <c r="DG149" s="18"/>
      <c r="DH149" s="18"/>
      <c r="DI149" s="18"/>
      <c r="DJ149" s="18"/>
      <c r="DK149" s="18"/>
      <c r="DL149" s="18"/>
      <c r="DM149" s="18"/>
      <c r="DN149" s="18"/>
      <c r="DO149" s="18"/>
      <c r="DP149" s="18"/>
      <c r="DQ149" s="18"/>
      <c r="DR149" s="18"/>
      <c r="DS149" s="18"/>
      <c r="DT149" s="18"/>
      <c r="DU149" s="18"/>
      <c r="DV149" s="18"/>
      <c r="DW149" s="18"/>
      <c r="DX149" s="18"/>
      <c r="DY149" s="18"/>
      <c r="DZ149" s="18"/>
      <c r="EA149" s="18"/>
      <c r="EB149" s="18"/>
      <c r="EC149" s="18"/>
      <c r="ED149" s="18"/>
      <c r="EE149" s="18"/>
      <c r="EF149" s="18"/>
      <c r="EG149" s="18"/>
      <c r="EH149" s="18"/>
      <c r="EI149" s="18"/>
      <c r="EJ149" s="18"/>
      <c r="EK149" s="18"/>
      <c r="EL149" s="18"/>
      <c r="EM149" s="18"/>
      <c r="EN149" s="18"/>
      <c r="EO149" s="18"/>
      <c r="EP149" s="18"/>
      <c r="EQ149" s="18"/>
      <c r="ER149" s="18"/>
      <c r="ES149" s="18"/>
      <c r="ET149" s="18"/>
      <c r="EU149" s="18"/>
      <c r="EV149" s="18"/>
      <c r="EW149" s="18"/>
      <c r="EX149" s="18"/>
      <c r="EY149" s="18"/>
      <c r="EZ149" s="18"/>
      <c r="FA149" s="18"/>
      <c r="FB149" s="18"/>
      <c r="FC149" s="18"/>
      <c r="FD149" s="18"/>
      <c r="FE149" s="18"/>
      <c r="FF149" s="18"/>
      <c r="FG149" s="18"/>
      <c r="FH149" s="18"/>
      <c r="FI149" s="18"/>
      <c r="FJ149" s="18"/>
      <c r="FK149" s="18"/>
      <c r="FL149" s="18"/>
      <c r="FM149" s="18"/>
      <c r="FN149" s="18"/>
      <c r="FO149" s="18"/>
      <c r="FP149" s="18"/>
      <c r="FQ149" s="18"/>
      <c r="FR149" s="18"/>
      <c r="FS149" s="18"/>
      <c r="FT149" s="18"/>
      <c r="FU149" s="18"/>
      <c r="FV149" s="18"/>
      <c r="FW149" s="18"/>
      <c r="FX149" s="18"/>
      <c r="FY149" s="18"/>
      <c r="FZ149" s="18"/>
      <c r="GA149" s="18"/>
      <c r="GB149" s="18"/>
      <c r="GC149" s="18"/>
    </row>
    <row r="150" spans="1:185" ht="45" x14ac:dyDescent="0.25">
      <c r="A150" s="57" t="s">
        <v>109</v>
      </c>
      <c r="B150" s="21">
        <f>'1 уровень'!C360</f>
        <v>1052</v>
      </c>
      <c r="C150" s="21">
        <f>'1 уровень'!D360</f>
        <v>438</v>
      </c>
      <c r="D150" s="21">
        <f>'1 уровень'!E360</f>
        <v>469</v>
      </c>
      <c r="E150" s="104">
        <f>'1 уровень'!F360</f>
        <v>107.07762557077625</v>
      </c>
      <c r="F150" s="31">
        <f>'1 уровень'!G360</f>
        <v>859.27359999999999</v>
      </c>
      <c r="G150" s="31">
        <f>'1 уровень'!H360</f>
        <v>358.03</v>
      </c>
      <c r="H150" s="31">
        <f>'1 уровень'!I360</f>
        <v>381.18040000000002</v>
      </c>
      <c r="I150" s="31">
        <f>'1 уровень'!J360</f>
        <v>106.46605033097786</v>
      </c>
      <c r="J150" s="46"/>
      <c r="L150" s="381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8"/>
      <c r="DH150" s="18"/>
      <c r="DI150" s="18"/>
      <c r="DJ150" s="18"/>
      <c r="DK150" s="18"/>
      <c r="DL150" s="18"/>
      <c r="DM150" s="18"/>
      <c r="DN150" s="18"/>
      <c r="DO150" s="18"/>
      <c r="DP150" s="18"/>
      <c r="DQ150" s="18"/>
      <c r="DR150" s="18"/>
      <c r="DS150" s="18"/>
      <c r="DT150" s="18"/>
      <c r="DU150" s="18"/>
      <c r="DV150" s="18"/>
      <c r="DW150" s="18"/>
      <c r="DX150" s="18"/>
      <c r="DY150" s="18"/>
      <c r="DZ150" s="18"/>
      <c r="EA150" s="18"/>
      <c r="EB150" s="18"/>
      <c r="EC150" s="18"/>
      <c r="ED150" s="18"/>
      <c r="EE150" s="18"/>
      <c r="EF150" s="18"/>
      <c r="EG150" s="18"/>
      <c r="EH150" s="18"/>
      <c r="EI150" s="18"/>
      <c r="EJ150" s="18"/>
      <c r="EK150" s="18"/>
      <c r="EL150" s="18"/>
      <c r="EM150" s="18"/>
      <c r="EN150" s="18"/>
      <c r="EO150" s="18"/>
      <c r="EP150" s="18"/>
      <c r="EQ150" s="18"/>
      <c r="ER150" s="18"/>
      <c r="ES150" s="18"/>
      <c r="ET150" s="18"/>
      <c r="EU150" s="18"/>
      <c r="EV150" s="18"/>
      <c r="EW150" s="18"/>
      <c r="EX150" s="18"/>
      <c r="EY150" s="18"/>
      <c r="EZ150" s="18"/>
      <c r="FA150" s="18"/>
      <c r="FB150" s="18"/>
      <c r="FC150" s="18"/>
      <c r="FD150" s="18"/>
      <c r="FE150" s="18"/>
      <c r="FF150" s="18"/>
      <c r="FG150" s="18"/>
      <c r="FH150" s="18"/>
      <c r="FI150" s="18"/>
      <c r="FJ150" s="18"/>
      <c r="FK150" s="18"/>
      <c r="FL150" s="18"/>
      <c r="FM150" s="18"/>
      <c r="FN150" s="18"/>
      <c r="FO150" s="18"/>
      <c r="FP150" s="18"/>
      <c r="FQ150" s="18"/>
      <c r="FR150" s="18"/>
      <c r="FS150" s="18"/>
      <c r="FT150" s="18"/>
      <c r="FU150" s="18"/>
      <c r="FV150" s="18"/>
      <c r="FW150" s="18"/>
      <c r="FX150" s="18"/>
      <c r="FY150" s="18"/>
      <c r="FZ150" s="18"/>
      <c r="GA150" s="18"/>
      <c r="GB150" s="18"/>
      <c r="GC150" s="18"/>
    </row>
    <row r="151" spans="1:185" ht="30" x14ac:dyDescent="0.25">
      <c r="A151" s="351" t="s">
        <v>123</v>
      </c>
      <c r="B151" s="21">
        <f>'1 уровень'!C349</f>
        <v>8400</v>
      </c>
      <c r="C151" s="21">
        <f>'1 уровень'!D349</f>
        <v>3500</v>
      </c>
      <c r="D151" s="21">
        <f>'1 уровень'!E349</f>
        <v>2359</v>
      </c>
      <c r="E151" s="104">
        <f>'1 уровень'!F349</f>
        <v>67.400000000000006</v>
      </c>
      <c r="F151" s="31">
        <f>'1 уровень'!G349</f>
        <v>6812.5680000000002</v>
      </c>
      <c r="G151" s="31">
        <f>'1 уровень'!H349</f>
        <v>2838.57</v>
      </c>
      <c r="H151" s="31">
        <f>'1 уровень'!I349</f>
        <v>1875.8241099999998</v>
      </c>
      <c r="I151" s="31">
        <f>'1 уровень'!J349</f>
        <v>66.083419115963309</v>
      </c>
      <c r="J151" s="46"/>
      <c r="K151" s="46"/>
      <c r="L151" s="46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8"/>
      <c r="DH151" s="18"/>
      <c r="DI151" s="18"/>
      <c r="DJ151" s="18"/>
      <c r="DK151" s="18"/>
      <c r="DL151" s="18"/>
      <c r="DM151" s="18"/>
      <c r="DN151" s="18"/>
      <c r="DO151" s="18"/>
      <c r="DP151" s="18"/>
      <c r="DQ151" s="18"/>
      <c r="DR151" s="18"/>
      <c r="DS151" s="18"/>
      <c r="DT151" s="18"/>
      <c r="DU151" s="18"/>
      <c r="DV151" s="18"/>
      <c r="DW151" s="18"/>
      <c r="DX151" s="18"/>
      <c r="DY151" s="18"/>
      <c r="DZ151" s="18"/>
      <c r="EA151" s="18"/>
      <c r="EB151" s="18"/>
      <c r="EC151" s="18"/>
      <c r="ED151" s="18"/>
      <c r="EE151" s="18"/>
      <c r="EF151" s="18"/>
      <c r="EG151" s="18"/>
      <c r="EH151" s="18"/>
      <c r="EI151" s="18"/>
      <c r="EJ151" s="18"/>
      <c r="EK151" s="18"/>
      <c r="EL151" s="18"/>
      <c r="EM151" s="18"/>
      <c r="EN151" s="18"/>
      <c r="EO151" s="18"/>
      <c r="EP151" s="18"/>
      <c r="EQ151" s="18"/>
      <c r="ER151" s="18"/>
      <c r="ES151" s="18"/>
      <c r="ET151" s="18"/>
      <c r="EU151" s="18"/>
      <c r="EV151" s="18"/>
      <c r="EW151" s="18"/>
      <c r="EX151" s="18"/>
      <c r="EY151" s="18"/>
      <c r="EZ151" s="18"/>
      <c r="FA151" s="18"/>
      <c r="FB151" s="18"/>
      <c r="FC151" s="18"/>
      <c r="FD151" s="18"/>
      <c r="FE151" s="18"/>
      <c r="FF151" s="18"/>
      <c r="FG151" s="18"/>
      <c r="FH151" s="18"/>
      <c r="FI151" s="18"/>
      <c r="FJ151" s="18"/>
      <c r="FK151" s="18"/>
      <c r="FL151" s="18"/>
      <c r="FM151" s="18"/>
      <c r="FN151" s="18"/>
      <c r="FO151" s="18"/>
      <c r="FP151" s="18"/>
      <c r="FQ151" s="18"/>
      <c r="FR151" s="18"/>
      <c r="FS151" s="18"/>
      <c r="FT151" s="18"/>
      <c r="FU151" s="18"/>
      <c r="FV151" s="18"/>
      <c r="FW151" s="18"/>
      <c r="FX151" s="18"/>
      <c r="FY151" s="18"/>
      <c r="FZ151" s="18"/>
      <c r="GA151" s="18"/>
      <c r="GB151" s="18"/>
      <c r="GC151" s="18"/>
    </row>
    <row r="152" spans="1:185" ht="15.75" thickBot="1" x14ac:dyDescent="0.3">
      <c r="A152" s="51" t="s">
        <v>106</v>
      </c>
      <c r="B152" s="21">
        <f>'1 уровень'!C362</f>
        <v>0</v>
      </c>
      <c r="C152" s="21">
        <f>'1 уровень'!D362</f>
        <v>0</v>
      </c>
      <c r="D152" s="21">
        <f>'1 уровень'!E362</f>
        <v>0</v>
      </c>
      <c r="E152" s="104">
        <f>'1 уровень'!F362</f>
        <v>0</v>
      </c>
      <c r="F152" s="31">
        <f>'1 уровень'!G362</f>
        <v>22759.057809999998</v>
      </c>
      <c r="G152" s="31">
        <f>'1 уровень'!H362</f>
        <v>9482.9600000000009</v>
      </c>
      <c r="H152" s="31">
        <f>'1 уровень'!I362</f>
        <v>8169.5018</v>
      </c>
      <c r="I152" s="31">
        <f>'1 уровень'!J362</f>
        <v>86.149280393463641</v>
      </c>
      <c r="J152" s="46"/>
      <c r="L152" s="381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8"/>
      <c r="DH152" s="18"/>
      <c r="DI152" s="18"/>
      <c r="DJ152" s="18"/>
      <c r="DK152" s="18"/>
      <c r="DL152" s="18"/>
      <c r="DM152" s="18"/>
      <c r="DN152" s="18"/>
      <c r="DO152" s="18"/>
      <c r="DP152" s="18"/>
      <c r="DQ152" s="18"/>
      <c r="DR152" s="18"/>
      <c r="DS152" s="18"/>
      <c r="DT152" s="18"/>
      <c r="DU152" s="18"/>
      <c r="DV152" s="18"/>
      <c r="DW152" s="18"/>
      <c r="DX152" s="18"/>
      <c r="DY152" s="18"/>
      <c r="DZ152" s="18"/>
      <c r="EA152" s="18"/>
      <c r="EB152" s="18"/>
      <c r="EC152" s="18"/>
      <c r="ED152" s="18"/>
      <c r="EE152" s="18"/>
      <c r="EF152" s="18"/>
      <c r="EG152" s="18"/>
      <c r="EH152" s="18"/>
      <c r="EI152" s="18"/>
      <c r="EJ152" s="18"/>
      <c r="EK152" s="18"/>
      <c r="EL152" s="18"/>
      <c r="EM152" s="18"/>
      <c r="EN152" s="18"/>
      <c r="EO152" s="18"/>
      <c r="EP152" s="18"/>
      <c r="EQ152" s="18"/>
      <c r="ER152" s="18"/>
      <c r="ES152" s="18"/>
      <c r="ET152" s="18"/>
      <c r="EU152" s="18"/>
      <c r="EV152" s="18"/>
      <c r="EW152" s="18"/>
      <c r="EX152" s="18"/>
      <c r="EY152" s="18"/>
      <c r="EZ152" s="18"/>
      <c r="FA152" s="18"/>
      <c r="FB152" s="18"/>
      <c r="FC152" s="18"/>
      <c r="FD152" s="18"/>
      <c r="FE152" s="18"/>
      <c r="FF152" s="18"/>
      <c r="FG152" s="18"/>
      <c r="FH152" s="18"/>
      <c r="FI152" s="18"/>
      <c r="FJ152" s="18"/>
      <c r="FK152" s="18"/>
      <c r="FL152" s="18"/>
      <c r="FM152" s="18"/>
      <c r="FN152" s="18"/>
      <c r="FO152" s="18"/>
      <c r="FP152" s="18"/>
      <c r="FQ152" s="18"/>
      <c r="FR152" s="18"/>
      <c r="FS152" s="18"/>
      <c r="FT152" s="18"/>
      <c r="FU152" s="18"/>
      <c r="FV152" s="18"/>
      <c r="FW152" s="18"/>
      <c r="FX152" s="18"/>
      <c r="FY152" s="18"/>
      <c r="FZ152" s="18"/>
      <c r="GA152" s="18"/>
      <c r="GB152" s="18"/>
      <c r="GC152" s="18"/>
    </row>
    <row r="153" spans="1:185" x14ac:dyDescent="0.25">
      <c r="A153" s="39" t="s">
        <v>26</v>
      </c>
      <c r="B153" s="40"/>
      <c r="C153" s="40"/>
      <c r="D153" s="40"/>
      <c r="E153" s="107"/>
      <c r="F153" s="42"/>
      <c r="G153" s="42"/>
      <c r="H153" s="42"/>
      <c r="I153" s="42"/>
      <c r="J153" s="46"/>
      <c r="L153" s="381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  <c r="BA153" s="18"/>
      <c r="BB153" s="18"/>
      <c r="BC153" s="18"/>
      <c r="BD153" s="18"/>
      <c r="BE153" s="18"/>
      <c r="BF153" s="18"/>
      <c r="BG153" s="18"/>
      <c r="BH153" s="18"/>
      <c r="BI153" s="18"/>
      <c r="BJ153" s="18"/>
      <c r="BK153" s="18"/>
      <c r="BL153" s="18"/>
      <c r="BM153" s="18"/>
      <c r="BN153" s="18"/>
      <c r="BO153" s="18"/>
      <c r="BP153" s="18"/>
      <c r="BQ153" s="18"/>
      <c r="BR153" s="18"/>
      <c r="BS153" s="18"/>
      <c r="BT153" s="18"/>
      <c r="BU153" s="18"/>
      <c r="BV153" s="18"/>
      <c r="BW153" s="18"/>
      <c r="BX153" s="18"/>
      <c r="BY153" s="18"/>
      <c r="BZ153" s="18"/>
      <c r="CA153" s="18"/>
      <c r="CB153" s="18"/>
      <c r="CC153" s="18"/>
      <c r="CD153" s="18"/>
      <c r="CE153" s="18"/>
      <c r="CF153" s="18"/>
      <c r="CG153" s="18"/>
      <c r="CH153" s="18"/>
      <c r="CI153" s="18"/>
      <c r="CJ153" s="18"/>
      <c r="CK153" s="18"/>
      <c r="CL153" s="18"/>
      <c r="CM153" s="18"/>
      <c r="CN153" s="18"/>
      <c r="CO153" s="18"/>
      <c r="CP153" s="18"/>
      <c r="CQ153" s="18"/>
      <c r="CR153" s="18"/>
      <c r="CS153" s="18"/>
      <c r="CT153" s="18"/>
      <c r="CU153" s="18"/>
      <c r="CV153" s="18"/>
      <c r="CW153" s="18"/>
      <c r="CX153" s="18"/>
      <c r="CY153" s="18"/>
      <c r="CZ153" s="18"/>
      <c r="DA153" s="18"/>
      <c r="DB153" s="18"/>
      <c r="DC153" s="18"/>
      <c r="DD153" s="18"/>
      <c r="DE153" s="18"/>
      <c r="DF153" s="18"/>
      <c r="DG153" s="18"/>
      <c r="DH153" s="18"/>
      <c r="DI153" s="18"/>
      <c r="DJ153" s="18"/>
      <c r="DK153" s="18"/>
      <c r="DL153" s="18"/>
      <c r="DM153" s="18"/>
      <c r="DN153" s="18"/>
      <c r="DO153" s="18"/>
      <c r="DP153" s="18"/>
      <c r="DQ153" s="18"/>
      <c r="DR153" s="18"/>
      <c r="DS153" s="18"/>
      <c r="DT153" s="18"/>
      <c r="DU153" s="18"/>
      <c r="DV153" s="18"/>
      <c r="DW153" s="18"/>
      <c r="DX153" s="18"/>
      <c r="DY153" s="18"/>
      <c r="DZ153" s="18"/>
      <c r="EA153" s="18"/>
      <c r="EB153" s="18"/>
      <c r="EC153" s="18"/>
      <c r="ED153" s="18"/>
      <c r="EE153" s="18"/>
      <c r="EF153" s="18"/>
      <c r="EG153" s="18"/>
      <c r="EH153" s="18"/>
      <c r="EI153" s="18"/>
      <c r="EJ153" s="18"/>
      <c r="EK153" s="18"/>
      <c r="EL153" s="18"/>
      <c r="EM153" s="18"/>
      <c r="EN153" s="18"/>
      <c r="EO153" s="18"/>
      <c r="EP153" s="18"/>
      <c r="EQ153" s="18"/>
      <c r="ER153" s="18"/>
      <c r="ES153" s="18"/>
      <c r="ET153" s="18"/>
      <c r="EU153" s="18"/>
      <c r="EV153" s="18"/>
      <c r="EW153" s="18"/>
      <c r="EX153" s="18"/>
      <c r="EY153" s="18"/>
      <c r="EZ153" s="18"/>
      <c r="FA153" s="18"/>
      <c r="FB153" s="18"/>
      <c r="FC153" s="18"/>
      <c r="FD153" s="18"/>
      <c r="FE153" s="18"/>
      <c r="FF153" s="18"/>
      <c r="FG153" s="18"/>
      <c r="FH153" s="18"/>
      <c r="FI153" s="18"/>
      <c r="FJ153" s="18"/>
      <c r="FK153" s="18"/>
      <c r="FL153" s="18"/>
      <c r="FM153" s="18"/>
      <c r="FN153" s="18"/>
      <c r="FO153" s="18"/>
      <c r="FP153" s="18"/>
      <c r="FQ153" s="18"/>
      <c r="FR153" s="18"/>
      <c r="FS153" s="18"/>
      <c r="FT153" s="18"/>
      <c r="FU153" s="18"/>
      <c r="FV153" s="18"/>
      <c r="FW153" s="18"/>
      <c r="FX153" s="18"/>
      <c r="FY153" s="18"/>
      <c r="FZ153" s="18"/>
      <c r="GA153" s="18"/>
      <c r="GB153" s="18"/>
      <c r="GC153" s="18"/>
    </row>
    <row r="154" spans="1:185" ht="30" x14ac:dyDescent="0.25">
      <c r="A154" s="229" t="s">
        <v>120</v>
      </c>
      <c r="B154" s="226">
        <f>'2 уровень'!C251</f>
        <v>4546</v>
      </c>
      <c r="C154" s="226">
        <f>'2 уровень'!D251</f>
        <v>1894</v>
      </c>
      <c r="D154" s="226">
        <f>'2 уровень'!E251</f>
        <v>2408</v>
      </c>
      <c r="E154" s="227">
        <f>'2 уровень'!F251</f>
        <v>127.13833157338965</v>
      </c>
      <c r="F154" s="230">
        <f>'2 уровень'!G251</f>
        <v>7810.0555000000004</v>
      </c>
      <c r="G154" s="230">
        <f>'2 уровень'!H251</f>
        <v>3254.19</v>
      </c>
      <c r="H154" s="230">
        <f>'2 уровень'!I251</f>
        <v>4332.7002300000004</v>
      </c>
      <c r="I154" s="230">
        <f>'2 уровень'!J251</f>
        <v>133.14220220700085</v>
      </c>
      <c r="J154" s="46"/>
      <c r="L154" s="381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  <c r="BA154" s="18"/>
      <c r="BB154" s="18"/>
      <c r="BC154" s="18"/>
      <c r="BD154" s="18"/>
      <c r="BE154" s="18"/>
      <c r="BF154" s="18"/>
      <c r="BG154" s="18"/>
      <c r="BH154" s="18"/>
      <c r="BI154" s="18"/>
      <c r="BJ154" s="18"/>
      <c r="BK154" s="18"/>
      <c r="BL154" s="18"/>
      <c r="BM154" s="18"/>
      <c r="BN154" s="18"/>
      <c r="BO154" s="18"/>
      <c r="BP154" s="18"/>
      <c r="BQ154" s="18"/>
      <c r="BR154" s="18"/>
      <c r="BS154" s="18"/>
      <c r="BT154" s="18"/>
      <c r="BU154" s="18"/>
      <c r="BV154" s="18"/>
      <c r="BW154" s="18"/>
      <c r="BX154" s="18"/>
      <c r="BY154" s="18"/>
      <c r="BZ154" s="18"/>
      <c r="CA154" s="18"/>
      <c r="CB154" s="18"/>
      <c r="CC154" s="18"/>
      <c r="CD154" s="18"/>
      <c r="CE154" s="18"/>
      <c r="CF154" s="18"/>
      <c r="CG154" s="18"/>
      <c r="CH154" s="18"/>
      <c r="CI154" s="18"/>
      <c r="CJ154" s="18"/>
      <c r="CK154" s="18"/>
      <c r="CL154" s="18"/>
      <c r="CM154" s="18"/>
      <c r="CN154" s="18"/>
      <c r="CO154" s="18"/>
      <c r="CP154" s="18"/>
      <c r="CQ154" s="18"/>
      <c r="CR154" s="18"/>
      <c r="CS154" s="18"/>
      <c r="CT154" s="18"/>
      <c r="CU154" s="18"/>
      <c r="CV154" s="18"/>
      <c r="CW154" s="18"/>
      <c r="CX154" s="18"/>
      <c r="CY154" s="18"/>
      <c r="CZ154" s="18"/>
      <c r="DA154" s="18"/>
      <c r="DB154" s="18"/>
      <c r="DC154" s="18"/>
      <c r="DD154" s="18"/>
      <c r="DE154" s="18"/>
      <c r="DF154" s="18"/>
      <c r="DG154" s="18"/>
      <c r="DH154" s="18"/>
      <c r="DI154" s="18"/>
      <c r="DJ154" s="18"/>
      <c r="DK154" s="18"/>
      <c r="DL154" s="18"/>
      <c r="DM154" s="18"/>
      <c r="DN154" s="18"/>
      <c r="DO154" s="18"/>
      <c r="DP154" s="18"/>
      <c r="DQ154" s="18"/>
      <c r="DR154" s="18"/>
      <c r="DS154" s="18"/>
      <c r="DT154" s="18"/>
      <c r="DU154" s="18"/>
      <c r="DV154" s="18"/>
      <c r="DW154" s="18"/>
      <c r="DX154" s="18"/>
      <c r="DY154" s="18"/>
      <c r="DZ154" s="18"/>
      <c r="EA154" s="18"/>
      <c r="EB154" s="18"/>
      <c r="EC154" s="18"/>
      <c r="ED154" s="18"/>
      <c r="EE154" s="18"/>
      <c r="EF154" s="18"/>
      <c r="EG154" s="18"/>
      <c r="EH154" s="18"/>
      <c r="EI154" s="18"/>
      <c r="EJ154" s="18"/>
      <c r="EK154" s="18"/>
      <c r="EL154" s="18"/>
      <c r="EM154" s="18"/>
      <c r="EN154" s="18"/>
      <c r="EO154" s="18"/>
      <c r="EP154" s="18"/>
      <c r="EQ154" s="18"/>
      <c r="ER154" s="18"/>
      <c r="ES154" s="18"/>
      <c r="ET154" s="18"/>
      <c r="EU154" s="18"/>
      <c r="EV154" s="18"/>
      <c r="EW154" s="18"/>
      <c r="EX154" s="18"/>
      <c r="EY154" s="18"/>
      <c r="EZ154" s="18"/>
      <c r="FA154" s="18"/>
      <c r="FB154" s="18"/>
      <c r="FC154" s="18"/>
      <c r="FD154" s="18"/>
      <c r="FE154" s="18"/>
      <c r="FF154" s="18"/>
      <c r="FG154" s="18"/>
      <c r="FH154" s="18"/>
      <c r="FI154" s="18"/>
      <c r="FJ154" s="18"/>
      <c r="FK154" s="18"/>
      <c r="FL154" s="18"/>
      <c r="FM154" s="18"/>
      <c r="FN154" s="18"/>
      <c r="FO154" s="18"/>
      <c r="FP154" s="18"/>
      <c r="FQ154" s="18"/>
      <c r="FR154" s="18"/>
      <c r="FS154" s="18"/>
      <c r="FT154" s="18"/>
      <c r="FU154" s="18"/>
      <c r="FV154" s="18"/>
      <c r="FW154" s="18"/>
      <c r="FX154" s="18"/>
      <c r="FY154" s="18"/>
      <c r="FZ154" s="18"/>
      <c r="GA154" s="18"/>
      <c r="GB154" s="18"/>
      <c r="GC154" s="18"/>
    </row>
    <row r="155" spans="1:185" ht="30" x14ac:dyDescent="0.25">
      <c r="A155" s="57" t="s">
        <v>79</v>
      </c>
      <c r="B155" s="136">
        <f>'2 уровень'!C252</f>
        <v>3338</v>
      </c>
      <c r="C155" s="136">
        <f>'2 уровень'!D252</f>
        <v>1391</v>
      </c>
      <c r="D155" s="21">
        <f>'2 уровень'!E252</f>
        <v>1745</v>
      </c>
      <c r="E155" s="137">
        <f>'2 уровень'!F252</f>
        <v>125.44931703810209</v>
      </c>
      <c r="F155" s="117">
        <f>'2 уровень'!G252</f>
        <v>4656.8214000000007</v>
      </c>
      <c r="G155" s="117">
        <f>'2 уровень'!H252</f>
        <v>1940.34</v>
      </c>
      <c r="H155" s="31">
        <f>'2 уровень'!I252</f>
        <v>2585.1436599999997</v>
      </c>
      <c r="I155" s="117">
        <f>'2 уровень'!J252</f>
        <v>133.23147798839378</v>
      </c>
      <c r="J155" s="46"/>
      <c r="L155" s="381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  <c r="BA155" s="18"/>
      <c r="BB155" s="18"/>
      <c r="BC155" s="18"/>
      <c r="BD155" s="18"/>
      <c r="BE155" s="18"/>
      <c r="BF155" s="18"/>
      <c r="BG155" s="18"/>
      <c r="BH155" s="18"/>
      <c r="BI155" s="18"/>
      <c r="BJ155" s="18"/>
      <c r="BK155" s="18"/>
      <c r="BL155" s="18"/>
      <c r="BM155" s="18"/>
      <c r="BN155" s="18"/>
      <c r="BO155" s="18"/>
      <c r="BP155" s="18"/>
      <c r="BQ155" s="18"/>
      <c r="BR155" s="18"/>
      <c r="BS155" s="18"/>
      <c r="BT155" s="18"/>
      <c r="BU155" s="18"/>
      <c r="BV155" s="18"/>
      <c r="BW155" s="18"/>
      <c r="BX155" s="18"/>
      <c r="BY155" s="18"/>
      <c r="BZ155" s="18"/>
      <c r="CA155" s="18"/>
      <c r="CB155" s="18"/>
      <c r="CC155" s="18"/>
      <c r="CD155" s="18"/>
      <c r="CE155" s="18"/>
      <c r="CF155" s="18"/>
      <c r="CG155" s="18"/>
      <c r="CH155" s="18"/>
      <c r="CI155" s="18"/>
      <c r="CJ155" s="18"/>
      <c r="CK155" s="18"/>
      <c r="CL155" s="18"/>
      <c r="CM155" s="18"/>
      <c r="CN155" s="18"/>
      <c r="CO155" s="18"/>
      <c r="CP155" s="18"/>
      <c r="CQ155" s="18"/>
      <c r="CR155" s="18"/>
      <c r="CS155" s="18"/>
      <c r="CT155" s="18"/>
      <c r="CU155" s="18"/>
      <c r="CV155" s="18"/>
      <c r="CW155" s="18"/>
      <c r="CX155" s="18"/>
      <c r="CY155" s="18"/>
      <c r="CZ155" s="18"/>
      <c r="DA155" s="18"/>
      <c r="DB155" s="18"/>
      <c r="DC155" s="18"/>
      <c r="DD155" s="18"/>
      <c r="DE155" s="18"/>
      <c r="DF155" s="18"/>
      <c r="DG155" s="18"/>
      <c r="DH155" s="18"/>
      <c r="DI155" s="18"/>
      <c r="DJ155" s="18"/>
      <c r="DK155" s="18"/>
      <c r="DL155" s="18"/>
      <c r="DM155" s="18"/>
      <c r="DN155" s="18"/>
      <c r="DO155" s="18"/>
      <c r="DP155" s="18"/>
      <c r="DQ155" s="18"/>
      <c r="DR155" s="18"/>
      <c r="DS155" s="18"/>
      <c r="DT155" s="18"/>
      <c r="DU155" s="18"/>
      <c r="DV155" s="18"/>
      <c r="DW155" s="18"/>
      <c r="DX155" s="18"/>
      <c r="DY155" s="18"/>
      <c r="DZ155" s="18"/>
      <c r="EA155" s="18"/>
      <c r="EB155" s="18"/>
      <c r="EC155" s="18"/>
      <c r="ED155" s="18"/>
      <c r="EE155" s="18"/>
      <c r="EF155" s="18"/>
      <c r="EG155" s="18"/>
      <c r="EH155" s="18"/>
      <c r="EI155" s="18"/>
      <c r="EJ155" s="18"/>
      <c r="EK155" s="18"/>
      <c r="EL155" s="18"/>
      <c r="EM155" s="18"/>
      <c r="EN155" s="18"/>
      <c r="EO155" s="18"/>
      <c r="EP155" s="18"/>
      <c r="EQ155" s="18"/>
      <c r="ER155" s="18"/>
      <c r="ES155" s="18"/>
      <c r="ET155" s="18"/>
      <c r="EU155" s="18"/>
      <c r="EV155" s="18"/>
      <c r="EW155" s="18"/>
      <c r="EX155" s="18"/>
      <c r="EY155" s="18"/>
      <c r="EZ155" s="18"/>
      <c r="FA155" s="18"/>
      <c r="FB155" s="18"/>
      <c r="FC155" s="18"/>
      <c r="FD155" s="18"/>
      <c r="FE155" s="18"/>
      <c r="FF155" s="18"/>
      <c r="FG155" s="18"/>
      <c r="FH155" s="18"/>
      <c r="FI155" s="18"/>
      <c r="FJ155" s="18"/>
      <c r="FK155" s="18"/>
      <c r="FL155" s="18"/>
      <c r="FM155" s="18"/>
      <c r="FN155" s="18"/>
      <c r="FO155" s="18"/>
      <c r="FP155" s="18"/>
      <c r="FQ155" s="18"/>
      <c r="FR155" s="18"/>
      <c r="FS155" s="18"/>
      <c r="FT155" s="18"/>
      <c r="FU155" s="18"/>
      <c r="FV155" s="18"/>
      <c r="FW155" s="18"/>
      <c r="FX155" s="18"/>
      <c r="FY155" s="18"/>
      <c r="FZ155" s="18"/>
      <c r="GA155" s="18"/>
      <c r="GB155" s="18"/>
      <c r="GC155" s="18"/>
    </row>
    <row r="156" spans="1:185" ht="30" x14ac:dyDescent="0.25">
      <c r="A156" s="57" t="s">
        <v>80</v>
      </c>
      <c r="B156" s="136">
        <f>'2 уровень'!C253</f>
        <v>1001</v>
      </c>
      <c r="C156" s="136">
        <f>'2 уровень'!D253</f>
        <v>417</v>
      </c>
      <c r="D156" s="21">
        <f>'2 уровень'!E253</f>
        <v>535</v>
      </c>
      <c r="E156" s="137">
        <f>'2 уровень'!F253</f>
        <v>128.29736211031175</v>
      </c>
      <c r="F156" s="117">
        <f>'2 уровень'!G253</f>
        <v>1794.88354</v>
      </c>
      <c r="G156" s="117">
        <f>'2 уровень'!H253</f>
        <v>747.87</v>
      </c>
      <c r="H156" s="31">
        <f>'2 уровень'!I253</f>
        <v>907.6103300000002</v>
      </c>
      <c r="I156" s="117">
        <f>'2 уровень'!J253</f>
        <v>121.35937128110503</v>
      </c>
      <c r="J156" s="46"/>
      <c r="L156" s="381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  <c r="BA156" s="18"/>
      <c r="BB156" s="18"/>
      <c r="BC156" s="18"/>
      <c r="BD156" s="18"/>
      <c r="BE156" s="18"/>
      <c r="BF156" s="18"/>
      <c r="BG156" s="18"/>
      <c r="BH156" s="18"/>
      <c r="BI156" s="18"/>
      <c r="BJ156" s="18"/>
      <c r="BK156" s="18"/>
      <c r="BL156" s="18"/>
      <c r="BM156" s="18"/>
      <c r="BN156" s="18"/>
      <c r="BO156" s="18"/>
      <c r="BP156" s="18"/>
      <c r="BQ156" s="18"/>
      <c r="BR156" s="18"/>
      <c r="BS156" s="18"/>
      <c r="BT156" s="18"/>
      <c r="BU156" s="18"/>
      <c r="BV156" s="18"/>
      <c r="BW156" s="18"/>
      <c r="BX156" s="18"/>
      <c r="BY156" s="18"/>
      <c r="BZ156" s="18"/>
      <c r="CA156" s="18"/>
      <c r="CB156" s="18"/>
      <c r="CC156" s="18"/>
      <c r="CD156" s="18"/>
      <c r="CE156" s="18"/>
      <c r="CF156" s="18"/>
      <c r="CG156" s="18"/>
      <c r="CH156" s="18"/>
      <c r="CI156" s="18"/>
      <c r="CJ156" s="18"/>
      <c r="CK156" s="18"/>
      <c r="CL156" s="18"/>
      <c r="CM156" s="18"/>
      <c r="CN156" s="18"/>
      <c r="CO156" s="18"/>
      <c r="CP156" s="18"/>
      <c r="CQ156" s="18"/>
      <c r="CR156" s="18"/>
      <c r="CS156" s="18"/>
      <c r="CT156" s="18"/>
      <c r="CU156" s="18"/>
      <c r="CV156" s="18"/>
      <c r="CW156" s="18"/>
      <c r="CX156" s="18"/>
      <c r="CY156" s="18"/>
      <c r="CZ156" s="18"/>
      <c r="DA156" s="18"/>
      <c r="DB156" s="18"/>
      <c r="DC156" s="18"/>
      <c r="DD156" s="18"/>
      <c r="DE156" s="18"/>
      <c r="DF156" s="18"/>
      <c r="DG156" s="18"/>
      <c r="DH156" s="18"/>
      <c r="DI156" s="18"/>
      <c r="DJ156" s="18"/>
      <c r="DK156" s="18"/>
      <c r="DL156" s="18"/>
      <c r="DM156" s="18"/>
      <c r="DN156" s="18"/>
      <c r="DO156" s="18"/>
      <c r="DP156" s="18"/>
      <c r="DQ156" s="18"/>
      <c r="DR156" s="18"/>
      <c r="DS156" s="18"/>
      <c r="DT156" s="18"/>
      <c r="DU156" s="18"/>
      <c r="DV156" s="18"/>
      <c r="DW156" s="18"/>
      <c r="DX156" s="18"/>
      <c r="DY156" s="18"/>
      <c r="DZ156" s="18"/>
      <c r="EA156" s="18"/>
      <c r="EB156" s="18"/>
      <c r="EC156" s="18"/>
      <c r="ED156" s="18"/>
      <c r="EE156" s="18"/>
      <c r="EF156" s="18"/>
      <c r="EG156" s="18"/>
      <c r="EH156" s="18"/>
      <c r="EI156" s="18"/>
      <c r="EJ156" s="18"/>
      <c r="EK156" s="18"/>
      <c r="EL156" s="18"/>
      <c r="EM156" s="18"/>
      <c r="EN156" s="18"/>
      <c r="EO156" s="18"/>
      <c r="EP156" s="18"/>
      <c r="EQ156" s="18"/>
      <c r="ER156" s="18"/>
      <c r="ES156" s="18"/>
      <c r="ET156" s="18"/>
      <c r="EU156" s="18"/>
      <c r="EV156" s="18"/>
      <c r="EW156" s="18"/>
      <c r="EX156" s="18"/>
      <c r="EY156" s="18"/>
      <c r="EZ156" s="18"/>
      <c r="FA156" s="18"/>
      <c r="FB156" s="18"/>
      <c r="FC156" s="18"/>
      <c r="FD156" s="18"/>
      <c r="FE156" s="18"/>
      <c r="FF156" s="18"/>
      <c r="FG156" s="18"/>
      <c r="FH156" s="18"/>
      <c r="FI156" s="18"/>
      <c r="FJ156" s="18"/>
      <c r="FK156" s="18"/>
      <c r="FL156" s="18"/>
      <c r="FM156" s="18"/>
      <c r="FN156" s="18"/>
      <c r="FO156" s="18"/>
      <c r="FP156" s="18"/>
      <c r="FQ156" s="18"/>
      <c r="FR156" s="18"/>
      <c r="FS156" s="18"/>
      <c r="FT156" s="18"/>
      <c r="FU156" s="18"/>
      <c r="FV156" s="18"/>
      <c r="FW156" s="18"/>
      <c r="FX156" s="18"/>
      <c r="FY156" s="18"/>
      <c r="FZ156" s="18"/>
      <c r="GA156" s="18"/>
      <c r="GB156" s="18"/>
      <c r="GC156" s="18"/>
    </row>
    <row r="157" spans="1:185" ht="45" x14ac:dyDescent="0.25">
      <c r="A157" s="57" t="s">
        <v>110</v>
      </c>
      <c r="B157" s="136">
        <f>'2 уровень'!C254</f>
        <v>67</v>
      </c>
      <c r="C157" s="136">
        <f>'2 уровень'!D254</f>
        <v>28</v>
      </c>
      <c r="D157" s="21">
        <f>'2 уровень'!E254</f>
        <v>16</v>
      </c>
      <c r="E157" s="137">
        <f>'2 уровень'!F254</f>
        <v>57.142857142857139</v>
      </c>
      <c r="F157" s="117">
        <f>'2 уровень'!G254</f>
        <v>439.65935999999999</v>
      </c>
      <c r="G157" s="117">
        <f>'2 уровень'!H254</f>
        <v>183.19</v>
      </c>
      <c r="H157" s="31">
        <f>'2 уровень'!I254</f>
        <v>104.99328</v>
      </c>
      <c r="I157" s="117">
        <f>'2 уровень'!J254</f>
        <v>57.313870844478409</v>
      </c>
      <c r="J157" s="46"/>
      <c r="L157" s="381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  <c r="BA157" s="18"/>
      <c r="BB157" s="18"/>
      <c r="BC157" s="18"/>
      <c r="BD157" s="18"/>
      <c r="BE157" s="18"/>
      <c r="BF157" s="18"/>
      <c r="BG157" s="18"/>
      <c r="BH157" s="18"/>
      <c r="BI157" s="18"/>
      <c r="BJ157" s="18"/>
      <c r="BK157" s="18"/>
      <c r="BL157" s="18"/>
      <c r="BM157" s="18"/>
      <c r="BN157" s="18"/>
      <c r="BO157" s="18"/>
      <c r="BP157" s="18"/>
      <c r="BQ157" s="18"/>
      <c r="BR157" s="18"/>
      <c r="BS157" s="18"/>
      <c r="BT157" s="18"/>
      <c r="BU157" s="18"/>
      <c r="BV157" s="18"/>
      <c r="BW157" s="18"/>
      <c r="BX157" s="18"/>
      <c r="BY157" s="18"/>
      <c r="BZ157" s="18"/>
      <c r="CA157" s="18"/>
      <c r="CB157" s="18"/>
      <c r="CC157" s="18"/>
      <c r="CD157" s="18"/>
      <c r="CE157" s="18"/>
      <c r="CF157" s="18"/>
      <c r="CG157" s="18"/>
      <c r="CH157" s="18"/>
      <c r="CI157" s="18"/>
      <c r="CJ157" s="18"/>
      <c r="CK157" s="18"/>
      <c r="CL157" s="18"/>
      <c r="CM157" s="18"/>
      <c r="CN157" s="18"/>
      <c r="CO157" s="18"/>
      <c r="CP157" s="18"/>
      <c r="CQ157" s="18"/>
      <c r="CR157" s="18"/>
      <c r="CS157" s="18"/>
      <c r="CT157" s="18"/>
      <c r="CU157" s="18"/>
      <c r="CV157" s="18"/>
      <c r="CW157" s="18"/>
      <c r="CX157" s="18"/>
      <c r="CY157" s="18"/>
      <c r="CZ157" s="18"/>
      <c r="DA157" s="18"/>
      <c r="DB157" s="18"/>
      <c r="DC157" s="18"/>
      <c r="DD157" s="18"/>
      <c r="DE157" s="18"/>
      <c r="DF157" s="18"/>
      <c r="DG157" s="18"/>
      <c r="DH157" s="18"/>
      <c r="DI157" s="18"/>
      <c r="DJ157" s="18"/>
      <c r="DK157" s="18"/>
      <c r="DL157" s="18"/>
      <c r="DM157" s="18"/>
      <c r="DN157" s="18"/>
      <c r="DO157" s="18"/>
      <c r="DP157" s="18"/>
      <c r="DQ157" s="18"/>
      <c r="DR157" s="18"/>
      <c r="DS157" s="18"/>
      <c r="DT157" s="18"/>
      <c r="DU157" s="18"/>
      <c r="DV157" s="18"/>
      <c r="DW157" s="18"/>
      <c r="DX157" s="18"/>
      <c r="DY157" s="18"/>
      <c r="DZ157" s="18"/>
      <c r="EA157" s="18"/>
      <c r="EB157" s="18"/>
      <c r="EC157" s="18"/>
      <c r="ED157" s="18"/>
      <c r="EE157" s="18"/>
      <c r="EF157" s="18"/>
      <c r="EG157" s="18"/>
      <c r="EH157" s="18"/>
      <c r="EI157" s="18"/>
      <c r="EJ157" s="18"/>
      <c r="EK157" s="18"/>
      <c r="EL157" s="18"/>
      <c r="EM157" s="18"/>
      <c r="EN157" s="18"/>
      <c r="EO157" s="18"/>
      <c r="EP157" s="18"/>
      <c r="EQ157" s="18"/>
      <c r="ER157" s="18"/>
      <c r="ES157" s="18"/>
      <c r="ET157" s="18"/>
      <c r="EU157" s="18"/>
      <c r="EV157" s="18"/>
      <c r="EW157" s="18"/>
      <c r="EX157" s="18"/>
      <c r="EY157" s="18"/>
      <c r="EZ157" s="18"/>
      <c r="FA157" s="18"/>
      <c r="FB157" s="18"/>
      <c r="FC157" s="18"/>
      <c r="FD157" s="18"/>
      <c r="FE157" s="18"/>
      <c r="FF157" s="18"/>
      <c r="FG157" s="18"/>
      <c r="FH157" s="18"/>
      <c r="FI157" s="18"/>
      <c r="FJ157" s="18"/>
      <c r="FK157" s="18"/>
      <c r="FL157" s="18"/>
      <c r="FM157" s="18"/>
      <c r="FN157" s="18"/>
      <c r="FO157" s="18"/>
      <c r="FP157" s="18"/>
      <c r="FQ157" s="18"/>
      <c r="FR157" s="18"/>
      <c r="FS157" s="18"/>
      <c r="FT157" s="18"/>
      <c r="FU157" s="18"/>
      <c r="FV157" s="18"/>
      <c r="FW157" s="18"/>
      <c r="FX157" s="18"/>
      <c r="FY157" s="18"/>
      <c r="FZ157" s="18"/>
      <c r="GA157" s="18"/>
      <c r="GB157" s="18"/>
      <c r="GC157" s="18"/>
    </row>
    <row r="158" spans="1:185" ht="30" x14ac:dyDescent="0.25">
      <c r="A158" s="57" t="s">
        <v>111</v>
      </c>
      <c r="B158" s="136">
        <f>'2 уровень'!C255</f>
        <v>140</v>
      </c>
      <c r="C158" s="136">
        <f>'2 уровень'!D255</f>
        <v>58</v>
      </c>
      <c r="D158" s="21">
        <f>'2 уровень'!E255</f>
        <v>112</v>
      </c>
      <c r="E158" s="137">
        <f>'2 уровень'!F255</f>
        <v>193.10344827586206</v>
      </c>
      <c r="F158" s="117">
        <f>'2 уровень'!G255</f>
        <v>918.69119999999998</v>
      </c>
      <c r="G158" s="117">
        <f>'2 уровень'!H255</f>
        <v>382.79</v>
      </c>
      <c r="H158" s="31">
        <f>'2 уровень'!I255</f>
        <v>734.95296000000008</v>
      </c>
      <c r="I158" s="117">
        <f>'2 уровень'!J255</f>
        <v>191.9989968389979</v>
      </c>
      <c r="J158" s="46"/>
      <c r="L158" s="381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  <c r="BA158" s="18"/>
      <c r="BB158" s="18"/>
      <c r="BC158" s="18"/>
      <c r="BD158" s="18"/>
      <c r="BE158" s="18"/>
      <c r="BF158" s="18"/>
      <c r="BG158" s="18"/>
      <c r="BH158" s="18"/>
      <c r="BI158" s="18"/>
      <c r="BJ158" s="18"/>
      <c r="BK158" s="18"/>
      <c r="BL158" s="18"/>
      <c r="BM158" s="18"/>
      <c r="BN158" s="18"/>
      <c r="BO158" s="18"/>
      <c r="BP158" s="18"/>
      <c r="BQ158" s="18"/>
      <c r="BR158" s="18"/>
      <c r="BS158" s="18"/>
      <c r="BT158" s="18"/>
      <c r="BU158" s="18"/>
      <c r="BV158" s="18"/>
      <c r="BW158" s="18"/>
      <c r="BX158" s="18"/>
      <c r="BY158" s="18"/>
      <c r="BZ158" s="18"/>
      <c r="CA158" s="18"/>
      <c r="CB158" s="18"/>
      <c r="CC158" s="18"/>
      <c r="CD158" s="18"/>
      <c r="CE158" s="18"/>
      <c r="CF158" s="18"/>
      <c r="CG158" s="18"/>
      <c r="CH158" s="18"/>
      <c r="CI158" s="18"/>
      <c r="CJ158" s="18"/>
      <c r="CK158" s="18"/>
      <c r="CL158" s="18"/>
      <c r="CM158" s="18"/>
      <c r="CN158" s="18"/>
      <c r="CO158" s="18"/>
      <c r="CP158" s="18"/>
      <c r="CQ158" s="18"/>
      <c r="CR158" s="18"/>
      <c r="CS158" s="18"/>
      <c r="CT158" s="18"/>
      <c r="CU158" s="18"/>
      <c r="CV158" s="18"/>
      <c r="CW158" s="18"/>
      <c r="CX158" s="18"/>
      <c r="CY158" s="18"/>
      <c r="CZ158" s="18"/>
      <c r="DA158" s="18"/>
      <c r="DB158" s="18"/>
      <c r="DC158" s="18"/>
      <c r="DD158" s="18"/>
      <c r="DE158" s="18"/>
      <c r="DF158" s="18"/>
      <c r="DG158" s="18"/>
      <c r="DH158" s="18"/>
      <c r="DI158" s="18"/>
      <c r="DJ158" s="18"/>
      <c r="DK158" s="18"/>
      <c r="DL158" s="18"/>
      <c r="DM158" s="18"/>
      <c r="DN158" s="18"/>
      <c r="DO158" s="18"/>
      <c r="DP158" s="18"/>
      <c r="DQ158" s="18"/>
      <c r="DR158" s="18"/>
      <c r="DS158" s="18"/>
      <c r="DT158" s="18"/>
      <c r="DU158" s="18"/>
      <c r="DV158" s="18"/>
      <c r="DW158" s="18"/>
      <c r="DX158" s="18"/>
      <c r="DY158" s="18"/>
      <c r="DZ158" s="18"/>
      <c r="EA158" s="18"/>
      <c r="EB158" s="18"/>
      <c r="EC158" s="18"/>
      <c r="ED158" s="18"/>
      <c r="EE158" s="18"/>
      <c r="EF158" s="18"/>
      <c r="EG158" s="18"/>
      <c r="EH158" s="18"/>
      <c r="EI158" s="18"/>
      <c r="EJ158" s="18"/>
      <c r="EK158" s="18"/>
      <c r="EL158" s="18"/>
      <c r="EM158" s="18"/>
      <c r="EN158" s="18"/>
      <c r="EO158" s="18"/>
      <c r="EP158" s="18"/>
      <c r="EQ158" s="18"/>
      <c r="ER158" s="18"/>
      <c r="ES158" s="18"/>
      <c r="ET158" s="18"/>
      <c r="EU158" s="18"/>
      <c r="EV158" s="18"/>
      <c r="EW158" s="18"/>
      <c r="EX158" s="18"/>
      <c r="EY158" s="18"/>
      <c r="EZ158" s="18"/>
      <c r="FA158" s="18"/>
      <c r="FB158" s="18"/>
      <c r="FC158" s="18"/>
      <c r="FD158" s="18"/>
      <c r="FE158" s="18"/>
      <c r="FF158" s="18"/>
      <c r="FG158" s="18"/>
      <c r="FH158" s="18"/>
      <c r="FI158" s="18"/>
      <c r="FJ158" s="18"/>
      <c r="FK158" s="18"/>
      <c r="FL158" s="18"/>
      <c r="FM158" s="18"/>
      <c r="FN158" s="18"/>
      <c r="FO158" s="18"/>
      <c r="FP158" s="18"/>
      <c r="FQ158" s="18"/>
      <c r="FR158" s="18"/>
      <c r="FS158" s="18"/>
      <c r="FT158" s="18"/>
      <c r="FU158" s="18"/>
      <c r="FV158" s="18"/>
      <c r="FW158" s="18"/>
      <c r="FX158" s="18"/>
      <c r="FY158" s="18"/>
      <c r="FZ158" s="18"/>
      <c r="GA158" s="18"/>
      <c r="GB158" s="18"/>
      <c r="GC158" s="18"/>
    </row>
    <row r="159" spans="1:185" ht="30" x14ac:dyDescent="0.25">
      <c r="A159" s="229" t="s">
        <v>112</v>
      </c>
      <c r="B159" s="226">
        <f>'2 уровень'!C256</f>
        <v>8964</v>
      </c>
      <c r="C159" s="226">
        <f>'2 уровень'!D256</f>
        <v>3735</v>
      </c>
      <c r="D159" s="226">
        <f>'2 уровень'!E256</f>
        <v>4218</v>
      </c>
      <c r="E159" s="227">
        <f>'2 уровень'!F256</f>
        <v>112.93172690763052</v>
      </c>
      <c r="F159" s="230">
        <f>'2 уровень'!G256</f>
        <v>20554.01211</v>
      </c>
      <c r="G159" s="230">
        <f>'2 уровень'!H256</f>
        <v>8564.17</v>
      </c>
      <c r="H159" s="230">
        <f>'2 уровень'!I256</f>
        <v>11653.230510000001</v>
      </c>
      <c r="I159" s="230">
        <f>'2 уровень'!J256</f>
        <v>136.06958420956147</v>
      </c>
      <c r="J159" s="46"/>
      <c r="L159" s="381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8"/>
      <c r="AW159" s="18"/>
      <c r="AX159" s="18"/>
      <c r="AY159" s="18"/>
      <c r="AZ159" s="18"/>
      <c r="BA159" s="18"/>
      <c r="BB159" s="18"/>
      <c r="BC159" s="18"/>
      <c r="BD159" s="18"/>
      <c r="BE159" s="18"/>
      <c r="BF159" s="18"/>
      <c r="BG159" s="18"/>
      <c r="BH159" s="18"/>
      <c r="BI159" s="18"/>
      <c r="BJ159" s="18"/>
      <c r="BK159" s="18"/>
      <c r="BL159" s="18"/>
      <c r="BM159" s="18"/>
      <c r="BN159" s="18"/>
      <c r="BO159" s="18"/>
      <c r="BP159" s="18"/>
      <c r="BQ159" s="18"/>
      <c r="BR159" s="18"/>
      <c r="BS159" s="18"/>
      <c r="BT159" s="18"/>
      <c r="BU159" s="18"/>
      <c r="BV159" s="18"/>
      <c r="BW159" s="18"/>
      <c r="BX159" s="18"/>
      <c r="BY159" s="18"/>
      <c r="BZ159" s="18"/>
      <c r="CA159" s="18"/>
      <c r="CB159" s="18"/>
      <c r="CC159" s="18"/>
      <c r="CD159" s="18"/>
      <c r="CE159" s="18"/>
      <c r="CF159" s="18"/>
      <c r="CG159" s="18"/>
      <c r="CH159" s="18"/>
      <c r="CI159" s="18"/>
      <c r="CJ159" s="18"/>
      <c r="CK159" s="18"/>
      <c r="CL159" s="18"/>
      <c r="CM159" s="18"/>
      <c r="CN159" s="18"/>
      <c r="CO159" s="18"/>
      <c r="CP159" s="18"/>
      <c r="CQ159" s="18"/>
      <c r="CR159" s="18"/>
      <c r="CS159" s="18"/>
      <c r="CT159" s="18"/>
      <c r="CU159" s="18"/>
      <c r="CV159" s="18"/>
      <c r="CW159" s="18"/>
      <c r="CX159" s="18"/>
      <c r="CY159" s="18"/>
      <c r="CZ159" s="18"/>
      <c r="DA159" s="18"/>
      <c r="DB159" s="18"/>
      <c r="DC159" s="18"/>
      <c r="DD159" s="18"/>
      <c r="DE159" s="18"/>
      <c r="DF159" s="18"/>
      <c r="DG159" s="18"/>
      <c r="DH159" s="18"/>
      <c r="DI159" s="18"/>
      <c r="DJ159" s="18"/>
      <c r="DK159" s="18"/>
      <c r="DL159" s="18"/>
      <c r="DM159" s="18"/>
      <c r="DN159" s="18"/>
      <c r="DO159" s="18"/>
      <c r="DP159" s="18"/>
      <c r="DQ159" s="18"/>
      <c r="DR159" s="18"/>
      <c r="DS159" s="18"/>
      <c r="DT159" s="18"/>
      <c r="DU159" s="18"/>
      <c r="DV159" s="18"/>
      <c r="DW159" s="18"/>
      <c r="DX159" s="18"/>
      <c r="DY159" s="18"/>
      <c r="DZ159" s="18"/>
      <c r="EA159" s="18"/>
      <c r="EB159" s="18"/>
      <c r="EC159" s="18"/>
      <c r="ED159" s="18"/>
      <c r="EE159" s="18"/>
      <c r="EF159" s="18"/>
      <c r="EG159" s="18"/>
      <c r="EH159" s="18"/>
      <c r="EI159" s="18"/>
      <c r="EJ159" s="18"/>
      <c r="EK159" s="18"/>
      <c r="EL159" s="18"/>
      <c r="EM159" s="18"/>
      <c r="EN159" s="18"/>
      <c r="EO159" s="18"/>
      <c r="EP159" s="18"/>
      <c r="EQ159" s="18"/>
      <c r="ER159" s="18"/>
      <c r="ES159" s="18"/>
      <c r="ET159" s="18"/>
      <c r="EU159" s="18"/>
      <c r="EV159" s="18"/>
      <c r="EW159" s="18"/>
      <c r="EX159" s="18"/>
      <c r="EY159" s="18"/>
      <c r="EZ159" s="18"/>
      <c r="FA159" s="18"/>
      <c r="FB159" s="18"/>
      <c r="FC159" s="18"/>
      <c r="FD159" s="18"/>
      <c r="FE159" s="18"/>
      <c r="FF159" s="18"/>
      <c r="FG159" s="18"/>
      <c r="FH159" s="18"/>
      <c r="FI159" s="18"/>
      <c r="FJ159" s="18"/>
      <c r="FK159" s="18"/>
      <c r="FL159" s="18"/>
      <c r="FM159" s="18"/>
      <c r="FN159" s="18"/>
      <c r="FO159" s="18"/>
      <c r="FP159" s="18"/>
      <c r="FQ159" s="18"/>
      <c r="FR159" s="18"/>
      <c r="FS159" s="18"/>
      <c r="FT159" s="18"/>
      <c r="FU159" s="18"/>
      <c r="FV159" s="18"/>
      <c r="FW159" s="18"/>
      <c r="FX159" s="18"/>
      <c r="FY159" s="18"/>
      <c r="FZ159" s="18"/>
      <c r="GA159" s="18"/>
      <c r="GB159" s="18"/>
      <c r="GC159" s="18"/>
    </row>
    <row r="160" spans="1:185" ht="30" x14ac:dyDescent="0.25">
      <c r="A160" s="57" t="s">
        <v>108</v>
      </c>
      <c r="B160" s="136">
        <f>'2 уровень'!C257</f>
        <v>700</v>
      </c>
      <c r="C160" s="136">
        <f>'2 уровень'!D257</f>
        <v>292</v>
      </c>
      <c r="D160" s="21">
        <f>'2 уровень'!E257</f>
        <v>453</v>
      </c>
      <c r="E160" s="137">
        <f>'2 уровень'!F257</f>
        <v>155.13698630136986</v>
      </c>
      <c r="F160" s="117">
        <f>'2 уровень'!G257</f>
        <v>1484.357</v>
      </c>
      <c r="G160" s="117">
        <f>'2 уровень'!H257</f>
        <v>618.48</v>
      </c>
      <c r="H160" s="31">
        <f>'2 уровень'!I257</f>
        <v>951.62666999999999</v>
      </c>
      <c r="I160" s="117">
        <f>'2 уровень'!J257</f>
        <v>153.86539095847886</v>
      </c>
      <c r="J160" s="46"/>
      <c r="L160" s="381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  <c r="BA160" s="18"/>
      <c r="BB160" s="18"/>
      <c r="BC160" s="18"/>
      <c r="BD160" s="18"/>
      <c r="BE160" s="18"/>
      <c r="BF160" s="18"/>
      <c r="BG160" s="18"/>
      <c r="BH160" s="18"/>
      <c r="BI160" s="18"/>
      <c r="BJ160" s="18"/>
      <c r="BK160" s="18"/>
      <c r="BL160" s="18"/>
      <c r="BM160" s="18"/>
      <c r="BN160" s="18"/>
      <c r="BO160" s="18"/>
      <c r="BP160" s="18"/>
      <c r="BQ160" s="18"/>
      <c r="BR160" s="18"/>
      <c r="BS160" s="18"/>
      <c r="BT160" s="18"/>
      <c r="BU160" s="18"/>
      <c r="BV160" s="18"/>
      <c r="BW160" s="18"/>
      <c r="BX160" s="18"/>
      <c r="BY160" s="18"/>
      <c r="BZ160" s="18"/>
      <c r="CA160" s="18"/>
      <c r="CB160" s="18"/>
      <c r="CC160" s="18"/>
      <c r="CD160" s="18"/>
      <c r="CE160" s="18"/>
      <c r="CF160" s="18"/>
      <c r="CG160" s="18"/>
      <c r="CH160" s="18"/>
      <c r="CI160" s="18"/>
      <c r="CJ160" s="18"/>
      <c r="CK160" s="18"/>
      <c r="CL160" s="18"/>
      <c r="CM160" s="18"/>
      <c r="CN160" s="18"/>
      <c r="CO160" s="18"/>
      <c r="CP160" s="18"/>
      <c r="CQ160" s="18"/>
      <c r="CR160" s="18"/>
      <c r="CS160" s="18"/>
      <c r="CT160" s="18"/>
      <c r="CU160" s="18"/>
      <c r="CV160" s="18"/>
      <c r="CW160" s="18"/>
      <c r="CX160" s="18"/>
      <c r="CY160" s="18"/>
      <c r="CZ160" s="18"/>
      <c r="DA160" s="18"/>
      <c r="DB160" s="18"/>
      <c r="DC160" s="18"/>
      <c r="DD160" s="18"/>
      <c r="DE160" s="18"/>
      <c r="DF160" s="18"/>
      <c r="DG160" s="18"/>
      <c r="DH160" s="18"/>
      <c r="DI160" s="18"/>
      <c r="DJ160" s="18"/>
      <c r="DK160" s="18"/>
      <c r="DL160" s="18"/>
      <c r="DM160" s="18"/>
      <c r="DN160" s="18"/>
      <c r="DO160" s="18"/>
      <c r="DP160" s="18"/>
      <c r="DQ160" s="18"/>
      <c r="DR160" s="18"/>
      <c r="DS160" s="18"/>
      <c r="DT160" s="18"/>
      <c r="DU160" s="18"/>
      <c r="DV160" s="18"/>
      <c r="DW160" s="18"/>
      <c r="DX160" s="18"/>
      <c r="DY160" s="18"/>
      <c r="DZ160" s="18"/>
      <c r="EA160" s="18"/>
      <c r="EB160" s="18"/>
      <c r="EC160" s="18"/>
      <c r="ED160" s="18"/>
      <c r="EE160" s="18"/>
      <c r="EF160" s="18"/>
      <c r="EG160" s="18"/>
      <c r="EH160" s="18"/>
      <c r="EI160" s="18"/>
      <c r="EJ160" s="18"/>
      <c r="EK160" s="18"/>
      <c r="EL160" s="18"/>
      <c r="EM160" s="18"/>
      <c r="EN160" s="18"/>
      <c r="EO160" s="18"/>
      <c r="EP160" s="18"/>
      <c r="EQ160" s="18"/>
      <c r="ER160" s="18"/>
      <c r="ES160" s="18"/>
      <c r="ET160" s="18"/>
      <c r="EU160" s="18"/>
      <c r="EV160" s="18"/>
      <c r="EW160" s="18"/>
      <c r="EX160" s="18"/>
      <c r="EY160" s="18"/>
      <c r="EZ160" s="18"/>
      <c r="FA160" s="18"/>
      <c r="FB160" s="18"/>
      <c r="FC160" s="18"/>
      <c r="FD160" s="18"/>
      <c r="FE160" s="18"/>
      <c r="FF160" s="18"/>
      <c r="FG160" s="18"/>
      <c r="FH160" s="18"/>
      <c r="FI160" s="18"/>
      <c r="FJ160" s="18"/>
      <c r="FK160" s="18"/>
      <c r="FL160" s="18"/>
      <c r="FM160" s="18"/>
      <c r="FN160" s="18"/>
      <c r="FO160" s="18"/>
      <c r="FP160" s="18"/>
      <c r="FQ160" s="18"/>
      <c r="FR160" s="18"/>
      <c r="FS160" s="18"/>
      <c r="FT160" s="18"/>
      <c r="FU160" s="18"/>
      <c r="FV160" s="18"/>
      <c r="FW160" s="18"/>
      <c r="FX160" s="18"/>
      <c r="FY160" s="18"/>
      <c r="FZ160" s="18"/>
      <c r="GA160" s="18"/>
      <c r="GB160" s="18"/>
      <c r="GC160" s="18"/>
    </row>
    <row r="161" spans="1:185" ht="60" x14ac:dyDescent="0.25">
      <c r="A161" s="57" t="s">
        <v>81</v>
      </c>
      <c r="B161" s="136">
        <f>'2 уровень'!C258</f>
        <v>6187</v>
      </c>
      <c r="C161" s="136">
        <f>'2 уровень'!D258</f>
        <v>2578</v>
      </c>
      <c r="D161" s="21">
        <f>'2 уровень'!E258</f>
        <v>2695</v>
      </c>
      <c r="E161" s="137">
        <f>'2 уровень'!F258</f>
        <v>104.53840186190845</v>
      </c>
      <c r="F161" s="117">
        <f>'2 уровень'!G258</f>
        <v>17033.862789999999</v>
      </c>
      <c r="G161" s="117">
        <f>'2 уровень'!H258</f>
        <v>7097.44</v>
      </c>
      <c r="H161" s="31">
        <f>'2 уровень'!I258</f>
        <v>9559.2649500000007</v>
      </c>
      <c r="I161" s="117">
        <f>'2 уровень'!J258</f>
        <v>134.68609738159111</v>
      </c>
      <c r="J161" s="46"/>
      <c r="L161" s="381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  <c r="BA161" s="18"/>
      <c r="BB161" s="18"/>
      <c r="BC161" s="18"/>
      <c r="BD161" s="18"/>
      <c r="BE161" s="18"/>
      <c r="BF161" s="18"/>
      <c r="BG161" s="18"/>
      <c r="BH161" s="18"/>
      <c r="BI161" s="18"/>
      <c r="BJ161" s="18"/>
      <c r="BK161" s="18"/>
      <c r="BL161" s="18"/>
      <c r="BM161" s="18"/>
      <c r="BN161" s="18"/>
      <c r="BO161" s="18"/>
      <c r="BP161" s="18"/>
      <c r="BQ161" s="18"/>
      <c r="BR161" s="18"/>
      <c r="BS161" s="18"/>
      <c r="BT161" s="18"/>
      <c r="BU161" s="18"/>
      <c r="BV161" s="18"/>
      <c r="BW161" s="18"/>
      <c r="BX161" s="18"/>
      <c r="BY161" s="18"/>
      <c r="BZ161" s="18"/>
      <c r="CA161" s="18"/>
      <c r="CB161" s="18"/>
      <c r="CC161" s="18"/>
      <c r="CD161" s="18"/>
      <c r="CE161" s="18"/>
      <c r="CF161" s="18"/>
      <c r="CG161" s="18"/>
      <c r="CH161" s="18"/>
      <c r="CI161" s="18"/>
      <c r="CJ161" s="18"/>
      <c r="CK161" s="18"/>
      <c r="CL161" s="18"/>
      <c r="CM161" s="18"/>
      <c r="CN161" s="18"/>
      <c r="CO161" s="18"/>
      <c r="CP161" s="18"/>
      <c r="CQ161" s="18"/>
      <c r="CR161" s="18"/>
      <c r="CS161" s="18"/>
      <c r="CT161" s="18"/>
      <c r="CU161" s="18"/>
      <c r="CV161" s="18"/>
      <c r="CW161" s="18"/>
      <c r="CX161" s="18"/>
      <c r="CY161" s="18"/>
      <c r="CZ161" s="18"/>
      <c r="DA161" s="18"/>
      <c r="DB161" s="18"/>
      <c r="DC161" s="18"/>
      <c r="DD161" s="18"/>
      <c r="DE161" s="18"/>
      <c r="DF161" s="18"/>
      <c r="DG161" s="18"/>
      <c r="DH161" s="18"/>
      <c r="DI161" s="18"/>
      <c r="DJ161" s="18"/>
      <c r="DK161" s="18"/>
      <c r="DL161" s="18"/>
      <c r="DM161" s="18"/>
      <c r="DN161" s="18"/>
      <c r="DO161" s="18"/>
      <c r="DP161" s="18"/>
      <c r="DQ161" s="18"/>
      <c r="DR161" s="18"/>
      <c r="DS161" s="18"/>
      <c r="DT161" s="18"/>
      <c r="DU161" s="18"/>
      <c r="DV161" s="18"/>
      <c r="DW161" s="18"/>
      <c r="DX161" s="18"/>
      <c r="DY161" s="18"/>
      <c r="DZ161" s="18"/>
      <c r="EA161" s="18"/>
      <c r="EB161" s="18"/>
      <c r="EC161" s="18"/>
      <c r="ED161" s="18"/>
      <c r="EE161" s="18"/>
      <c r="EF161" s="18"/>
      <c r="EG161" s="18"/>
      <c r="EH161" s="18"/>
      <c r="EI161" s="18"/>
      <c r="EJ161" s="18"/>
      <c r="EK161" s="18"/>
      <c r="EL161" s="18"/>
      <c r="EM161" s="18"/>
      <c r="EN161" s="18"/>
      <c r="EO161" s="18"/>
      <c r="EP161" s="18"/>
      <c r="EQ161" s="18"/>
      <c r="ER161" s="18"/>
      <c r="ES161" s="18"/>
      <c r="ET161" s="18"/>
      <c r="EU161" s="18"/>
      <c r="EV161" s="18"/>
      <c r="EW161" s="18"/>
      <c r="EX161" s="18"/>
      <c r="EY161" s="18"/>
      <c r="EZ161" s="18"/>
      <c r="FA161" s="18"/>
      <c r="FB161" s="18"/>
      <c r="FC161" s="18"/>
      <c r="FD161" s="18"/>
      <c r="FE161" s="18"/>
      <c r="FF161" s="18"/>
      <c r="FG161" s="18"/>
      <c r="FH161" s="18"/>
      <c r="FI161" s="18"/>
      <c r="FJ161" s="18"/>
      <c r="FK161" s="18"/>
      <c r="FL161" s="18"/>
      <c r="FM161" s="18"/>
      <c r="FN161" s="18"/>
      <c r="FO161" s="18"/>
      <c r="FP161" s="18"/>
      <c r="FQ161" s="18"/>
      <c r="FR161" s="18"/>
      <c r="FS161" s="18"/>
      <c r="FT161" s="18"/>
      <c r="FU161" s="18"/>
      <c r="FV161" s="18"/>
      <c r="FW161" s="18"/>
      <c r="FX161" s="18"/>
      <c r="FY161" s="18"/>
      <c r="FZ161" s="18"/>
      <c r="GA161" s="18"/>
      <c r="GB161" s="18"/>
      <c r="GC161" s="18"/>
    </row>
    <row r="162" spans="1:185" ht="45" x14ac:dyDescent="0.25">
      <c r="A162" s="57" t="s">
        <v>109</v>
      </c>
      <c r="B162" s="136">
        <f>'2 уровень'!C259</f>
        <v>2077</v>
      </c>
      <c r="C162" s="136">
        <f>'2 уровень'!D259</f>
        <v>865</v>
      </c>
      <c r="D162" s="21">
        <f>'2 уровень'!E259</f>
        <v>1070</v>
      </c>
      <c r="E162" s="137">
        <f>'2 уровень'!F259</f>
        <v>123.69942196531791</v>
      </c>
      <c r="F162" s="117">
        <f>'2 уровень'!G259</f>
        <v>2035.79232</v>
      </c>
      <c r="G162" s="117">
        <f>'2 уровень'!H259</f>
        <v>848.25</v>
      </c>
      <c r="H162" s="31">
        <f>'2 уровень'!I259</f>
        <v>1142.33889</v>
      </c>
      <c r="I162" s="117">
        <f>'2 уровень'!J259</f>
        <v>134.67007250221045</v>
      </c>
      <c r="J162" s="46"/>
      <c r="L162" s="381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  <c r="BA162" s="18"/>
      <c r="BB162" s="18"/>
      <c r="BC162" s="18"/>
      <c r="BD162" s="18"/>
      <c r="BE162" s="18"/>
      <c r="BF162" s="18"/>
      <c r="BG162" s="18"/>
      <c r="BH162" s="18"/>
      <c r="BI162" s="18"/>
      <c r="BJ162" s="18"/>
      <c r="BK162" s="18"/>
      <c r="BL162" s="18"/>
      <c r="BM162" s="18"/>
      <c r="BN162" s="18"/>
      <c r="BO162" s="18"/>
      <c r="BP162" s="18"/>
      <c r="BQ162" s="18"/>
      <c r="BR162" s="18"/>
      <c r="BS162" s="18"/>
      <c r="BT162" s="18"/>
      <c r="BU162" s="18"/>
      <c r="BV162" s="18"/>
      <c r="BW162" s="18"/>
      <c r="BX162" s="18"/>
      <c r="BY162" s="18"/>
      <c r="BZ162" s="18"/>
      <c r="CA162" s="18"/>
      <c r="CB162" s="18"/>
      <c r="CC162" s="18"/>
      <c r="CD162" s="18"/>
      <c r="CE162" s="18"/>
      <c r="CF162" s="18"/>
      <c r="CG162" s="18"/>
      <c r="CH162" s="18"/>
      <c r="CI162" s="18"/>
      <c r="CJ162" s="18"/>
      <c r="CK162" s="18"/>
      <c r="CL162" s="18"/>
      <c r="CM162" s="18"/>
      <c r="CN162" s="18"/>
      <c r="CO162" s="18"/>
      <c r="CP162" s="18"/>
      <c r="CQ162" s="18"/>
      <c r="CR162" s="18"/>
      <c r="CS162" s="18"/>
      <c r="CT162" s="18"/>
      <c r="CU162" s="18"/>
      <c r="CV162" s="18"/>
      <c r="CW162" s="18"/>
      <c r="CX162" s="18"/>
      <c r="CY162" s="18"/>
      <c r="CZ162" s="18"/>
      <c r="DA162" s="18"/>
      <c r="DB162" s="18"/>
      <c r="DC162" s="18"/>
      <c r="DD162" s="18"/>
      <c r="DE162" s="18"/>
      <c r="DF162" s="18"/>
      <c r="DG162" s="18"/>
      <c r="DH162" s="18"/>
      <c r="DI162" s="18"/>
      <c r="DJ162" s="18"/>
      <c r="DK162" s="18"/>
      <c r="DL162" s="18"/>
      <c r="DM162" s="18"/>
      <c r="DN162" s="18"/>
      <c r="DO162" s="18"/>
      <c r="DP162" s="18"/>
      <c r="DQ162" s="18"/>
      <c r="DR162" s="18"/>
      <c r="DS162" s="18"/>
      <c r="DT162" s="18"/>
      <c r="DU162" s="18"/>
      <c r="DV162" s="18"/>
      <c r="DW162" s="18"/>
      <c r="DX162" s="18"/>
      <c r="DY162" s="18"/>
      <c r="DZ162" s="18"/>
      <c r="EA162" s="18"/>
      <c r="EB162" s="18"/>
      <c r="EC162" s="18"/>
      <c r="ED162" s="18"/>
      <c r="EE162" s="18"/>
      <c r="EF162" s="18"/>
      <c r="EG162" s="18"/>
      <c r="EH162" s="18"/>
      <c r="EI162" s="18"/>
      <c r="EJ162" s="18"/>
      <c r="EK162" s="18"/>
      <c r="EL162" s="18"/>
      <c r="EM162" s="18"/>
      <c r="EN162" s="18"/>
      <c r="EO162" s="18"/>
      <c r="EP162" s="18"/>
      <c r="EQ162" s="18"/>
      <c r="ER162" s="18"/>
      <c r="ES162" s="18"/>
      <c r="ET162" s="18"/>
      <c r="EU162" s="18"/>
      <c r="EV162" s="18"/>
      <c r="EW162" s="18"/>
      <c r="EX162" s="18"/>
      <c r="EY162" s="18"/>
      <c r="EZ162" s="18"/>
      <c r="FA162" s="18"/>
      <c r="FB162" s="18"/>
      <c r="FC162" s="18"/>
      <c r="FD162" s="18"/>
      <c r="FE162" s="18"/>
      <c r="FF162" s="18"/>
      <c r="FG162" s="18"/>
      <c r="FH162" s="18"/>
      <c r="FI162" s="18"/>
      <c r="FJ162" s="18"/>
      <c r="FK162" s="18"/>
      <c r="FL162" s="18"/>
      <c r="FM162" s="18"/>
      <c r="FN162" s="18"/>
      <c r="FO162" s="18"/>
      <c r="FP162" s="18"/>
      <c r="FQ162" s="18"/>
      <c r="FR162" s="18"/>
      <c r="FS162" s="18"/>
      <c r="FT162" s="18"/>
      <c r="FU162" s="18"/>
      <c r="FV162" s="18"/>
      <c r="FW162" s="18"/>
      <c r="FX162" s="18"/>
      <c r="FY162" s="18"/>
      <c r="FZ162" s="18"/>
      <c r="GA162" s="18"/>
      <c r="GB162" s="18"/>
      <c r="GC162" s="18"/>
    </row>
    <row r="163" spans="1:185" ht="30" x14ac:dyDescent="0.25">
      <c r="A163" s="57" t="s">
        <v>123</v>
      </c>
      <c r="B163" s="136">
        <f>'2 уровень'!C260</f>
        <v>9234</v>
      </c>
      <c r="C163" s="136">
        <f>'2 уровень'!D260</f>
        <v>3848</v>
      </c>
      <c r="D163" s="21">
        <f>'2 уровень'!E260</f>
        <v>4060</v>
      </c>
      <c r="E163" s="137">
        <f>'2 уровень'!F260</f>
        <v>105.50935550935552</v>
      </c>
      <c r="F163" s="117">
        <f>'2 уровень'!G260</f>
        <v>8986.7134800000003</v>
      </c>
      <c r="G163" s="117">
        <f>'2 уровень'!H260</f>
        <v>3744.46</v>
      </c>
      <c r="H163" s="31">
        <f>'2 уровень'!I260</f>
        <v>3911.7763300000001</v>
      </c>
      <c r="I163" s="117">
        <f>'2 уровень'!J260</f>
        <v>104.46837007205312</v>
      </c>
      <c r="J163" s="46"/>
      <c r="K163" s="46"/>
      <c r="L163" s="46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  <c r="BA163" s="18"/>
      <c r="BB163" s="18"/>
      <c r="BC163" s="18"/>
      <c r="BD163" s="18"/>
      <c r="BE163" s="18"/>
      <c r="BF163" s="18"/>
      <c r="BG163" s="18"/>
      <c r="BH163" s="18"/>
      <c r="BI163" s="18"/>
      <c r="BJ163" s="18"/>
      <c r="BK163" s="18"/>
      <c r="BL163" s="18"/>
      <c r="BM163" s="18"/>
      <c r="BN163" s="18"/>
      <c r="BO163" s="18"/>
      <c r="BP163" s="18"/>
      <c r="BQ163" s="18"/>
      <c r="BR163" s="18"/>
      <c r="BS163" s="18"/>
      <c r="BT163" s="18"/>
      <c r="BU163" s="18"/>
      <c r="BV163" s="18"/>
      <c r="BW163" s="18"/>
      <c r="BX163" s="18"/>
      <c r="BY163" s="18"/>
      <c r="BZ163" s="18"/>
      <c r="CA163" s="18"/>
      <c r="CB163" s="18"/>
      <c r="CC163" s="18"/>
      <c r="CD163" s="18"/>
      <c r="CE163" s="18"/>
      <c r="CF163" s="18"/>
      <c r="CG163" s="18"/>
      <c r="CH163" s="18"/>
      <c r="CI163" s="18"/>
      <c r="CJ163" s="18"/>
      <c r="CK163" s="18"/>
      <c r="CL163" s="18"/>
      <c r="CM163" s="18"/>
      <c r="CN163" s="18"/>
      <c r="CO163" s="18"/>
      <c r="CP163" s="18"/>
      <c r="CQ163" s="18"/>
      <c r="CR163" s="18"/>
      <c r="CS163" s="18"/>
      <c r="CT163" s="18"/>
      <c r="CU163" s="18"/>
      <c r="CV163" s="18"/>
      <c r="CW163" s="18"/>
      <c r="CX163" s="18"/>
      <c r="CY163" s="18"/>
      <c r="CZ163" s="18"/>
      <c r="DA163" s="18"/>
      <c r="DB163" s="18"/>
      <c r="DC163" s="18"/>
      <c r="DD163" s="18"/>
      <c r="DE163" s="18"/>
      <c r="DF163" s="18"/>
      <c r="DG163" s="18"/>
      <c r="DH163" s="18"/>
      <c r="DI163" s="18"/>
      <c r="DJ163" s="18"/>
      <c r="DK163" s="18"/>
      <c r="DL163" s="18"/>
      <c r="DM163" s="18"/>
      <c r="DN163" s="18"/>
      <c r="DO163" s="18"/>
      <c r="DP163" s="18"/>
      <c r="DQ163" s="18"/>
      <c r="DR163" s="18"/>
      <c r="DS163" s="18"/>
      <c r="DT163" s="18"/>
      <c r="DU163" s="18"/>
      <c r="DV163" s="18"/>
      <c r="DW163" s="18"/>
      <c r="DX163" s="18"/>
      <c r="DY163" s="18"/>
      <c r="DZ163" s="18"/>
      <c r="EA163" s="18"/>
      <c r="EB163" s="18"/>
      <c r="EC163" s="18"/>
      <c r="ED163" s="18"/>
      <c r="EE163" s="18"/>
      <c r="EF163" s="18"/>
      <c r="EG163" s="18"/>
      <c r="EH163" s="18"/>
      <c r="EI163" s="18"/>
      <c r="EJ163" s="18"/>
      <c r="EK163" s="18"/>
      <c r="EL163" s="18"/>
      <c r="EM163" s="18"/>
      <c r="EN163" s="18"/>
      <c r="EO163" s="18"/>
      <c r="EP163" s="18"/>
      <c r="EQ163" s="18"/>
      <c r="ER163" s="18"/>
      <c r="ES163" s="18"/>
      <c r="ET163" s="18"/>
      <c r="EU163" s="18"/>
      <c r="EV163" s="18"/>
      <c r="EW163" s="18"/>
      <c r="EX163" s="18"/>
      <c r="EY163" s="18"/>
      <c r="EZ163" s="18"/>
      <c r="FA163" s="18"/>
      <c r="FB163" s="18"/>
      <c r="FC163" s="18"/>
      <c r="FD163" s="18"/>
      <c r="FE163" s="18"/>
      <c r="FF163" s="18"/>
      <c r="FG163" s="18"/>
      <c r="FH163" s="18"/>
      <c r="FI163" s="18"/>
      <c r="FJ163" s="18"/>
      <c r="FK163" s="18"/>
      <c r="FL163" s="18"/>
      <c r="FM163" s="18"/>
      <c r="FN163" s="18"/>
      <c r="FO163" s="18"/>
      <c r="FP163" s="18"/>
      <c r="FQ163" s="18"/>
      <c r="FR163" s="18"/>
      <c r="FS163" s="18"/>
      <c r="FT163" s="18"/>
      <c r="FU163" s="18"/>
      <c r="FV163" s="18"/>
      <c r="FW163" s="18"/>
      <c r="FX163" s="18"/>
      <c r="FY163" s="18"/>
      <c r="FZ163" s="18"/>
      <c r="GA163" s="18"/>
      <c r="GB163" s="18"/>
      <c r="GC163" s="18"/>
    </row>
    <row r="164" spans="1:185" ht="30" x14ac:dyDescent="0.25">
      <c r="A164" s="57" t="s">
        <v>124</v>
      </c>
      <c r="B164" s="136">
        <f>'2 уровень'!C261</f>
        <v>910</v>
      </c>
      <c r="C164" s="136">
        <f>'2 уровень'!D261</f>
        <v>379</v>
      </c>
      <c r="D164" s="21">
        <f>'2 уровень'!E261</f>
        <v>812</v>
      </c>
      <c r="E164" s="137">
        <f>'2 уровень'!F261</f>
        <v>214.24802110817942</v>
      </c>
      <c r="F164" s="117">
        <f>'2 уровень'!G261</f>
        <v>885.63020000000006</v>
      </c>
      <c r="G164" s="117">
        <f>'2 уровень'!H261</f>
        <v>369.01</v>
      </c>
      <c r="H164" s="31">
        <f>'2 уровень'!I261</f>
        <v>778.81473000000005</v>
      </c>
      <c r="I164" s="117">
        <f>'2 уровень'!J261</f>
        <v>211.05518278637439</v>
      </c>
      <c r="J164" s="46"/>
      <c r="K164" s="46"/>
      <c r="L164" s="46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  <c r="BA164" s="18"/>
      <c r="BB164" s="18"/>
      <c r="BC164" s="18"/>
      <c r="BD164" s="18"/>
      <c r="BE164" s="18"/>
      <c r="BF164" s="18"/>
      <c r="BG164" s="18"/>
      <c r="BH164" s="18"/>
      <c r="BI164" s="18"/>
      <c r="BJ164" s="18"/>
      <c r="BK164" s="18"/>
      <c r="BL164" s="18"/>
      <c r="BM164" s="18"/>
      <c r="BN164" s="18"/>
      <c r="BO164" s="18"/>
      <c r="BP164" s="18"/>
      <c r="BQ164" s="18"/>
      <c r="BR164" s="18"/>
      <c r="BS164" s="18"/>
      <c r="BT164" s="18"/>
      <c r="BU164" s="18"/>
      <c r="BV164" s="18"/>
      <c r="BW164" s="18"/>
      <c r="BX164" s="18"/>
      <c r="BY164" s="18"/>
      <c r="BZ164" s="18"/>
      <c r="CA164" s="18"/>
      <c r="CB164" s="18"/>
      <c r="CC164" s="18"/>
      <c r="CD164" s="18"/>
      <c r="CE164" s="18"/>
      <c r="CF164" s="18"/>
      <c r="CG164" s="18"/>
      <c r="CH164" s="18"/>
      <c r="CI164" s="18"/>
      <c r="CJ164" s="18"/>
      <c r="CK164" s="18"/>
      <c r="CL164" s="18"/>
      <c r="CM164" s="18"/>
      <c r="CN164" s="18"/>
      <c r="CO164" s="18"/>
      <c r="CP164" s="18"/>
      <c r="CQ164" s="18"/>
      <c r="CR164" s="18"/>
      <c r="CS164" s="18"/>
      <c r="CT164" s="18"/>
      <c r="CU164" s="18"/>
      <c r="CV164" s="18"/>
      <c r="CW164" s="18"/>
      <c r="CX164" s="18"/>
      <c r="CY164" s="18"/>
      <c r="CZ164" s="18"/>
      <c r="DA164" s="18"/>
      <c r="DB164" s="18"/>
      <c r="DC164" s="18"/>
      <c r="DD164" s="18"/>
      <c r="DE164" s="18"/>
      <c r="DF164" s="18"/>
      <c r="DG164" s="18"/>
      <c r="DH164" s="18"/>
      <c r="DI164" s="18"/>
      <c r="DJ164" s="18"/>
      <c r="DK164" s="18"/>
      <c r="DL164" s="18"/>
      <c r="DM164" s="18"/>
      <c r="DN164" s="18"/>
      <c r="DO164" s="18"/>
      <c r="DP164" s="18"/>
      <c r="DQ164" s="18"/>
      <c r="DR164" s="18"/>
      <c r="DS164" s="18"/>
      <c r="DT164" s="18"/>
      <c r="DU164" s="18"/>
      <c r="DV164" s="18"/>
      <c r="DW164" s="18"/>
      <c r="DX164" s="18"/>
      <c r="DY164" s="18"/>
      <c r="DZ164" s="18"/>
      <c r="EA164" s="18"/>
      <c r="EB164" s="18"/>
      <c r="EC164" s="18"/>
      <c r="ED164" s="18"/>
      <c r="EE164" s="18"/>
      <c r="EF164" s="18"/>
      <c r="EG164" s="18"/>
      <c r="EH164" s="18"/>
      <c r="EI164" s="18"/>
      <c r="EJ164" s="18"/>
      <c r="EK164" s="18"/>
      <c r="EL164" s="18"/>
      <c r="EM164" s="18"/>
      <c r="EN164" s="18"/>
      <c r="EO164" s="18"/>
      <c r="EP164" s="18"/>
      <c r="EQ164" s="18"/>
      <c r="ER164" s="18"/>
      <c r="ES164" s="18"/>
      <c r="ET164" s="18"/>
      <c r="EU164" s="18"/>
      <c r="EV164" s="18"/>
      <c r="EW164" s="18"/>
      <c r="EX164" s="18"/>
      <c r="EY164" s="18"/>
      <c r="EZ164" s="18"/>
      <c r="FA164" s="18"/>
      <c r="FB164" s="18"/>
      <c r="FC164" s="18"/>
      <c r="FD164" s="18"/>
      <c r="FE164" s="18"/>
      <c r="FF164" s="18"/>
      <c r="FG164" s="18"/>
      <c r="FH164" s="18"/>
      <c r="FI164" s="18"/>
      <c r="FJ164" s="18"/>
      <c r="FK164" s="18"/>
      <c r="FL164" s="18"/>
      <c r="FM164" s="18"/>
      <c r="FN164" s="18"/>
      <c r="FO164" s="18"/>
      <c r="FP164" s="18"/>
      <c r="FQ164" s="18"/>
      <c r="FR164" s="18"/>
      <c r="FS164" s="18"/>
      <c r="FT164" s="18"/>
      <c r="FU164" s="18"/>
      <c r="FV164" s="18"/>
      <c r="FW164" s="18"/>
      <c r="FX164" s="18"/>
      <c r="FY164" s="18"/>
      <c r="FZ164" s="18"/>
      <c r="GA164" s="18"/>
      <c r="GB164" s="18"/>
      <c r="GC164" s="18"/>
    </row>
    <row r="165" spans="1:185" ht="30" x14ac:dyDescent="0.25">
      <c r="A165" s="57" t="s">
        <v>125</v>
      </c>
      <c r="B165" s="136">
        <f>'2 уровень'!C262</f>
        <v>0</v>
      </c>
      <c r="C165" s="136">
        <f>'2 уровень'!D262</f>
        <v>0</v>
      </c>
      <c r="D165" s="21">
        <f>'2 уровень'!E262</f>
        <v>0</v>
      </c>
      <c r="E165" s="137">
        <f>'2 уровень'!F262</f>
        <v>0</v>
      </c>
      <c r="F165" s="117">
        <f>'2 уровень'!G262</f>
        <v>0</v>
      </c>
      <c r="G165" s="117">
        <f>'2 уровень'!H262</f>
        <v>0</v>
      </c>
      <c r="H165" s="31">
        <f>'2 уровень'!I262</f>
        <v>0</v>
      </c>
      <c r="I165" s="117">
        <f>'2 уровень'!J262</f>
        <v>0</v>
      </c>
      <c r="J165" s="46"/>
      <c r="K165" s="46"/>
      <c r="L165" s="46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  <c r="BA165" s="18"/>
      <c r="BB165" s="18"/>
      <c r="BC165" s="18"/>
      <c r="BD165" s="18"/>
      <c r="BE165" s="18"/>
      <c r="BF165" s="18"/>
      <c r="BG165" s="18"/>
      <c r="BH165" s="18"/>
      <c r="BI165" s="18"/>
      <c r="BJ165" s="18"/>
      <c r="BK165" s="18"/>
      <c r="BL165" s="18"/>
      <c r="BM165" s="18"/>
      <c r="BN165" s="18"/>
      <c r="BO165" s="18"/>
      <c r="BP165" s="18"/>
      <c r="BQ165" s="18"/>
      <c r="BR165" s="18"/>
      <c r="BS165" s="18"/>
      <c r="BT165" s="18"/>
      <c r="BU165" s="18"/>
      <c r="BV165" s="18"/>
      <c r="BW165" s="18"/>
      <c r="BX165" s="18"/>
      <c r="BY165" s="18"/>
      <c r="BZ165" s="18"/>
      <c r="CA165" s="18"/>
      <c r="CB165" s="18"/>
      <c r="CC165" s="18"/>
      <c r="CD165" s="18"/>
      <c r="CE165" s="18"/>
      <c r="CF165" s="18"/>
      <c r="CG165" s="18"/>
      <c r="CH165" s="18"/>
      <c r="CI165" s="18"/>
      <c r="CJ165" s="18"/>
      <c r="CK165" s="18"/>
      <c r="CL165" s="18"/>
      <c r="CM165" s="18"/>
      <c r="CN165" s="18"/>
      <c r="CO165" s="18"/>
      <c r="CP165" s="18"/>
      <c r="CQ165" s="18"/>
      <c r="CR165" s="18"/>
      <c r="CS165" s="18"/>
      <c r="CT165" s="18"/>
      <c r="CU165" s="18"/>
      <c r="CV165" s="18"/>
      <c r="CW165" s="18"/>
      <c r="CX165" s="18"/>
      <c r="CY165" s="18"/>
      <c r="CZ165" s="18"/>
      <c r="DA165" s="18"/>
      <c r="DB165" s="18"/>
      <c r="DC165" s="18"/>
      <c r="DD165" s="18"/>
      <c r="DE165" s="18"/>
      <c r="DF165" s="18"/>
      <c r="DG165" s="18"/>
      <c r="DH165" s="18"/>
      <c r="DI165" s="18"/>
      <c r="DJ165" s="18"/>
      <c r="DK165" s="18"/>
      <c r="DL165" s="18"/>
      <c r="DM165" s="18"/>
      <c r="DN165" s="18"/>
      <c r="DO165" s="18"/>
      <c r="DP165" s="18"/>
      <c r="DQ165" s="18"/>
      <c r="DR165" s="18"/>
      <c r="DS165" s="18"/>
      <c r="DT165" s="18"/>
      <c r="DU165" s="18"/>
      <c r="DV165" s="18"/>
      <c r="DW165" s="18"/>
      <c r="DX165" s="18"/>
      <c r="DY165" s="18"/>
      <c r="DZ165" s="18"/>
      <c r="EA165" s="18"/>
      <c r="EB165" s="18"/>
      <c r="EC165" s="18"/>
      <c r="ED165" s="18"/>
      <c r="EE165" s="18"/>
      <c r="EF165" s="18"/>
      <c r="EG165" s="18"/>
      <c r="EH165" s="18"/>
      <c r="EI165" s="18"/>
      <c r="EJ165" s="18"/>
      <c r="EK165" s="18"/>
      <c r="EL165" s="18"/>
      <c r="EM165" s="18"/>
      <c r="EN165" s="18"/>
      <c r="EO165" s="18"/>
      <c r="EP165" s="18"/>
      <c r="EQ165" s="18"/>
      <c r="ER165" s="18"/>
      <c r="ES165" s="18"/>
      <c r="ET165" s="18"/>
      <c r="EU165" s="18"/>
      <c r="EV165" s="18"/>
      <c r="EW165" s="18"/>
      <c r="EX165" s="18"/>
      <c r="EY165" s="18"/>
      <c r="EZ165" s="18"/>
      <c r="FA165" s="18"/>
      <c r="FB165" s="18"/>
      <c r="FC165" s="18"/>
      <c r="FD165" s="18"/>
      <c r="FE165" s="18"/>
      <c r="FF165" s="18"/>
      <c r="FG165" s="18"/>
      <c r="FH165" s="18"/>
      <c r="FI165" s="18"/>
      <c r="FJ165" s="18"/>
      <c r="FK165" s="18"/>
      <c r="FL165" s="18"/>
      <c r="FM165" s="18"/>
      <c r="FN165" s="18"/>
      <c r="FO165" s="18"/>
      <c r="FP165" s="18"/>
      <c r="FQ165" s="18"/>
      <c r="FR165" s="18"/>
      <c r="FS165" s="18"/>
      <c r="FT165" s="18"/>
      <c r="FU165" s="18"/>
      <c r="FV165" s="18"/>
      <c r="FW165" s="18"/>
      <c r="FX165" s="18"/>
      <c r="FY165" s="18"/>
      <c r="FZ165" s="18"/>
      <c r="GA165" s="18"/>
      <c r="GB165" s="18"/>
      <c r="GC165" s="18"/>
    </row>
    <row r="166" spans="1:185" ht="15.75" thickBot="1" x14ac:dyDescent="0.3">
      <c r="A166" s="53" t="s">
        <v>4</v>
      </c>
      <c r="B166" s="136">
        <f>'2 уровень'!C263</f>
        <v>0</v>
      </c>
      <c r="C166" s="136">
        <f>'2 уровень'!D263</f>
        <v>0</v>
      </c>
      <c r="D166" s="21">
        <f>'2 уровень'!E263</f>
        <v>0</v>
      </c>
      <c r="E166" s="137">
        <f>'2 уровень'!F263</f>
        <v>0</v>
      </c>
      <c r="F166" s="117">
        <f>'2 уровень'!G263</f>
        <v>37350.781089999997</v>
      </c>
      <c r="G166" s="117">
        <f>'2 уровень'!H263</f>
        <v>15562.82</v>
      </c>
      <c r="H166" s="31">
        <f>'2 уровень'!I263</f>
        <v>19897.70707</v>
      </c>
      <c r="I166" s="117">
        <f>'2 уровень'!J263</f>
        <v>127.85412328870989</v>
      </c>
      <c r="J166" s="46"/>
      <c r="L166" s="381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  <c r="BA166" s="18"/>
      <c r="BB166" s="18"/>
      <c r="BC166" s="18"/>
      <c r="BD166" s="18"/>
      <c r="BE166" s="18"/>
      <c r="BF166" s="18"/>
      <c r="BG166" s="18"/>
      <c r="BH166" s="18"/>
      <c r="BI166" s="18"/>
      <c r="BJ166" s="18"/>
      <c r="BK166" s="18"/>
      <c r="BL166" s="18"/>
      <c r="BM166" s="18"/>
      <c r="BN166" s="18"/>
      <c r="BO166" s="18"/>
      <c r="BP166" s="18"/>
      <c r="BQ166" s="18"/>
      <c r="BR166" s="18"/>
      <c r="BS166" s="18"/>
      <c r="BT166" s="18"/>
      <c r="BU166" s="18"/>
      <c r="BV166" s="18"/>
      <c r="BW166" s="18"/>
      <c r="BX166" s="18"/>
      <c r="BY166" s="18"/>
      <c r="BZ166" s="18"/>
      <c r="CA166" s="18"/>
      <c r="CB166" s="18"/>
      <c r="CC166" s="18"/>
      <c r="CD166" s="18"/>
      <c r="CE166" s="18"/>
      <c r="CF166" s="18"/>
      <c r="CG166" s="18"/>
      <c r="CH166" s="18"/>
      <c r="CI166" s="18"/>
      <c r="CJ166" s="18"/>
      <c r="CK166" s="18"/>
      <c r="CL166" s="18"/>
      <c r="CM166" s="18"/>
      <c r="CN166" s="18"/>
      <c r="CO166" s="18"/>
      <c r="CP166" s="18"/>
      <c r="CQ166" s="18"/>
      <c r="CR166" s="18"/>
      <c r="CS166" s="18"/>
      <c r="CT166" s="18"/>
      <c r="CU166" s="18"/>
      <c r="CV166" s="18"/>
      <c r="CW166" s="18"/>
      <c r="CX166" s="18"/>
      <c r="CY166" s="18"/>
      <c r="CZ166" s="18"/>
      <c r="DA166" s="18"/>
      <c r="DB166" s="18"/>
      <c r="DC166" s="18"/>
      <c r="DD166" s="18"/>
      <c r="DE166" s="18"/>
      <c r="DF166" s="18"/>
      <c r="DG166" s="18"/>
      <c r="DH166" s="18"/>
      <c r="DI166" s="18"/>
      <c r="DJ166" s="18"/>
      <c r="DK166" s="18"/>
      <c r="DL166" s="18"/>
      <c r="DM166" s="18"/>
      <c r="DN166" s="18"/>
      <c r="DO166" s="18"/>
      <c r="DP166" s="18"/>
      <c r="DQ166" s="18"/>
      <c r="DR166" s="18"/>
      <c r="DS166" s="18"/>
      <c r="DT166" s="18"/>
      <c r="DU166" s="18"/>
      <c r="DV166" s="18"/>
      <c r="DW166" s="18"/>
      <c r="DX166" s="18"/>
      <c r="DY166" s="18"/>
      <c r="DZ166" s="18"/>
      <c r="EA166" s="18"/>
      <c r="EB166" s="18"/>
      <c r="EC166" s="18"/>
      <c r="ED166" s="18"/>
      <c r="EE166" s="18"/>
      <c r="EF166" s="18"/>
      <c r="EG166" s="18"/>
      <c r="EH166" s="18"/>
      <c r="EI166" s="18"/>
      <c r="EJ166" s="18"/>
      <c r="EK166" s="18"/>
      <c r="EL166" s="18"/>
      <c r="EM166" s="18"/>
      <c r="EN166" s="18"/>
      <c r="EO166" s="18"/>
      <c r="EP166" s="18"/>
      <c r="EQ166" s="18"/>
      <c r="ER166" s="18"/>
      <c r="ES166" s="18"/>
      <c r="ET166" s="18"/>
      <c r="EU166" s="18"/>
      <c r="EV166" s="18"/>
      <c r="EW166" s="18"/>
      <c r="EX166" s="18"/>
      <c r="EY166" s="18"/>
      <c r="EZ166" s="18"/>
      <c r="FA166" s="18"/>
      <c r="FB166" s="18"/>
      <c r="FC166" s="18"/>
      <c r="FD166" s="18"/>
      <c r="FE166" s="18"/>
      <c r="FF166" s="18"/>
      <c r="FG166" s="18"/>
      <c r="FH166" s="18"/>
      <c r="FI166" s="18"/>
      <c r="FJ166" s="18"/>
      <c r="FK166" s="18"/>
      <c r="FL166" s="18"/>
      <c r="FM166" s="18"/>
      <c r="FN166" s="18"/>
      <c r="FO166" s="18"/>
      <c r="FP166" s="18"/>
      <c r="FQ166" s="18"/>
      <c r="FR166" s="18"/>
      <c r="FS166" s="18"/>
      <c r="FT166" s="18"/>
      <c r="FU166" s="18"/>
      <c r="FV166" s="18"/>
      <c r="FW166" s="18"/>
      <c r="FX166" s="18"/>
      <c r="FY166" s="18"/>
      <c r="FZ166" s="18"/>
      <c r="GA166" s="18"/>
      <c r="GB166" s="18"/>
      <c r="GC166" s="18"/>
    </row>
    <row r="167" spans="1:185" ht="15" customHeight="1" x14ac:dyDescent="0.25">
      <c r="A167" s="39" t="s">
        <v>14</v>
      </c>
      <c r="B167" s="40"/>
      <c r="C167" s="40"/>
      <c r="D167" s="40"/>
      <c r="E167" s="107"/>
      <c r="F167" s="41"/>
      <c r="G167" s="41"/>
      <c r="H167" s="41"/>
      <c r="I167" s="41"/>
      <c r="J167" s="46"/>
      <c r="L167" s="381"/>
    </row>
    <row r="168" spans="1:185" ht="30" x14ac:dyDescent="0.25">
      <c r="A168" s="229" t="s">
        <v>120</v>
      </c>
      <c r="B168" s="226">
        <f>'2 уровень'!C280</f>
        <v>7401</v>
      </c>
      <c r="C168" s="226">
        <f>'2 уровень'!D280</f>
        <v>3084</v>
      </c>
      <c r="D168" s="226">
        <f>'2 уровень'!E280</f>
        <v>3556</v>
      </c>
      <c r="E168" s="227">
        <f>'2 уровень'!F280</f>
        <v>115.3047989623865</v>
      </c>
      <c r="F168" s="230">
        <f>'2 уровень'!G280</f>
        <v>12361.96379</v>
      </c>
      <c r="G168" s="230">
        <f>'2 уровень'!H280</f>
        <v>5150.8200000000006</v>
      </c>
      <c r="H168" s="230">
        <f>'2 уровень'!I280</f>
        <v>6210.1074500000004</v>
      </c>
      <c r="I168" s="230">
        <f>'2 уровень'!J280</f>
        <v>120.56541385643452</v>
      </c>
      <c r="J168" s="46"/>
      <c r="L168" s="381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  <c r="BA168" s="18"/>
      <c r="BB168" s="18"/>
      <c r="BC168" s="18"/>
      <c r="BD168" s="18"/>
      <c r="BE168" s="18"/>
      <c r="BF168" s="18"/>
      <c r="BG168" s="18"/>
      <c r="BH168" s="18"/>
      <c r="BI168" s="18"/>
      <c r="BJ168" s="18"/>
      <c r="BK168" s="18"/>
      <c r="BL168" s="18"/>
      <c r="BM168" s="18"/>
      <c r="BN168" s="18"/>
      <c r="BO168" s="18"/>
      <c r="BP168" s="18"/>
      <c r="BQ168" s="18"/>
      <c r="BR168" s="18"/>
      <c r="BS168" s="18"/>
      <c r="BT168" s="18"/>
      <c r="BU168" s="18"/>
      <c r="BV168" s="18"/>
      <c r="BW168" s="18"/>
      <c r="BX168" s="18"/>
      <c r="BY168" s="18"/>
      <c r="BZ168" s="18"/>
      <c r="CA168" s="18"/>
      <c r="CB168" s="18"/>
      <c r="CC168" s="18"/>
      <c r="CD168" s="18"/>
      <c r="CE168" s="18"/>
      <c r="CF168" s="18"/>
      <c r="CG168" s="18"/>
      <c r="CH168" s="18"/>
      <c r="CI168" s="18"/>
      <c r="CJ168" s="18"/>
      <c r="CK168" s="18"/>
      <c r="CL168" s="18"/>
      <c r="CM168" s="18"/>
      <c r="CN168" s="18"/>
      <c r="CO168" s="18"/>
      <c r="CP168" s="18"/>
      <c r="CQ168" s="18"/>
      <c r="CR168" s="18"/>
      <c r="CS168" s="18"/>
      <c r="CT168" s="18"/>
      <c r="CU168" s="18"/>
      <c r="CV168" s="18"/>
      <c r="CW168" s="18"/>
      <c r="CX168" s="18"/>
      <c r="CY168" s="18"/>
      <c r="CZ168" s="18"/>
      <c r="DA168" s="18"/>
      <c r="DB168" s="18"/>
      <c r="DC168" s="18"/>
      <c r="DD168" s="18"/>
      <c r="DE168" s="18"/>
      <c r="DF168" s="18"/>
      <c r="DG168" s="18"/>
      <c r="DH168" s="18"/>
      <c r="DI168" s="18"/>
      <c r="DJ168" s="18"/>
      <c r="DK168" s="18"/>
      <c r="DL168" s="18"/>
      <c r="DM168" s="18"/>
      <c r="DN168" s="18"/>
      <c r="DO168" s="18"/>
      <c r="DP168" s="18"/>
      <c r="DQ168" s="18"/>
      <c r="DR168" s="18"/>
      <c r="DS168" s="18"/>
      <c r="DT168" s="18"/>
      <c r="DU168" s="18"/>
      <c r="DV168" s="18"/>
      <c r="DW168" s="18"/>
      <c r="DX168" s="18"/>
      <c r="DY168" s="18"/>
      <c r="DZ168" s="18"/>
      <c r="EA168" s="18"/>
      <c r="EB168" s="18"/>
      <c r="EC168" s="18"/>
      <c r="ED168" s="18"/>
      <c r="EE168" s="18"/>
      <c r="EF168" s="18"/>
      <c r="EG168" s="18"/>
      <c r="EH168" s="18"/>
      <c r="EI168" s="18"/>
      <c r="EJ168" s="18"/>
      <c r="EK168" s="18"/>
      <c r="EL168" s="18"/>
      <c r="EM168" s="18"/>
      <c r="EN168" s="18"/>
      <c r="EO168" s="18"/>
      <c r="EP168" s="18"/>
      <c r="EQ168" s="18"/>
      <c r="ER168" s="18"/>
      <c r="ES168" s="18"/>
      <c r="ET168" s="18"/>
      <c r="EU168" s="18"/>
      <c r="EV168" s="18"/>
      <c r="EW168" s="18"/>
      <c r="EX168" s="18"/>
      <c r="EY168" s="18"/>
      <c r="EZ168" s="18"/>
      <c r="FA168" s="18"/>
      <c r="FB168" s="18"/>
      <c r="FC168" s="18"/>
      <c r="FD168" s="18"/>
      <c r="FE168" s="18"/>
      <c r="FF168" s="18"/>
      <c r="FG168" s="18"/>
      <c r="FH168" s="18"/>
      <c r="FI168" s="18"/>
      <c r="FJ168" s="18"/>
      <c r="FK168" s="18"/>
      <c r="FL168" s="18"/>
      <c r="FM168" s="18"/>
      <c r="FN168" s="18"/>
      <c r="FO168" s="18"/>
      <c r="FP168" s="18"/>
      <c r="FQ168" s="18"/>
      <c r="FR168" s="18"/>
      <c r="FS168" s="18"/>
      <c r="FT168" s="18"/>
      <c r="FU168" s="18"/>
      <c r="FV168" s="18"/>
      <c r="FW168" s="18"/>
      <c r="FX168" s="18"/>
      <c r="FY168" s="18"/>
      <c r="FZ168" s="18"/>
      <c r="GA168" s="18"/>
      <c r="GB168" s="18"/>
      <c r="GC168" s="18"/>
    </row>
    <row r="169" spans="1:185" ht="30" x14ac:dyDescent="0.25">
      <c r="A169" s="57" t="s">
        <v>79</v>
      </c>
      <c r="B169" s="21">
        <f>'2 уровень'!C281</f>
        <v>5485</v>
      </c>
      <c r="C169" s="21">
        <f>'2 уровень'!D281</f>
        <v>2285</v>
      </c>
      <c r="D169" s="21">
        <f>'2 уровень'!E281</f>
        <v>2806</v>
      </c>
      <c r="E169" s="104">
        <f>'2 уровень'!F281</f>
        <v>122.80087527352296</v>
      </c>
      <c r="F169" s="31">
        <f>'2 уровень'!G281</f>
        <v>7514.5098000000007</v>
      </c>
      <c r="G169" s="31">
        <f>'2 уровень'!H281</f>
        <v>3131.05</v>
      </c>
      <c r="H169" s="31">
        <f>'2 уровень'!I281</f>
        <v>3586.7813299999998</v>
      </c>
      <c r="I169" s="31">
        <f>'2 уровень'!J281</f>
        <v>114.55522364701936</v>
      </c>
      <c r="J169" s="46"/>
      <c r="L169" s="381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  <c r="BA169" s="18"/>
      <c r="BB169" s="18"/>
      <c r="BC169" s="18"/>
      <c r="BD169" s="18"/>
      <c r="BE169" s="18"/>
      <c r="BF169" s="18"/>
      <c r="BG169" s="18"/>
      <c r="BH169" s="18"/>
      <c r="BI169" s="18"/>
      <c r="BJ169" s="18"/>
      <c r="BK169" s="18"/>
      <c r="BL169" s="18"/>
      <c r="BM169" s="18"/>
      <c r="BN169" s="18"/>
      <c r="BO169" s="18"/>
      <c r="BP169" s="18"/>
      <c r="BQ169" s="18"/>
      <c r="BR169" s="18"/>
      <c r="BS169" s="18"/>
      <c r="BT169" s="18"/>
      <c r="BU169" s="18"/>
      <c r="BV169" s="18"/>
      <c r="BW169" s="18"/>
      <c r="BX169" s="18"/>
      <c r="BY169" s="18"/>
      <c r="BZ169" s="18"/>
      <c r="CA169" s="18"/>
      <c r="CB169" s="18"/>
      <c r="CC169" s="18"/>
      <c r="CD169" s="18"/>
      <c r="CE169" s="18"/>
      <c r="CF169" s="18"/>
      <c r="CG169" s="18"/>
      <c r="CH169" s="18"/>
      <c r="CI169" s="18"/>
      <c r="CJ169" s="18"/>
      <c r="CK169" s="18"/>
      <c r="CL169" s="18"/>
      <c r="CM169" s="18"/>
      <c r="CN169" s="18"/>
      <c r="CO169" s="18"/>
      <c r="CP169" s="18"/>
      <c r="CQ169" s="18"/>
      <c r="CR169" s="18"/>
      <c r="CS169" s="18"/>
      <c r="CT169" s="18"/>
      <c r="CU169" s="18"/>
      <c r="CV169" s="18"/>
      <c r="CW169" s="18"/>
      <c r="CX169" s="18"/>
      <c r="CY169" s="18"/>
      <c r="CZ169" s="18"/>
      <c r="DA169" s="18"/>
      <c r="DB169" s="18"/>
      <c r="DC169" s="18"/>
      <c r="DD169" s="18"/>
      <c r="DE169" s="18"/>
      <c r="DF169" s="18"/>
      <c r="DG169" s="18"/>
      <c r="DH169" s="18"/>
      <c r="DI169" s="18"/>
      <c r="DJ169" s="18"/>
      <c r="DK169" s="18"/>
      <c r="DL169" s="18"/>
      <c r="DM169" s="18"/>
      <c r="DN169" s="18"/>
      <c r="DO169" s="18"/>
      <c r="DP169" s="18"/>
      <c r="DQ169" s="18"/>
      <c r="DR169" s="18"/>
      <c r="DS169" s="18"/>
      <c r="DT169" s="18"/>
      <c r="DU169" s="18"/>
      <c r="DV169" s="18"/>
      <c r="DW169" s="18"/>
      <c r="DX169" s="18"/>
      <c r="DY169" s="18"/>
      <c r="DZ169" s="18"/>
      <c r="EA169" s="18"/>
      <c r="EB169" s="18"/>
      <c r="EC169" s="18"/>
      <c r="ED169" s="18"/>
      <c r="EE169" s="18"/>
      <c r="EF169" s="18"/>
      <c r="EG169" s="18"/>
      <c r="EH169" s="18"/>
      <c r="EI169" s="18"/>
      <c r="EJ169" s="18"/>
      <c r="EK169" s="18"/>
      <c r="EL169" s="18"/>
      <c r="EM169" s="18"/>
      <c r="EN169" s="18"/>
      <c r="EO169" s="18"/>
      <c r="EP169" s="18"/>
      <c r="EQ169" s="18"/>
      <c r="ER169" s="18"/>
      <c r="ES169" s="18"/>
      <c r="ET169" s="18"/>
      <c r="EU169" s="18"/>
      <c r="EV169" s="18"/>
      <c r="EW169" s="18"/>
      <c r="EX169" s="18"/>
      <c r="EY169" s="18"/>
      <c r="EZ169" s="18"/>
      <c r="FA169" s="18"/>
      <c r="FB169" s="18"/>
      <c r="FC169" s="18"/>
      <c r="FD169" s="18"/>
      <c r="FE169" s="18"/>
      <c r="FF169" s="18"/>
      <c r="FG169" s="18"/>
      <c r="FH169" s="18"/>
      <c r="FI169" s="18"/>
      <c r="FJ169" s="18"/>
      <c r="FK169" s="18"/>
      <c r="FL169" s="18"/>
      <c r="FM169" s="18"/>
      <c r="FN169" s="18"/>
      <c r="FO169" s="18"/>
      <c r="FP169" s="18"/>
      <c r="FQ169" s="18"/>
      <c r="FR169" s="18"/>
      <c r="FS169" s="18"/>
      <c r="FT169" s="18"/>
      <c r="FU169" s="18"/>
      <c r="FV169" s="18"/>
      <c r="FW169" s="18"/>
      <c r="FX169" s="18"/>
      <c r="FY169" s="18"/>
      <c r="FZ169" s="18"/>
      <c r="GA169" s="18"/>
      <c r="GB169" s="18"/>
      <c r="GC169" s="18"/>
    </row>
    <row r="170" spans="1:185" ht="30" x14ac:dyDescent="0.25">
      <c r="A170" s="57" t="s">
        <v>80</v>
      </c>
      <c r="B170" s="21">
        <f>'2 уровень'!C282</f>
        <v>1646</v>
      </c>
      <c r="C170" s="21">
        <f>'2 уровень'!D282</f>
        <v>686</v>
      </c>
      <c r="D170" s="21">
        <f>'2 уровень'!E282</f>
        <v>482</v>
      </c>
      <c r="E170" s="104">
        <f>'2 уровень'!F282</f>
        <v>70.262390670553927</v>
      </c>
      <c r="F170" s="31">
        <f>'2 уровень'!G282</f>
        <v>3075.6923900000002</v>
      </c>
      <c r="G170" s="31">
        <f>'2 уровень'!H282</f>
        <v>1281.54</v>
      </c>
      <c r="H170" s="31">
        <f>'2 уровень'!I282</f>
        <v>864.68867999999998</v>
      </c>
      <c r="I170" s="31">
        <f>'2 уровень'!J282</f>
        <v>67.472625122899004</v>
      </c>
      <c r="J170" s="46"/>
      <c r="L170" s="381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  <c r="BA170" s="18"/>
      <c r="BB170" s="18"/>
      <c r="BC170" s="18"/>
      <c r="BD170" s="18"/>
      <c r="BE170" s="18"/>
      <c r="BF170" s="18"/>
      <c r="BG170" s="18"/>
      <c r="BH170" s="18"/>
      <c r="BI170" s="18"/>
      <c r="BJ170" s="18"/>
      <c r="BK170" s="18"/>
      <c r="BL170" s="18"/>
      <c r="BM170" s="18"/>
      <c r="BN170" s="18"/>
      <c r="BO170" s="18"/>
      <c r="BP170" s="18"/>
      <c r="BQ170" s="18"/>
      <c r="BR170" s="18"/>
      <c r="BS170" s="18"/>
      <c r="BT170" s="18"/>
      <c r="BU170" s="18"/>
      <c r="BV170" s="18"/>
      <c r="BW170" s="18"/>
      <c r="BX170" s="18"/>
      <c r="BY170" s="18"/>
      <c r="BZ170" s="18"/>
      <c r="CA170" s="18"/>
      <c r="CB170" s="18"/>
      <c r="CC170" s="18"/>
      <c r="CD170" s="18"/>
      <c r="CE170" s="18"/>
      <c r="CF170" s="18"/>
      <c r="CG170" s="18"/>
      <c r="CH170" s="18"/>
      <c r="CI170" s="18"/>
      <c r="CJ170" s="18"/>
      <c r="CK170" s="18"/>
      <c r="CL170" s="18"/>
      <c r="CM170" s="18"/>
      <c r="CN170" s="18"/>
      <c r="CO170" s="18"/>
      <c r="CP170" s="18"/>
      <c r="CQ170" s="18"/>
      <c r="CR170" s="18"/>
      <c r="CS170" s="18"/>
      <c r="CT170" s="18"/>
      <c r="CU170" s="18"/>
      <c r="CV170" s="18"/>
      <c r="CW170" s="18"/>
      <c r="CX170" s="18"/>
      <c r="CY170" s="18"/>
      <c r="CZ170" s="18"/>
      <c r="DA170" s="18"/>
      <c r="DB170" s="18"/>
      <c r="DC170" s="18"/>
      <c r="DD170" s="18"/>
      <c r="DE170" s="18"/>
      <c r="DF170" s="18"/>
      <c r="DG170" s="18"/>
      <c r="DH170" s="18"/>
      <c r="DI170" s="18"/>
      <c r="DJ170" s="18"/>
      <c r="DK170" s="18"/>
      <c r="DL170" s="18"/>
      <c r="DM170" s="18"/>
      <c r="DN170" s="18"/>
      <c r="DO170" s="18"/>
      <c r="DP170" s="18"/>
      <c r="DQ170" s="18"/>
      <c r="DR170" s="18"/>
      <c r="DS170" s="18"/>
      <c r="DT170" s="18"/>
      <c r="DU170" s="18"/>
      <c r="DV170" s="18"/>
      <c r="DW170" s="18"/>
      <c r="DX170" s="18"/>
      <c r="DY170" s="18"/>
      <c r="DZ170" s="18"/>
      <c r="EA170" s="18"/>
      <c r="EB170" s="18"/>
      <c r="EC170" s="18"/>
      <c r="ED170" s="18"/>
      <c r="EE170" s="18"/>
      <c r="EF170" s="18"/>
      <c r="EG170" s="18"/>
      <c r="EH170" s="18"/>
      <c r="EI170" s="18"/>
      <c r="EJ170" s="18"/>
      <c r="EK170" s="18"/>
      <c r="EL170" s="18"/>
      <c r="EM170" s="18"/>
      <c r="EN170" s="18"/>
      <c r="EO170" s="18"/>
      <c r="EP170" s="18"/>
      <c r="EQ170" s="18"/>
      <c r="ER170" s="18"/>
      <c r="ES170" s="18"/>
      <c r="ET170" s="18"/>
      <c r="EU170" s="18"/>
      <c r="EV170" s="18"/>
      <c r="EW170" s="18"/>
      <c r="EX170" s="18"/>
      <c r="EY170" s="18"/>
      <c r="EZ170" s="18"/>
      <c r="FA170" s="18"/>
      <c r="FB170" s="18"/>
      <c r="FC170" s="18"/>
      <c r="FD170" s="18"/>
      <c r="FE170" s="18"/>
      <c r="FF170" s="18"/>
      <c r="FG170" s="18"/>
      <c r="FH170" s="18"/>
      <c r="FI170" s="18"/>
      <c r="FJ170" s="18"/>
      <c r="FK170" s="18"/>
      <c r="FL170" s="18"/>
      <c r="FM170" s="18"/>
      <c r="FN170" s="18"/>
      <c r="FO170" s="18"/>
      <c r="FP170" s="18"/>
      <c r="FQ170" s="18"/>
      <c r="FR170" s="18"/>
      <c r="FS170" s="18"/>
      <c r="FT170" s="18"/>
      <c r="FU170" s="18"/>
      <c r="FV170" s="18"/>
      <c r="FW170" s="18"/>
      <c r="FX170" s="18"/>
      <c r="FY170" s="18"/>
      <c r="FZ170" s="18"/>
      <c r="GA170" s="18"/>
      <c r="GB170" s="18"/>
      <c r="GC170" s="18"/>
    </row>
    <row r="171" spans="1:185" ht="45" x14ac:dyDescent="0.25">
      <c r="A171" s="57" t="s">
        <v>110</v>
      </c>
      <c r="B171" s="21">
        <f>'2 уровень'!C283</f>
        <v>120</v>
      </c>
      <c r="C171" s="21">
        <f>'2 уровень'!D283</f>
        <v>50</v>
      </c>
      <c r="D171" s="21">
        <f>'2 уровень'!E283</f>
        <v>134</v>
      </c>
      <c r="E171" s="104">
        <f>'2 уровень'!F283</f>
        <v>268</v>
      </c>
      <c r="F171" s="31">
        <f>'2 уровень'!G283</f>
        <v>787.44960000000003</v>
      </c>
      <c r="G171" s="31">
        <f>'2 уровень'!H283</f>
        <v>328.1</v>
      </c>
      <c r="H171" s="31">
        <f>'2 уровень'!I283</f>
        <v>879.31871999999998</v>
      </c>
      <c r="I171" s="31">
        <f>'2 уровень'!J283</f>
        <v>268.00326729655592</v>
      </c>
      <c r="J171" s="46"/>
      <c r="L171" s="381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  <c r="BA171" s="18"/>
      <c r="BB171" s="18"/>
      <c r="BC171" s="18"/>
      <c r="BD171" s="18"/>
      <c r="BE171" s="18"/>
      <c r="BF171" s="18"/>
      <c r="BG171" s="18"/>
      <c r="BH171" s="18"/>
      <c r="BI171" s="18"/>
      <c r="BJ171" s="18"/>
      <c r="BK171" s="18"/>
      <c r="BL171" s="18"/>
      <c r="BM171" s="18"/>
      <c r="BN171" s="18"/>
      <c r="BO171" s="18"/>
      <c r="BP171" s="18"/>
      <c r="BQ171" s="18"/>
      <c r="BR171" s="18"/>
      <c r="BS171" s="18"/>
      <c r="BT171" s="18"/>
      <c r="BU171" s="18"/>
      <c r="BV171" s="18"/>
      <c r="BW171" s="18"/>
      <c r="BX171" s="18"/>
      <c r="BY171" s="18"/>
      <c r="BZ171" s="18"/>
      <c r="CA171" s="18"/>
      <c r="CB171" s="18"/>
      <c r="CC171" s="18"/>
      <c r="CD171" s="18"/>
      <c r="CE171" s="18"/>
      <c r="CF171" s="18"/>
      <c r="CG171" s="18"/>
      <c r="CH171" s="18"/>
      <c r="CI171" s="18"/>
      <c r="CJ171" s="18"/>
      <c r="CK171" s="18"/>
      <c r="CL171" s="18"/>
      <c r="CM171" s="18"/>
      <c r="CN171" s="18"/>
      <c r="CO171" s="18"/>
      <c r="CP171" s="18"/>
      <c r="CQ171" s="18"/>
      <c r="CR171" s="18"/>
      <c r="CS171" s="18"/>
      <c r="CT171" s="18"/>
      <c r="CU171" s="18"/>
      <c r="CV171" s="18"/>
      <c r="CW171" s="18"/>
      <c r="CX171" s="18"/>
      <c r="CY171" s="18"/>
      <c r="CZ171" s="18"/>
      <c r="DA171" s="18"/>
      <c r="DB171" s="18"/>
      <c r="DC171" s="18"/>
      <c r="DD171" s="18"/>
      <c r="DE171" s="18"/>
      <c r="DF171" s="18"/>
      <c r="DG171" s="18"/>
      <c r="DH171" s="18"/>
      <c r="DI171" s="18"/>
      <c r="DJ171" s="18"/>
      <c r="DK171" s="18"/>
      <c r="DL171" s="18"/>
      <c r="DM171" s="18"/>
      <c r="DN171" s="18"/>
      <c r="DO171" s="18"/>
      <c r="DP171" s="18"/>
      <c r="DQ171" s="18"/>
      <c r="DR171" s="18"/>
      <c r="DS171" s="18"/>
      <c r="DT171" s="18"/>
      <c r="DU171" s="18"/>
      <c r="DV171" s="18"/>
      <c r="DW171" s="18"/>
      <c r="DX171" s="18"/>
      <c r="DY171" s="18"/>
      <c r="DZ171" s="18"/>
      <c r="EA171" s="18"/>
      <c r="EB171" s="18"/>
      <c r="EC171" s="18"/>
      <c r="ED171" s="18"/>
      <c r="EE171" s="18"/>
      <c r="EF171" s="18"/>
      <c r="EG171" s="18"/>
      <c r="EH171" s="18"/>
      <c r="EI171" s="18"/>
      <c r="EJ171" s="18"/>
      <c r="EK171" s="18"/>
      <c r="EL171" s="18"/>
      <c r="EM171" s="18"/>
      <c r="EN171" s="18"/>
      <c r="EO171" s="18"/>
      <c r="EP171" s="18"/>
      <c r="EQ171" s="18"/>
      <c r="ER171" s="18"/>
      <c r="ES171" s="18"/>
      <c r="ET171" s="18"/>
      <c r="EU171" s="18"/>
      <c r="EV171" s="18"/>
      <c r="EW171" s="18"/>
      <c r="EX171" s="18"/>
      <c r="EY171" s="18"/>
      <c r="EZ171" s="18"/>
      <c r="FA171" s="18"/>
      <c r="FB171" s="18"/>
      <c r="FC171" s="18"/>
      <c r="FD171" s="18"/>
      <c r="FE171" s="18"/>
      <c r="FF171" s="18"/>
      <c r="FG171" s="18"/>
      <c r="FH171" s="18"/>
      <c r="FI171" s="18"/>
      <c r="FJ171" s="18"/>
      <c r="FK171" s="18"/>
      <c r="FL171" s="18"/>
      <c r="FM171" s="18"/>
      <c r="FN171" s="18"/>
      <c r="FO171" s="18"/>
      <c r="FP171" s="18"/>
      <c r="FQ171" s="18"/>
      <c r="FR171" s="18"/>
      <c r="FS171" s="18"/>
      <c r="FT171" s="18"/>
      <c r="FU171" s="18"/>
      <c r="FV171" s="18"/>
      <c r="FW171" s="18"/>
      <c r="FX171" s="18"/>
      <c r="FY171" s="18"/>
      <c r="FZ171" s="18"/>
      <c r="GA171" s="18"/>
      <c r="GB171" s="18"/>
      <c r="GC171" s="18"/>
    </row>
    <row r="172" spans="1:185" ht="30" x14ac:dyDescent="0.25">
      <c r="A172" s="57" t="s">
        <v>111</v>
      </c>
      <c r="B172" s="21">
        <f>'2 уровень'!C284</f>
        <v>150</v>
      </c>
      <c r="C172" s="21">
        <f>'2 уровень'!D284</f>
        <v>63</v>
      </c>
      <c r="D172" s="21">
        <f>'2 уровень'!E284</f>
        <v>134</v>
      </c>
      <c r="E172" s="104">
        <f>'2 уровень'!F284</f>
        <v>212.69841269841271</v>
      </c>
      <c r="F172" s="31">
        <f>'2 уровень'!G284</f>
        <v>984.31200000000001</v>
      </c>
      <c r="G172" s="31">
        <f>'2 уровень'!H284</f>
        <v>410.13</v>
      </c>
      <c r="H172" s="31">
        <f>'2 уровень'!I284</f>
        <v>879.3187200000001</v>
      </c>
      <c r="I172" s="31">
        <f>'2 уровень'!J284</f>
        <v>214.4</v>
      </c>
      <c r="J172" s="46"/>
      <c r="L172" s="381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  <c r="BA172" s="18"/>
      <c r="BB172" s="18"/>
      <c r="BC172" s="18"/>
      <c r="BD172" s="18"/>
      <c r="BE172" s="18"/>
      <c r="BF172" s="18"/>
      <c r="BG172" s="18"/>
      <c r="BH172" s="18"/>
      <c r="BI172" s="18"/>
      <c r="BJ172" s="18"/>
      <c r="BK172" s="18"/>
      <c r="BL172" s="18"/>
      <c r="BM172" s="18"/>
      <c r="BN172" s="18"/>
      <c r="BO172" s="18"/>
      <c r="BP172" s="18"/>
      <c r="BQ172" s="18"/>
      <c r="BR172" s="18"/>
      <c r="BS172" s="18"/>
      <c r="BT172" s="18"/>
      <c r="BU172" s="18"/>
      <c r="BV172" s="18"/>
      <c r="BW172" s="18"/>
      <c r="BX172" s="18"/>
      <c r="BY172" s="18"/>
      <c r="BZ172" s="18"/>
      <c r="CA172" s="18"/>
      <c r="CB172" s="18"/>
      <c r="CC172" s="18"/>
      <c r="CD172" s="18"/>
      <c r="CE172" s="18"/>
      <c r="CF172" s="18"/>
      <c r="CG172" s="18"/>
      <c r="CH172" s="18"/>
      <c r="CI172" s="18"/>
      <c r="CJ172" s="18"/>
      <c r="CK172" s="18"/>
      <c r="CL172" s="18"/>
      <c r="CM172" s="18"/>
      <c r="CN172" s="18"/>
      <c r="CO172" s="18"/>
      <c r="CP172" s="18"/>
      <c r="CQ172" s="18"/>
      <c r="CR172" s="18"/>
      <c r="CS172" s="18"/>
      <c r="CT172" s="18"/>
      <c r="CU172" s="18"/>
      <c r="CV172" s="18"/>
      <c r="CW172" s="18"/>
      <c r="CX172" s="18"/>
      <c r="CY172" s="18"/>
      <c r="CZ172" s="18"/>
      <c r="DA172" s="18"/>
      <c r="DB172" s="18"/>
      <c r="DC172" s="18"/>
      <c r="DD172" s="18"/>
      <c r="DE172" s="18"/>
      <c r="DF172" s="18"/>
      <c r="DG172" s="18"/>
      <c r="DH172" s="18"/>
      <c r="DI172" s="18"/>
      <c r="DJ172" s="18"/>
      <c r="DK172" s="18"/>
      <c r="DL172" s="18"/>
      <c r="DM172" s="18"/>
      <c r="DN172" s="18"/>
      <c r="DO172" s="18"/>
      <c r="DP172" s="18"/>
      <c r="DQ172" s="18"/>
      <c r="DR172" s="18"/>
      <c r="DS172" s="18"/>
      <c r="DT172" s="18"/>
      <c r="DU172" s="18"/>
      <c r="DV172" s="18"/>
      <c r="DW172" s="18"/>
      <c r="DX172" s="18"/>
      <c r="DY172" s="18"/>
      <c r="DZ172" s="18"/>
      <c r="EA172" s="18"/>
      <c r="EB172" s="18"/>
      <c r="EC172" s="18"/>
      <c r="ED172" s="18"/>
      <c r="EE172" s="18"/>
      <c r="EF172" s="18"/>
      <c r="EG172" s="18"/>
      <c r="EH172" s="18"/>
      <c r="EI172" s="18"/>
      <c r="EJ172" s="18"/>
      <c r="EK172" s="18"/>
      <c r="EL172" s="18"/>
      <c r="EM172" s="18"/>
      <c r="EN172" s="18"/>
      <c r="EO172" s="18"/>
      <c r="EP172" s="18"/>
      <c r="EQ172" s="18"/>
      <c r="ER172" s="18"/>
      <c r="ES172" s="18"/>
      <c r="ET172" s="18"/>
      <c r="EU172" s="18"/>
      <c r="EV172" s="18"/>
      <c r="EW172" s="18"/>
      <c r="EX172" s="18"/>
      <c r="EY172" s="18"/>
      <c r="EZ172" s="18"/>
      <c r="FA172" s="18"/>
      <c r="FB172" s="18"/>
      <c r="FC172" s="18"/>
      <c r="FD172" s="18"/>
      <c r="FE172" s="18"/>
      <c r="FF172" s="18"/>
      <c r="FG172" s="18"/>
      <c r="FH172" s="18"/>
      <c r="FI172" s="18"/>
      <c r="FJ172" s="18"/>
      <c r="FK172" s="18"/>
      <c r="FL172" s="18"/>
      <c r="FM172" s="18"/>
      <c r="FN172" s="18"/>
      <c r="FO172" s="18"/>
      <c r="FP172" s="18"/>
      <c r="FQ172" s="18"/>
      <c r="FR172" s="18"/>
      <c r="FS172" s="18"/>
      <c r="FT172" s="18"/>
      <c r="FU172" s="18"/>
      <c r="FV172" s="18"/>
      <c r="FW172" s="18"/>
      <c r="FX172" s="18"/>
      <c r="FY172" s="18"/>
      <c r="FZ172" s="18"/>
      <c r="GA172" s="18"/>
      <c r="GB172" s="18"/>
      <c r="GC172" s="18"/>
    </row>
    <row r="173" spans="1:185" ht="30" x14ac:dyDescent="0.25">
      <c r="A173" s="229" t="s">
        <v>112</v>
      </c>
      <c r="B173" s="226">
        <f>'2 уровень'!C285</f>
        <v>12174</v>
      </c>
      <c r="C173" s="226">
        <f>'2 уровень'!D285</f>
        <v>5072</v>
      </c>
      <c r="D173" s="226">
        <f>'2 уровень'!E285</f>
        <v>3716</v>
      </c>
      <c r="E173" s="227">
        <f>'2 уровень'!F285</f>
        <v>73.264984227129332</v>
      </c>
      <c r="F173" s="230">
        <f>'2 уровень'!G285</f>
        <v>23609.339840000001</v>
      </c>
      <c r="G173" s="230">
        <f>'2 уровень'!H285</f>
        <v>9837.23</v>
      </c>
      <c r="H173" s="230">
        <f>'2 уровень'!I285</f>
        <v>8508.5764400000007</v>
      </c>
      <c r="I173" s="230">
        <f>'2 уровень'!J285</f>
        <v>86.493621070158994</v>
      </c>
      <c r="J173" s="46"/>
      <c r="L173" s="381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  <c r="BA173" s="18"/>
      <c r="BB173" s="18"/>
      <c r="BC173" s="18"/>
      <c r="BD173" s="18"/>
      <c r="BE173" s="18"/>
      <c r="BF173" s="18"/>
      <c r="BG173" s="18"/>
      <c r="BH173" s="18"/>
      <c r="BI173" s="18"/>
      <c r="BJ173" s="18"/>
      <c r="BK173" s="18"/>
      <c r="BL173" s="18"/>
      <c r="BM173" s="18"/>
      <c r="BN173" s="18"/>
      <c r="BO173" s="18"/>
      <c r="BP173" s="18"/>
      <c r="BQ173" s="18"/>
      <c r="BR173" s="18"/>
      <c r="BS173" s="18"/>
      <c r="BT173" s="18"/>
      <c r="BU173" s="18"/>
      <c r="BV173" s="18"/>
      <c r="BW173" s="18"/>
      <c r="BX173" s="18"/>
      <c r="BY173" s="18"/>
      <c r="BZ173" s="18"/>
      <c r="CA173" s="18"/>
      <c r="CB173" s="18"/>
      <c r="CC173" s="18"/>
      <c r="CD173" s="18"/>
      <c r="CE173" s="18"/>
      <c r="CF173" s="18"/>
      <c r="CG173" s="18"/>
      <c r="CH173" s="18"/>
      <c r="CI173" s="18"/>
      <c r="CJ173" s="18"/>
      <c r="CK173" s="18"/>
      <c r="CL173" s="18"/>
      <c r="CM173" s="18"/>
      <c r="CN173" s="18"/>
      <c r="CO173" s="18"/>
      <c r="CP173" s="18"/>
      <c r="CQ173" s="18"/>
      <c r="CR173" s="18"/>
      <c r="CS173" s="18"/>
      <c r="CT173" s="18"/>
      <c r="CU173" s="18"/>
      <c r="CV173" s="18"/>
      <c r="CW173" s="18"/>
      <c r="CX173" s="18"/>
      <c r="CY173" s="18"/>
      <c r="CZ173" s="18"/>
      <c r="DA173" s="18"/>
      <c r="DB173" s="18"/>
      <c r="DC173" s="18"/>
      <c r="DD173" s="18"/>
      <c r="DE173" s="18"/>
      <c r="DF173" s="18"/>
      <c r="DG173" s="18"/>
      <c r="DH173" s="18"/>
      <c r="DI173" s="18"/>
      <c r="DJ173" s="18"/>
      <c r="DK173" s="18"/>
      <c r="DL173" s="18"/>
      <c r="DM173" s="18"/>
      <c r="DN173" s="18"/>
      <c r="DO173" s="18"/>
      <c r="DP173" s="18"/>
      <c r="DQ173" s="18"/>
      <c r="DR173" s="18"/>
      <c r="DS173" s="18"/>
      <c r="DT173" s="18"/>
      <c r="DU173" s="18"/>
      <c r="DV173" s="18"/>
      <c r="DW173" s="18"/>
      <c r="DX173" s="18"/>
      <c r="DY173" s="18"/>
      <c r="DZ173" s="18"/>
      <c r="EA173" s="18"/>
      <c r="EB173" s="18"/>
      <c r="EC173" s="18"/>
      <c r="ED173" s="18"/>
      <c r="EE173" s="18"/>
      <c r="EF173" s="18"/>
      <c r="EG173" s="18"/>
      <c r="EH173" s="18"/>
      <c r="EI173" s="18"/>
      <c r="EJ173" s="18"/>
      <c r="EK173" s="18"/>
      <c r="EL173" s="18"/>
      <c r="EM173" s="18"/>
      <c r="EN173" s="18"/>
      <c r="EO173" s="18"/>
      <c r="EP173" s="18"/>
      <c r="EQ173" s="18"/>
      <c r="ER173" s="18"/>
      <c r="ES173" s="18"/>
      <c r="ET173" s="18"/>
      <c r="EU173" s="18"/>
      <c r="EV173" s="18"/>
      <c r="EW173" s="18"/>
      <c r="EX173" s="18"/>
      <c r="EY173" s="18"/>
      <c r="EZ173" s="18"/>
      <c r="FA173" s="18"/>
      <c r="FB173" s="18"/>
      <c r="FC173" s="18"/>
      <c r="FD173" s="18"/>
      <c r="FE173" s="18"/>
      <c r="FF173" s="18"/>
      <c r="FG173" s="18"/>
      <c r="FH173" s="18"/>
      <c r="FI173" s="18"/>
      <c r="FJ173" s="18"/>
      <c r="FK173" s="18"/>
      <c r="FL173" s="18"/>
      <c r="FM173" s="18"/>
      <c r="FN173" s="18"/>
      <c r="FO173" s="18"/>
      <c r="FP173" s="18"/>
      <c r="FQ173" s="18"/>
      <c r="FR173" s="18"/>
      <c r="FS173" s="18"/>
      <c r="FT173" s="18"/>
      <c r="FU173" s="18"/>
      <c r="FV173" s="18"/>
      <c r="FW173" s="18"/>
      <c r="FX173" s="18"/>
      <c r="FY173" s="18"/>
      <c r="FZ173" s="18"/>
      <c r="GA173" s="18"/>
      <c r="GB173" s="18"/>
      <c r="GC173" s="18"/>
    </row>
    <row r="174" spans="1:185" ht="30" x14ac:dyDescent="0.25">
      <c r="A174" s="57" t="s">
        <v>108</v>
      </c>
      <c r="B174" s="21">
        <f>'2 уровень'!C286</f>
        <v>600</v>
      </c>
      <c r="C174" s="21">
        <f>'2 уровень'!D286</f>
        <v>250</v>
      </c>
      <c r="D174" s="21">
        <f>'2 уровень'!E286</f>
        <v>300</v>
      </c>
      <c r="E174" s="104">
        <f>'2 уровень'!F286</f>
        <v>120</v>
      </c>
      <c r="F174" s="31">
        <f>'2 уровень'!G286</f>
        <v>1272.306</v>
      </c>
      <c r="G174" s="31">
        <f>'2 уровень'!H286</f>
        <v>530.13</v>
      </c>
      <c r="H174" s="31">
        <f>'2 уровень'!I286</f>
        <v>630.85259999999994</v>
      </c>
      <c r="I174" s="31">
        <f>'2 уровень'!J286</f>
        <v>118.99960387074869</v>
      </c>
      <c r="J174" s="46"/>
      <c r="L174" s="381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  <c r="BA174" s="18"/>
      <c r="BB174" s="18"/>
      <c r="BC174" s="18"/>
      <c r="BD174" s="18"/>
      <c r="BE174" s="18"/>
      <c r="BF174" s="18"/>
      <c r="BG174" s="18"/>
      <c r="BH174" s="18"/>
      <c r="BI174" s="18"/>
      <c r="BJ174" s="18"/>
      <c r="BK174" s="18"/>
      <c r="BL174" s="18"/>
      <c r="BM174" s="18"/>
      <c r="BN174" s="18"/>
      <c r="BO174" s="18"/>
      <c r="BP174" s="18"/>
      <c r="BQ174" s="18"/>
      <c r="BR174" s="18"/>
      <c r="BS174" s="18"/>
      <c r="BT174" s="18"/>
      <c r="BU174" s="18"/>
      <c r="BV174" s="18"/>
      <c r="BW174" s="18"/>
      <c r="BX174" s="18"/>
      <c r="BY174" s="18"/>
      <c r="BZ174" s="18"/>
      <c r="CA174" s="18"/>
      <c r="CB174" s="18"/>
      <c r="CC174" s="18"/>
      <c r="CD174" s="18"/>
      <c r="CE174" s="18"/>
      <c r="CF174" s="18"/>
      <c r="CG174" s="18"/>
      <c r="CH174" s="18"/>
      <c r="CI174" s="18"/>
      <c r="CJ174" s="18"/>
      <c r="CK174" s="18"/>
      <c r="CL174" s="18"/>
      <c r="CM174" s="18"/>
      <c r="CN174" s="18"/>
      <c r="CO174" s="18"/>
      <c r="CP174" s="18"/>
      <c r="CQ174" s="18"/>
      <c r="CR174" s="18"/>
      <c r="CS174" s="18"/>
      <c r="CT174" s="18"/>
      <c r="CU174" s="18"/>
      <c r="CV174" s="18"/>
      <c r="CW174" s="18"/>
      <c r="CX174" s="18"/>
      <c r="CY174" s="18"/>
      <c r="CZ174" s="18"/>
      <c r="DA174" s="18"/>
      <c r="DB174" s="18"/>
      <c r="DC174" s="18"/>
      <c r="DD174" s="18"/>
      <c r="DE174" s="18"/>
      <c r="DF174" s="18"/>
      <c r="DG174" s="18"/>
      <c r="DH174" s="18"/>
      <c r="DI174" s="18"/>
      <c r="DJ174" s="18"/>
      <c r="DK174" s="18"/>
      <c r="DL174" s="18"/>
      <c r="DM174" s="18"/>
      <c r="DN174" s="18"/>
      <c r="DO174" s="18"/>
      <c r="DP174" s="18"/>
      <c r="DQ174" s="18"/>
      <c r="DR174" s="18"/>
      <c r="DS174" s="18"/>
      <c r="DT174" s="18"/>
      <c r="DU174" s="18"/>
      <c r="DV174" s="18"/>
      <c r="DW174" s="18"/>
      <c r="DX174" s="18"/>
      <c r="DY174" s="18"/>
      <c r="DZ174" s="18"/>
      <c r="EA174" s="18"/>
      <c r="EB174" s="18"/>
      <c r="EC174" s="18"/>
      <c r="ED174" s="18"/>
      <c r="EE174" s="18"/>
      <c r="EF174" s="18"/>
      <c r="EG174" s="18"/>
      <c r="EH174" s="18"/>
      <c r="EI174" s="18"/>
      <c r="EJ174" s="18"/>
      <c r="EK174" s="18"/>
      <c r="EL174" s="18"/>
      <c r="EM174" s="18"/>
      <c r="EN174" s="18"/>
      <c r="EO174" s="18"/>
      <c r="EP174" s="18"/>
      <c r="EQ174" s="18"/>
      <c r="ER174" s="18"/>
      <c r="ES174" s="18"/>
      <c r="ET174" s="18"/>
      <c r="EU174" s="18"/>
      <c r="EV174" s="18"/>
      <c r="EW174" s="18"/>
      <c r="EX174" s="18"/>
      <c r="EY174" s="18"/>
      <c r="EZ174" s="18"/>
      <c r="FA174" s="18"/>
      <c r="FB174" s="18"/>
      <c r="FC174" s="18"/>
      <c r="FD174" s="18"/>
      <c r="FE174" s="18"/>
      <c r="FF174" s="18"/>
      <c r="FG174" s="18"/>
      <c r="FH174" s="18"/>
      <c r="FI174" s="18"/>
      <c r="FJ174" s="18"/>
      <c r="FK174" s="18"/>
      <c r="FL174" s="18"/>
      <c r="FM174" s="18"/>
      <c r="FN174" s="18"/>
      <c r="FO174" s="18"/>
      <c r="FP174" s="18"/>
      <c r="FQ174" s="18"/>
      <c r="FR174" s="18"/>
      <c r="FS174" s="18"/>
      <c r="FT174" s="18"/>
      <c r="FU174" s="18"/>
      <c r="FV174" s="18"/>
      <c r="FW174" s="18"/>
      <c r="FX174" s="18"/>
      <c r="FY174" s="18"/>
      <c r="FZ174" s="18"/>
      <c r="GA174" s="18"/>
      <c r="GB174" s="18"/>
      <c r="GC174" s="18"/>
    </row>
    <row r="175" spans="1:185" ht="60" x14ac:dyDescent="0.25">
      <c r="A175" s="57" t="s">
        <v>81</v>
      </c>
      <c r="B175" s="21">
        <f>'2 уровень'!C287</f>
        <v>6200</v>
      </c>
      <c r="C175" s="21">
        <f>'2 уровень'!D287</f>
        <v>2583</v>
      </c>
      <c r="D175" s="21">
        <f>'2 уровень'!E287</f>
        <v>2585</v>
      </c>
      <c r="E175" s="104">
        <f>'2 уровень'!F287</f>
        <v>100.07742934572204</v>
      </c>
      <c r="F175" s="31">
        <f>'2 уровень'!G287</f>
        <v>17069.653999999999</v>
      </c>
      <c r="G175" s="31">
        <f>'2 уровень'!H287</f>
        <v>7112.36</v>
      </c>
      <c r="H175" s="31">
        <f>'2 уровень'!I287</f>
        <v>7013.4641500000007</v>
      </c>
      <c r="I175" s="31">
        <f>'2 уровень'!J287</f>
        <v>98.609521312194559</v>
      </c>
      <c r="J175" s="46"/>
      <c r="L175" s="381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  <c r="BA175" s="18"/>
      <c r="BB175" s="18"/>
      <c r="BC175" s="18"/>
      <c r="BD175" s="18"/>
      <c r="BE175" s="18"/>
      <c r="BF175" s="18"/>
      <c r="BG175" s="18"/>
      <c r="BH175" s="18"/>
      <c r="BI175" s="18"/>
      <c r="BJ175" s="18"/>
      <c r="BK175" s="18"/>
      <c r="BL175" s="18"/>
      <c r="BM175" s="18"/>
      <c r="BN175" s="18"/>
      <c r="BO175" s="18"/>
      <c r="BP175" s="18"/>
      <c r="BQ175" s="18"/>
      <c r="BR175" s="18"/>
      <c r="BS175" s="18"/>
      <c r="BT175" s="18"/>
      <c r="BU175" s="18"/>
      <c r="BV175" s="18"/>
      <c r="BW175" s="18"/>
      <c r="BX175" s="18"/>
      <c r="BY175" s="18"/>
      <c r="BZ175" s="18"/>
      <c r="CA175" s="18"/>
      <c r="CB175" s="18"/>
      <c r="CC175" s="18"/>
      <c r="CD175" s="18"/>
      <c r="CE175" s="18"/>
      <c r="CF175" s="18"/>
      <c r="CG175" s="18"/>
      <c r="CH175" s="18"/>
      <c r="CI175" s="18"/>
      <c r="CJ175" s="18"/>
      <c r="CK175" s="18"/>
      <c r="CL175" s="18"/>
      <c r="CM175" s="18"/>
      <c r="CN175" s="18"/>
      <c r="CO175" s="18"/>
      <c r="CP175" s="18"/>
      <c r="CQ175" s="18"/>
      <c r="CR175" s="18"/>
      <c r="CS175" s="18"/>
      <c r="CT175" s="18"/>
      <c r="CU175" s="18"/>
      <c r="CV175" s="18"/>
      <c r="CW175" s="18"/>
      <c r="CX175" s="18"/>
      <c r="CY175" s="18"/>
      <c r="CZ175" s="18"/>
      <c r="DA175" s="18"/>
      <c r="DB175" s="18"/>
      <c r="DC175" s="18"/>
      <c r="DD175" s="18"/>
      <c r="DE175" s="18"/>
      <c r="DF175" s="18"/>
      <c r="DG175" s="18"/>
      <c r="DH175" s="18"/>
      <c r="DI175" s="18"/>
      <c r="DJ175" s="18"/>
      <c r="DK175" s="18"/>
      <c r="DL175" s="18"/>
      <c r="DM175" s="18"/>
      <c r="DN175" s="18"/>
      <c r="DO175" s="18"/>
      <c r="DP175" s="18"/>
      <c r="DQ175" s="18"/>
      <c r="DR175" s="18"/>
      <c r="DS175" s="18"/>
      <c r="DT175" s="18"/>
      <c r="DU175" s="18"/>
      <c r="DV175" s="18"/>
      <c r="DW175" s="18"/>
      <c r="DX175" s="18"/>
      <c r="DY175" s="18"/>
      <c r="DZ175" s="18"/>
      <c r="EA175" s="18"/>
      <c r="EB175" s="18"/>
      <c r="EC175" s="18"/>
      <c r="ED175" s="18"/>
      <c r="EE175" s="18"/>
      <c r="EF175" s="18"/>
      <c r="EG175" s="18"/>
      <c r="EH175" s="18"/>
      <c r="EI175" s="18"/>
      <c r="EJ175" s="18"/>
      <c r="EK175" s="18"/>
      <c r="EL175" s="18"/>
      <c r="EM175" s="18"/>
      <c r="EN175" s="18"/>
      <c r="EO175" s="18"/>
      <c r="EP175" s="18"/>
      <c r="EQ175" s="18"/>
      <c r="ER175" s="18"/>
      <c r="ES175" s="18"/>
      <c r="ET175" s="18"/>
      <c r="EU175" s="18"/>
      <c r="EV175" s="18"/>
      <c r="EW175" s="18"/>
      <c r="EX175" s="18"/>
      <c r="EY175" s="18"/>
      <c r="EZ175" s="18"/>
      <c r="FA175" s="18"/>
      <c r="FB175" s="18"/>
      <c r="FC175" s="18"/>
      <c r="FD175" s="18"/>
      <c r="FE175" s="18"/>
      <c r="FF175" s="18"/>
      <c r="FG175" s="18"/>
      <c r="FH175" s="18"/>
      <c r="FI175" s="18"/>
      <c r="FJ175" s="18"/>
      <c r="FK175" s="18"/>
      <c r="FL175" s="18"/>
      <c r="FM175" s="18"/>
      <c r="FN175" s="18"/>
      <c r="FO175" s="18"/>
      <c r="FP175" s="18"/>
      <c r="FQ175" s="18"/>
      <c r="FR175" s="18"/>
      <c r="FS175" s="18"/>
      <c r="FT175" s="18"/>
      <c r="FU175" s="18"/>
      <c r="FV175" s="18"/>
      <c r="FW175" s="18"/>
      <c r="FX175" s="18"/>
      <c r="FY175" s="18"/>
      <c r="FZ175" s="18"/>
      <c r="GA175" s="18"/>
      <c r="GB175" s="18"/>
      <c r="GC175" s="18"/>
    </row>
    <row r="176" spans="1:185" ht="45" x14ac:dyDescent="0.25">
      <c r="A176" s="57" t="s">
        <v>109</v>
      </c>
      <c r="B176" s="21">
        <f>'2 уровень'!C288</f>
        <v>5374</v>
      </c>
      <c r="C176" s="21">
        <f>'2 уровень'!D288</f>
        <v>2239</v>
      </c>
      <c r="D176" s="21">
        <f>'2 уровень'!E288</f>
        <v>831</v>
      </c>
      <c r="E176" s="104">
        <f>'2 уровень'!F288</f>
        <v>37.114783385439928</v>
      </c>
      <c r="F176" s="31">
        <f>'2 уровень'!G288</f>
        <v>5267.3798399999996</v>
      </c>
      <c r="G176" s="31">
        <f>'2 уровень'!H288</f>
        <v>2194.7399999999998</v>
      </c>
      <c r="H176" s="31">
        <f>'2 уровень'!I288</f>
        <v>864.25969000000009</v>
      </c>
      <c r="I176" s="31">
        <f>'2 уровень'!J288</f>
        <v>39.378682212927281</v>
      </c>
      <c r="J176" s="46"/>
      <c r="L176" s="381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  <c r="BA176" s="18"/>
      <c r="BB176" s="18"/>
      <c r="BC176" s="18"/>
      <c r="BD176" s="18"/>
      <c r="BE176" s="18"/>
      <c r="BF176" s="18"/>
      <c r="BG176" s="18"/>
      <c r="BH176" s="18"/>
      <c r="BI176" s="18"/>
      <c r="BJ176" s="18"/>
      <c r="BK176" s="18"/>
      <c r="BL176" s="18"/>
      <c r="BM176" s="18"/>
      <c r="BN176" s="18"/>
      <c r="BO176" s="18"/>
      <c r="BP176" s="18"/>
      <c r="BQ176" s="18"/>
      <c r="BR176" s="18"/>
      <c r="BS176" s="18"/>
      <c r="BT176" s="18"/>
      <c r="BU176" s="18"/>
      <c r="BV176" s="18"/>
      <c r="BW176" s="18"/>
      <c r="BX176" s="18"/>
      <c r="BY176" s="18"/>
      <c r="BZ176" s="18"/>
      <c r="CA176" s="18"/>
      <c r="CB176" s="18"/>
      <c r="CC176" s="18"/>
      <c r="CD176" s="18"/>
      <c r="CE176" s="18"/>
      <c r="CF176" s="18"/>
      <c r="CG176" s="18"/>
      <c r="CH176" s="18"/>
      <c r="CI176" s="18"/>
      <c r="CJ176" s="18"/>
      <c r="CK176" s="18"/>
      <c r="CL176" s="18"/>
      <c r="CM176" s="18"/>
      <c r="CN176" s="18"/>
      <c r="CO176" s="18"/>
      <c r="CP176" s="18"/>
      <c r="CQ176" s="18"/>
      <c r="CR176" s="18"/>
      <c r="CS176" s="18"/>
      <c r="CT176" s="18"/>
      <c r="CU176" s="18"/>
      <c r="CV176" s="18"/>
      <c r="CW176" s="18"/>
      <c r="CX176" s="18"/>
      <c r="CY176" s="18"/>
      <c r="CZ176" s="18"/>
      <c r="DA176" s="18"/>
      <c r="DB176" s="18"/>
      <c r="DC176" s="18"/>
      <c r="DD176" s="18"/>
      <c r="DE176" s="18"/>
      <c r="DF176" s="18"/>
      <c r="DG176" s="18"/>
      <c r="DH176" s="18"/>
      <c r="DI176" s="18"/>
      <c r="DJ176" s="18"/>
      <c r="DK176" s="18"/>
      <c r="DL176" s="18"/>
      <c r="DM176" s="18"/>
      <c r="DN176" s="18"/>
      <c r="DO176" s="18"/>
      <c r="DP176" s="18"/>
      <c r="DQ176" s="18"/>
      <c r="DR176" s="18"/>
      <c r="DS176" s="18"/>
      <c r="DT176" s="18"/>
      <c r="DU176" s="18"/>
      <c r="DV176" s="18"/>
      <c r="DW176" s="18"/>
      <c r="DX176" s="18"/>
      <c r="DY176" s="18"/>
      <c r="DZ176" s="18"/>
      <c r="EA176" s="18"/>
      <c r="EB176" s="18"/>
      <c r="EC176" s="18"/>
      <c r="ED176" s="18"/>
      <c r="EE176" s="18"/>
      <c r="EF176" s="18"/>
      <c r="EG176" s="18"/>
      <c r="EH176" s="18"/>
      <c r="EI176" s="18"/>
      <c r="EJ176" s="18"/>
      <c r="EK176" s="18"/>
      <c r="EL176" s="18"/>
      <c r="EM176" s="18"/>
      <c r="EN176" s="18"/>
      <c r="EO176" s="18"/>
      <c r="EP176" s="18"/>
      <c r="EQ176" s="18"/>
      <c r="ER176" s="18"/>
      <c r="ES176" s="18"/>
      <c r="ET176" s="18"/>
      <c r="EU176" s="18"/>
      <c r="EV176" s="18"/>
      <c r="EW176" s="18"/>
      <c r="EX176" s="18"/>
      <c r="EY176" s="18"/>
      <c r="EZ176" s="18"/>
      <c r="FA176" s="18"/>
      <c r="FB176" s="18"/>
      <c r="FC176" s="18"/>
      <c r="FD176" s="18"/>
      <c r="FE176" s="18"/>
      <c r="FF176" s="18"/>
      <c r="FG176" s="18"/>
      <c r="FH176" s="18"/>
      <c r="FI176" s="18"/>
      <c r="FJ176" s="18"/>
      <c r="FK176" s="18"/>
      <c r="FL176" s="18"/>
      <c r="FM176" s="18"/>
      <c r="FN176" s="18"/>
      <c r="FO176" s="18"/>
      <c r="FP176" s="18"/>
      <c r="FQ176" s="18"/>
      <c r="FR176" s="18"/>
      <c r="FS176" s="18"/>
      <c r="FT176" s="18"/>
      <c r="FU176" s="18"/>
      <c r="FV176" s="18"/>
      <c r="FW176" s="18"/>
      <c r="FX176" s="18"/>
      <c r="FY176" s="18"/>
      <c r="FZ176" s="18"/>
      <c r="GA176" s="18"/>
      <c r="GB176" s="18"/>
      <c r="GC176" s="18"/>
    </row>
    <row r="177" spans="1:185" ht="30" x14ac:dyDescent="0.25">
      <c r="A177" s="57" t="s">
        <v>123</v>
      </c>
      <c r="B177" s="21">
        <f>'2 уровень'!C289</f>
        <v>24500</v>
      </c>
      <c r="C177" s="21">
        <f>'2 уровень'!D289</f>
        <v>10208</v>
      </c>
      <c r="D177" s="21">
        <f>'2 уровень'!E289</f>
        <v>10445</v>
      </c>
      <c r="E177" s="104">
        <f>'2 уровень'!F289</f>
        <v>102.32170846394983</v>
      </c>
      <c r="F177" s="31">
        <f>'2 уровень'!G289</f>
        <v>23843.89</v>
      </c>
      <c r="G177" s="31">
        <f>'2 уровень'!H289</f>
        <v>9934.9500000000007</v>
      </c>
      <c r="H177" s="31">
        <f>'2 уровень'!I289</f>
        <v>10089.24193</v>
      </c>
      <c r="I177" s="31">
        <f>'2 уровень'!J289</f>
        <v>101.55302170619882</v>
      </c>
      <c r="J177" s="46"/>
      <c r="K177" s="46"/>
      <c r="L177" s="46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  <c r="BA177" s="18"/>
      <c r="BB177" s="18"/>
      <c r="BC177" s="18"/>
      <c r="BD177" s="18"/>
      <c r="BE177" s="18"/>
      <c r="BF177" s="18"/>
      <c r="BG177" s="18"/>
      <c r="BH177" s="18"/>
      <c r="BI177" s="18"/>
      <c r="BJ177" s="18"/>
      <c r="BK177" s="18"/>
      <c r="BL177" s="18"/>
      <c r="BM177" s="18"/>
      <c r="BN177" s="18"/>
      <c r="BO177" s="18"/>
      <c r="BP177" s="18"/>
      <c r="BQ177" s="18"/>
      <c r="BR177" s="18"/>
      <c r="BS177" s="18"/>
      <c r="BT177" s="18"/>
      <c r="BU177" s="18"/>
      <c r="BV177" s="18"/>
      <c r="BW177" s="18"/>
      <c r="BX177" s="18"/>
      <c r="BY177" s="18"/>
      <c r="BZ177" s="18"/>
      <c r="CA177" s="18"/>
      <c r="CB177" s="18"/>
      <c r="CC177" s="18"/>
      <c r="CD177" s="18"/>
      <c r="CE177" s="18"/>
      <c r="CF177" s="18"/>
      <c r="CG177" s="18"/>
      <c r="CH177" s="18"/>
      <c r="CI177" s="18"/>
      <c r="CJ177" s="18"/>
      <c r="CK177" s="18"/>
      <c r="CL177" s="18"/>
      <c r="CM177" s="18"/>
      <c r="CN177" s="18"/>
      <c r="CO177" s="18"/>
      <c r="CP177" s="18"/>
      <c r="CQ177" s="18"/>
      <c r="CR177" s="18"/>
      <c r="CS177" s="18"/>
      <c r="CT177" s="18"/>
      <c r="CU177" s="18"/>
      <c r="CV177" s="18"/>
      <c r="CW177" s="18"/>
      <c r="CX177" s="18"/>
      <c r="CY177" s="18"/>
      <c r="CZ177" s="18"/>
      <c r="DA177" s="18"/>
      <c r="DB177" s="18"/>
      <c r="DC177" s="18"/>
      <c r="DD177" s="18"/>
      <c r="DE177" s="18"/>
      <c r="DF177" s="18"/>
      <c r="DG177" s="18"/>
      <c r="DH177" s="18"/>
      <c r="DI177" s="18"/>
      <c r="DJ177" s="18"/>
      <c r="DK177" s="18"/>
      <c r="DL177" s="18"/>
      <c r="DM177" s="18"/>
      <c r="DN177" s="18"/>
      <c r="DO177" s="18"/>
      <c r="DP177" s="18"/>
      <c r="DQ177" s="18"/>
      <c r="DR177" s="18"/>
      <c r="DS177" s="18"/>
      <c r="DT177" s="18"/>
      <c r="DU177" s="18"/>
      <c r="DV177" s="18"/>
      <c r="DW177" s="18"/>
      <c r="DX177" s="18"/>
      <c r="DY177" s="18"/>
      <c r="DZ177" s="18"/>
      <c r="EA177" s="18"/>
      <c r="EB177" s="18"/>
      <c r="EC177" s="18"/>
      <c r="ED177" s="18"/>
      <c r="EE177" s="18"/>
      <c r="EF177" s="18"/>
      <c r="EG177" s="18"/>
      <c r="EH177" s="18"/>
      <c r="EI177" s="18"/>
      <c r="EJ177" s="18"/>
      <c r="EK177" s="18"/>
      <c r="EL177" s="18"/>
      <c r="EM177" s="18"/>
      <c r="EN177" s="18"/>
      <c r="EO177" s="18"/>
      <c r="EP177" s="18"/>
      <c r="EQ177" s="18"/>
      <c r="ER177" s="18"/>
      <c r="ES177" s="18"/>
      <c r="ET177" s="18"/>
      <c r="EU177" s="18"/>
      <c r="EV177" s="18"/>
      <c r="EW177" s="18"/>
      <c r="EX177" s="18"/>
      <c r="EY177" s="18"/>
      <c r="EZ177" s="18"/>
      <c r="FA177" s="18"/>
      <c r="FB177" s="18"/>
      <c r="FC177" s="18"/>
      <c r="FD177" s="18"/>
      <c r="FE177" s="18"/>
      <c r="FF177" s="18"/>
      <c r="FG177" s="18"/>
      <c r="FH177" s="18"/>
      <c r="FI177" s="18"/>
      <c r="FJ177" s="18"/>
      <c r="FK177" s="18"/>
      <c r="FL177" s="18"/>
      <c r="FM177" s="18"/>
      <c r="FN177" s="18"/>
      <c r="FO177" s="18"/>
      <c r="FP177" s="18"/>
      <c r="FQ177" s="18"/>
      <c r="FR177" s="18"/>
      <c r="FS177" s="18"/>
      <c r="FT177" s="18"/>
      <c r="FU177" s="18"/>
      <c r="FV177" s="18"/>
      <c r="FW177" s="18"/>
      <c r="FX177" s="18"/>
      <c r="FY177" s="18"/>
      <c r="FZ177" s="18"/>
      <c r="GA177" s="18"/>
      <c r="GB177" s="18"/>
      <c r="GC177" s="18"/>
    </row>
    <row r="178" spans="1:185" ht="30" x14ac:dyDescent="0.25">
      <c r="A178" s="57" t="s">
        <v>124</v>
      </c>
      <c r="B178" s="21">
        <f>'2 уровень'!C290</f>
        <v>2200</v>
      </c>
      <c r="C178" s="21">
        <f>'2 уровень'!D290</f>
        <v>917</v>
      </c>
      <c r="D178" s="21">
        <f>'2 уровень'!E290</f>
        <v>309</v>
      </c>
      <c r="E178" s="104">
        <f>'2 уровень'!F290</f>
        <v>33.696837513631408</v>
      </c>
      <c r="F178" s="31">
        <f>'2 уровень'!G290</f>
        <v>2141.0839999999998</v>
      </c>
      <c r="G178" s="31">
        <f>'2 уровень'!H290</f>
        <v>892.12</v>
      </c>
      <c r="H178" s="31">
        <f>'2 уровень'!I290</f>
        <v>299.74019999999996</v>
      </c>
      <c r="I178" s="31">
        <f>'2 уровень'!J290</f>
        <v>33.598641438371516</v>
      </c>
      <c r="J178" s="46"/>
      <c r="K178" s="46"/>
      <c r="L178" s="46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  <c r="BA178" s="18"/>
      <c r="BB178" s="18"/>
      <c r="BC178" s="18"/>
      <c r="BD178" s="18"/>
      <c r="BE178" s="18"/>
      <c r="BF178" s="18"/>
      <c r="BG178" s="18"/>
      <c r="BH178" s="18"/>
      <c r="BI178" s="18"/>
      <c r="BJ178" s="18"/>
      <c r="BK178" s="18"/>
      <c r="BL178" s="18"/>
      <c r="BM178" s="18"/>
      <c r="BN178" s="18"/>
      <c r="BO178" s="18"/>
      <c r="BP178" s="18"/>
      <c r="BQ178" s="18"/>
      <c r="BR178" s="18"/>
      <c r="BS178" s="18"/>
      <c r="BT178" s="18"/>
      <c r="BU178" s="18"/>
      <c r="BV178" s="18"/>
      <c r="BW178" s="18"/>
      <c r="BX178" s="18"/>
      <c r="BY178" s="18"/>
      <c r="BZ178" s="18"/>
      <c r="CA178" s="18"/>
      <c r="CB178" s="18"/>
      <c r="CC178" s="18"/>
      <c r="CD178" s="18"/>
      <c r="CE178" s="18"/>
      <c r="CF178" s="18"/>
      <c r="CG178" s="18"/>
      <c r="CH178" s="18"/>
      <c r="CI178" s="18"/>
      <c r="CJ178" s="18"/>
      <c r="CK178" s="18"/>
      <c r="CL178" s="18"/>
      <c r="CM178" s="18"/>
      <c r="CN178" s="18"/>
      <c r="CO178" s="18"/>
      <c r="CP178" s="18"/>
      <c r="CQ178" s="18"/>
      <c r="CR178" s="18"/>
      <c r="CS178" s="18"/>
      <c r="CT178" s="18"/>
      <c r="CU178" s="18"/>
      <c r="CV178" s="18"/>
      <c r="CW178" s="18"/>
      <c r="CX178" s="18"/>
      <c r="CY178" s="18"/>
      <c r="CZ178" s="18"/>
      <c r="DA178" s="18"/>
      <c r="DB178" s="18"/>
      <c r="DC178" s="18"/>
      <c r="DD178" s="18"/>
      <c r="DE178" s="18"/>
      <c r="DF178" s="18"/>
      <c r="DG178" s="18"/>
      <c r="DH178" s="18"/>
      <c r="DI178" s="18"/>
      <c r="DJ178" s="18"/>
      <c r="DK178" s="18"/>
      <c r="DL178" s="18"/>
      <c r="DM178" s="18"/>
      <c r="DN178" s="18"/>
      <c r="DO178" s="18"/>
      <c r="DP178" s="18"/>
      <c r="DQ178" s="18"/>
      <c r="DR178" s="18"/>
      <c r="DS178" s="18"/>
      <c r="DT178" s="18"/>
      <c r="DU178" s="18"/>
      <c r="DV178" s="18"/>
      <c r="DW178" s="18"/>
      <c r="DX178" s="18"/>
      <c r="DY178" s="18"/>
      <c r="DZ178" s="18"/>
      <c r="EA178" s="18"/>
      <c r="EB178" s="18"/>
      <c r="EC178" s="18"/>
      <c r="ED178" s="18"/>
      <c r="EE178" s="18"/>
      <c r="EF178" s="18"/>
      <c r="EG178" s="18"/>
      <c r="EH178" s="18"/>
      <c r="EI178" s="18"/>
      <c r="EJ178" s="18"/>
      <c r="EK178" s="18"/>
      <c r="EL178" s="18"/>
      <c r="EM178" s="18"/>
      <c r="EN178" s="18"/>
      <c r="EO178" s="18"/>
      <c r="EP178" s="18"/>
      <c r="EQ178" s="18"/>
      <c r="ER178" s="18"/>
      <c r="ES178" s="18"/>
      <c r="ET178" s="18"/>
      <c r="EU178" s="18"/>
      <c r="EV178" s="18"/>
      <c r="EW178" s="18"/>
      <c r="EX178" s="18"/>
      <c r="EY178" s="18"/>
      <c r="EZ178" s="18"/>
      <c r="FA178" s="18"/>
      <c r="FB178" s="18"/>
      <c r="FC178" s="18"/>
      <c r="FD178" s="18"/>
      <c r="FE178" s="18"/>
      <c r="FF178" s="18"/>
      <c r="FG178" s="18"/>
      <c r="FH178" s="18"/>
      <c r="FI178" s="18"/>
      <c r="FJ178" s="18"/>
      <c r="FK178" s="18"/>
      <c r="FL178" s="18"/>
      <c r="FM178" s="18"/>
      <c r="FN178" s="18"/>
      <c r="FO178" s="18"/>
      <c r="FP178" s="18"/>
      <c r="FQ178" s="18"/>
      <c r="FR178" s="18"/>
      <c r="FS178" s="18"/>
      <c r="FT178" s="18"/>
      <c r="FU178" s="18"/>
      <c r="FV178" s="18"/>
      <c r="FW178" s="18"/>
      <c r="FX178" s="18"/>
      <c r="FY178" s="18"/>
      <c r="FZ178" s="18"/>
      <c r="GA178" s="18"/>
      <c r="GB178" s="18"/>
      <c r="GC178" s="18"/>
    </row>
    <row r="179" spans="1:185" ht="30" x14ac:dyDescent="0.25">
      <c r="A179" s="57" t="s">
        <v>125</v>
      </c>
      <c r="B179" s="21">
        <f>'2 уровень'!C291</f>
        <v>0</v>
      </c>
      <c r="C179" s="21">
        <f>'2 уровень'!D291</f>
        <v>0</v>
      </c>
      <c r="D179" s="21">
        <f>'2 уровень'!E291</f>
        <v>0</v>
      </c>
      <c r="E179" s="104">
        <f>'2 уровень'!F291</f>
        <v>0</v>
      </c>
      <c r="F179" s="31">
        <f>'2 уровень'!G291</f>
        <v>0</v>
      </c>
      <c r="G179" s="31">
        <f>'2 уровень'!H291</f>
        <v>0</v>
      </c>
      <c r="H179" s="31">
        <f>'2 уровень'!I291</f>
        <v>0</v>
      </c>
      <c r="I179" s="31">
        <f>'2 уровень'!J291</f>
        <v>0</v>
      </c>
      <c r="J179" s="46"/>
      <c r="K179" s="46"/>
      <c r="L179" s="46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  <c r="BA179" s="18"/>
      <c r="BB179" s="18"/>
      <c r="BC179" s="18"/>
      <c r="BD179" s="18"/>
      <c r="BE179" s="18"/>
      <c r="BF179" s="18"/>
      <c r="BG179" s="18"/>
      <c r="BH179" s="18"/>
      <c r="BI179" s="18"/>
      <c r="BJ179" s="18"/>
      <c r="BK179" s="18"/>
      <c r="BL179" s="18"/>
      <c r="BM179" s="18"/>
      <c r="BN179" s="18"/>
      <c r="BO179" s="18"/>
      <c r="BP179" s="18"/>
      <c r="BQ179" s="18"/>
      <c r="BR179" s="18"/>
      <c r="BS179" s="18"/>
      <c r="BT179" s="18"/>
      <c r="BU179" s="18"/>
      <c r="BV179" s="18"/>
      <c r="BW179" s="18"/>
      <c r="BX179" s="18"/>
      <c r="BY179" s="18"/>
      <c r="BZ179" s="18"/>
      <c r="CA179" s="18"/>
      <c r="CB179" s="18"/>
      <c r="CC179" s="18"/>
      <c r="CD179" s="18"/>
      <c r="CE179" s="18"/>
      <c r="CF179" s="18"/>
      <c r="CG179" s="18"/>
      <c r="CH179" s="18"/>
      <c r="CI179" s="18"/>
      <c r="CJ179" s="18"/>
      <c r="CK179" s="18"/>
      <c r="CL179" s="18"/>
      <c r="CM179" s="18"/>
      <c r="CN179" s="18"/>
      <c r="CO179" s="18"/>
      <c r="CP179" s="18"/>
      <c r="CQ179" s="18"/>
      <c r="CR179" s="18"/>
      <c r="CS179" s="18"/>
      <c r="CT179" s="18"/>
      <c r="CU179" s="18"/>
      <c r="CV179" s="18"/>
      <c r="CW179" s="18"/>
      <c r="CX179" s="18"/>
      <c r="CY179" s="18"/>
      <c r="CZ179" s="18"/>
      <c r="DA179" s="18"/>
      <c r="DB179" s="18"/>
      <c r="DC179" s="18"/>
      <c r="DD179" s="18"/>
      <c r="DE179" s="18"/>
      <c r="DF179" s="18"/>
      <c r="DG179" s="18"/>
      <c r="DH179" s="18"/>
      <c r="DI179" s="18"/>
      <c r="DJ179" s="18"/>
      <c r="DK179" s="18"/>
      <c r="DL179" s="18"/>
      <c r="DM179" s="18"/>
      <c r="DN179" s="18"/>
      <c r="DO179" s="18"/>
      <c r="DP179" s="18"/>
      <c r="DQ179" s="18"/>
      <c r="DR179" s="18"/>
      <c r="DS179" s="18"/>
      <c r="DT179" s="18"/>
      <c r="DU179" s="18"/>
      <c r="DV179" s="18"/>
      <c r="DW179" s="18"/>
      <c r="DX179" s="18"/>
      <c r="DY179" s="18"/>
      <c r="DZ179" s="18"/>
      <c r="EA179" s="18"/>
      <c r="EB179" s="18"/>
      <c r="EC179" s="18"/>
      <c r="ED179" s="18"/>
      <c r="EE179" s="18"/>
      <c r="EF179" s="18"/>
      <c r="EG179" s="18"/>
      <c r="EH179" s="18"/>
      <c r="EI179" s="18"/>
      <c r="EJ179" s="18"/>
      <c r="EK179" s="18"/>
      <c r="EL179" s="18"/>
      <c r="EM179" s="18"/>
      <c r="EN179" s="18"/>
      <c r="EO179" s="18"/>
      <c r="EP179" s="18"/>
      <c r="EQ179" s="18"/>
      <c r="ER179" s="18"/>
      <c r="ES179" s="18"/>
      <c r="ET179" s="18"/>
      <c r="EU179" s="18"/>
      <c r="EV179" s="18"/>
      <c r="EW179" s="18"/>
      <c r="EX179" s="18"/>
      <c r="EY179" s="18"/>
      <c r="EZ179" s="18"/>
      <c r="FA179" s="18"/>
      <c r="FB179" s="18"/>
      <c r="FC179" s="18"/>
      <c r="FD179" s="18"/>
      <c r="FE179" s="18"/>
      <c r="FF179" s="18"/>
      <c r="FG179" s="18"/>
      <c r="FH179" s="18"/>
      <c r="FI179" s="18"/>
      <c r="FJ179" s="18"/>
      <c r="FK179" s="18"/>
      <c r="FL179" s="18"/>
      <c r="FM179" s="18"/>
      <c r="FN179" s="18"/>
      <c r="FO179" s="18"/>
      <c r="FP179" s="18"/>
      <c r="FQ179" s="18"/>
      <c r="FR179" s="18"/>
      <c r="FS179" s="18"/>
      <c r="FT179" s="18"/>
      <c r="FU179" s="18"/>
      <c r="FV179" s="18"/>
      <c r="FW179" s="18"/>
      <c r="FX179" s="18"/>
      <c r="FY179" s="18"/>
      <c r="FZ179" s="18"/>
      <c r="GA179" s="18"/>
      <c r="GB179" s="18"/>
      <c r="GC179" s="18"/>
    </row>
    <row r="180" spans="1:185" ht="15.75" thickBot="1" x14ac:dyDescent="0.3">
      <c r="A180" s="53" t="s">
        <v>4</v>
      </c>
      <c r="B180" s="21">
        <f>'2 уровень'!C292</f>
        <v>0</v>
      </c>
      <c r="C180" s="21">
        <f>'2 уровень'!D292</f>
        <v>0</v>
      </c>
      <c r="D180" s="21">
        <f>'2 уровень'!E292</f>
        <v>0</v>
      </c>
      <c r="E180" s="104">
        <f>'2 уровень'!F292</f>
        <v>0</v>
      </c>
      <c r="F180" s="31">
        <f>'2 уровень'!G292</f>
        <v>59815.193630000002</v>
      </c>
      <c r="G180" s="31">
        <f>'2 уровень'!H292</f>
        <v>24923</v>
      </c>
      <c r="H180" s="31">
        <f>'2 уровень'!I292</f>
        <v>24807.92582</v>
      </c>
      <c r="I180" s="31">
        <f>'2 уровень'!J292</f>
        <v>99.538281186053041</v>
      </c>
      <c r="J180" s="46"/>
      <c r="L180" s="381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  <c r="BA180" s="18"/>
      <c r="BB180" s="18"/>
      <c r="BC180" s="18"/>
      <c r="BD180" s="18"/>
      <c r="BE180" s="18"/>
      <c r="BF180" s="18"/>
      <c r="BG180" s="18"/>
      <c r="BH180" s="18"/>
      <c r="BI180" s="18"/>
      <c r="BJ180" s="18"/>
      <c r="BK180" s="18"/>
      <c r="BL180" s="18"/>
      <c r="BM180" s="18"/>
      <c r="BN180" s="18"/>
      <c r="BO180" s="18"/>
      <c r="BP180" s="18"/>
      <c r="BQ180" s="18"/>
      <c r="BR180" s="18"/>
      <c r="BS180" s="18"/>
      <c r="BT180" s="18"/>
      <c r="BU180" s="18"/>
      <c r="BV180" s="18"/>
      <c r="BW180" s="18"/>
      <c r="BX180" s="18"/>
      <c r="BY180" s="18"/>
      <c r="BZ180" s="18"/>
      <c r="CA180" s="18"/>
      <c r="CB180" s="18"/>
      <c r="CC180" s="18"/>
      <c r="CD180" s="18"/>
      <c r="CE180" s="18"/>
      <c r="CF180" s="18"/>
      <c r="CG180" s="18"/>
      <c r="CH180" s="18"/>
      <c r="CI180" s="18"/>
      <c r="CJ180" s="18"/>
      <c r="CK180" s="18"/>
      <c r="CL180" s="18"/>
      <c r="CM180" s="18"/>
      <c r="CN180" s="18"/>
      <c r="CO180" s="18"/>
      <c r="CP180" s="18"/>
      <c r="CQ180" s="18"/>
      <c r="CR180" s="18"/>
      <c r="CS180" s="18"/>
      <c r="CT180" s="18"/>
      <c r="CU180" s="18"/>
      <c r="CV180" s="18"/>
      <c r="CW180" s="18"/>
      <c r="CX180" s="18"/>
      <c r="CY180" s="18"/>
      <c r="CZ180" s="18"/>
      <c r="DA180" s="18"/>
      <c r="DB180" s="18"/>
      <c r="DC180" s="18"/>
      <c r="DD180" s="18"/>
      <c r="DE180" s="18"/>
      <c r="DF180" s="18"/>
      <c r="DG180" s="18"/>
      <c r="DH180" s="18"/>
      <c r="DI180" s="18"/>
      <c r="DJ180" s="18"/>
      <c r="DK180" s="18"/>
      <c r="DL180" s="18"/>
      <c r="DM180" s="18"/>
      <c r="DN180" s="18"/>
      <c r="DO180" s="18"/>
      <c r="DP180" s="18"/>
      <c r="DQ180" s="18"/>
      <c r="DR180" s="18"/>
      <c r="DS180" s="18"/>
      <c r="DT180" s="18"/>
      <c r="DU180" s="18"/>
      <c r="DV180" s="18"/>
      <c r="DW180" s="18"/>
      <c r="DX180" s="18"/>
      <c r="DY180" s="18"/>
      <c r="DZ180" s="18"/>
      <c r="EA180" s="18"/>
      <c r="EB180" s="18"/>
      <c r="EC180" s="18"/>
      <c r="ED180" s="18"/>
      <c r="EE180" s="18"/>
      <c r="EF180" s="18"/>
      <c r="EG180" s="18"/>
      <c r="EH180" s="18"/>
      <c r="EI180" s="18"/>
      <c r="EJ180" s="18"/>
      <c r="EK180" s="18"/>
      <c r="EL180" s="18"/>
      <c r="EM180" s="18"/>
      <c r="EN180" s="18"/>
      <c r="EO180" s="18"/>
      <c r="EP180" s="18"/>
      <c r="EQ180" s="18"/>
      <c r="ER180" s="18"/>
      <c r="ES180" s="18"/>
      <c r="ET180" s="18"/>
      <c r="EU180" s="18"/>
      <c r="EV180" s="18"/>
      <c r="EW180" s="18"/>
      <c r="EX180" s="18"/>
      <c r="EY180" s="18"/>
      <c r="EZ180" s="18"/>
      <c r="FA180" s="18"/>
      <c r="FB180" s="18"/>
      <c r="FC180" s="18"/>
      <c r="FD180" s="18"/>
      <c r="FE180" s="18"/>
      <c r="FF180" s="18"/>
      <c r="FG180" s="18"/>
      <c r="FH180" s="18"/>
      <c r="FI180" s="18"/>
      <c r="FJ180" s="18"/>
      <c r="FK180" s="18"/>
      <c r="FL180" s="18"/>
      <c r="FM180" s="18"/>
      <c r="FN180" s="18"/>
      <c r="FO180" s="18"/>
      <c r="FP180" s="18"/>
      <c r="FQ180" s="18"/>
      <c r="FR180" s="18"/>
      <c r="FS180" s="18"/>
      <c r="FT180" s="18"/>
      <c r="FU180" s="18"/>
      <c r="FV180" s="18"/>
      <c r="FW180" s="18"/>
      <c r="FX180" s="18"/>
      <c r="FY180" s="18"/>
      <c r="FZ180" s="18"/>
      <c r="GA180" s="18"/>
      <c r="GB180" s="18"/>
      <c r="GC180" s="18"/>
    </row>
    <row r="181" spans="1:185" ht="15" customHeight="1" x14ac:dyDescent="0.25">
      <c r="A181" s="39" t="s">
        <v>27</v>
      </c>
      <c r="B181" s="40"/>
      <c r="C181" s="40"/>
      <c r="D181" s="40"/>
      <c r="E181" s="107"/>
      <c r="F181" s="41"/>
      <c r="G181" s="41"/>
      <c r="H181" s="41"/>
      <c r="I181" s="41"/>
      <c r="J181" s="46"/>
      <c r="L181" s="381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18"/>
      <c r="BU181" s="18"/>
      <c r="BV181" s="18"/>
      <c r="BW181" s="18"/>
      <c r="BX181" s="18"/>
      <c r="BY181" s="18"/>
      <c r="BZ181" s="18"/>
      <c r="CA181" s="18"/>
      <c r="CB181" s="18"/>
      <c r="CC181" s="18"/>
      <c r="CD181" s="18"/>
      <c r="CE181" s="18"/>
      <c r="CF181" s="18"/>
      <c r="CG181" s="18"/>
      <c r="CH181" s="18"/>
      <c r="CI181" s="18"/>
      <c r="CJ181" s="18"/>
      <c r="CK181" s="18"/>
      <c r="CL181" s="18"/>
      <c r="CM181" s="18"/>
      <c r="CN181" s="18"/>
      <c r="CO181" s="18"/>
      <c r="CP181" s="18"/>
      <c r="CQ181" s="18"/>
      <c r="CR181" s="18"/>
      <c r="CS181" s="18"/>
      <c r="CT181" s="18"/>
      <c r="CU181" s="18"/>
      <c r="CV181" s="18"/>
      <c r="CW181" s="18"/>
      <c r="CX181" s="18"/>
      <c r="CY181" s="18"/>
      <c r="CZ181" s="18"/>
      <c r="DA181" s="18"/>
      <c r="DB181" s="18"/>
      <c r="DC181" s="18"/>
      <c r="DD181" s="18"/>
      <c r="DE181" s="18"/>
      <c r="DF181" s="18"/>
      <c r="DG181" s="18"/>
      <c r="DH181" s="18"/>
      <c r="DI181" s="18"/>
      <c r="DJ181" s="18"/>
      <c r="DK181" s="18"/>
      <c r="DL181" s="18"/>
      <c r="DM181" s="18"/>
      <c r="DN181" s="18"/>
      <c r="DO181" s="18"/>
      <c r="DP181" s="18"/>
      <c r="DQ181" s="18"/>
      <c r="DR181" s="18"/>
      <c r="DS181" s="18"/>
      <c r="DT181" s="18"/>
      <c r="DU181" s="18"/>
      <c r="DV181" s="18"/>
      <c r="DW181" s="18"/>
      <c r="DX181" s="18"/>
      <c r="DY181" s="18"/>
      <c r="DZ181" s="18"/>
      <c r="EA181" s="18"/>
      <c r="EB181" s="18"/>
      <c r="EC181" s="18"/>
      <c r="ED181" s="18"/>
      <c r="EE181" s="18"/>
      <c r="EF181" s="18"/>
      <c r="EG181" s="18"/>
      <c r="EH181" s="18"/>
      <c r="EI181" s="18"/>
      <c r="EJ181" s="18"/>
      <c r="EK181" s="18"/>
      <c r="EL181" s="18"/>
      <c r="EM181" s="18"/>
      <c r="EN181" s="18"/>
      <c r="EO181" s="18"/>
      <c r="EP181" s="18"/>
      <c r="EQ181" s="18"/>
      <c r="ER181" s="18"/>
      <c r="ES181" s="18"/>
      <c r="ET181" s="18"/>
      <c r="EU181" s="18"/>
      <c r="EV181" s="18"/>
      <c r="EW181" s="18"/>
      <c r="EX181" s="18"/>
      <c r="EY181" s="18"/>
      <c r="EZ181" s="18"/>
      <c r="FA181" s="18"/>
      <c r="FB181" s="18"/>
      <c r="FC181" s="18"/>
      <c r="FD181" s="18"/>
      <c r="FE181" s="18"/>
      <c r="FF181" s="18"/>
      <c r="FG181" s="18"/>
      <c r="FH181" s="18"/>
      <c r="FI181" s="18"/>
      <c r="FJ181" s="18"/>
      <c r="FK181" s="18"/>
      <c r="FL181" s="18"/>
      <c r="FM181" s="18"/>
      <c r="FN181" s="18"/>
      <c r="FO181" s="18"/>
      <c r="FP181" s="18"/>
      <c r="FQ181" s="18"/>
      <c r="FR181" s="18"/>
      <c r="FS181" s="18"/>
      <c r="FT181" s="18"/>
      <c r="FU181" s="18"/>
      <c r="FV181" s="18"/>
      <c r="FW181" s="18"/>
      <c r="FX181" s="18"/>
      <c r="FY181" s="18"/>
      <c r="FZ181" s="18"/>
      <c r="GA181" s="18"/>
      <c r="GB181" s="18"/>
      <c r="GC181" s="18"/>
    </row>
    <row r="182" spans="1:185" ht="30" x14ac:dyDescent="0.25">
      <c r="A182" s="229" t="s">
        <v>120</v>
      </c>
      <c r="B182" s="226">
        <f>'2 уровень'!C308</f>
        <v>4861</v>
      </c>
      <c r="C182" s="226">
        <f>'2 уровень'!D308</f>
        <v>2025</v>
      </c>
      <c r="D182" s="226">
        <f>'2 уровень'!E308</f>
        <v>1798</v>
      </c>
      <c r="E182" s="227">
        <f>'2 уровень'!F308</f>
        <v>88.790123456790127</v>
      </c>
      <c r="F182" s="230">
        <f>'2 уровень'!G308</f>
        <v>8528.838310000001</v>
      </c>
      <c r="G182" s="230">
        <f>'2 уровень'!H308</f>
        <v>3553.6899999999996</v>
      </c>
      <c r="H182" s="230">
        <f>'2 уровень'!I308</f>
        <v>3958.4310500000001</v>
      </c>
      <c r="I182" s="230">
        <f>'2 уровень'!J308</f>
        <v>111.38931786396678</v>
      </c>
      <c r="J182" s="46"/>
      <c r="L182" s="381"/>
    </row>
    <row r="183" spans="1:185" ht="30" x14ac:dyDescent="0.25">
      <c r="A183" s="57" t="s">
        <v>79</v>
      </c>
      <c r="B183" s="21">
        <f>'2 уровень'!C309</f>
        <v>3562</v>
      </c>
      <c r="C183" s="21">
        <f>'2 уровень'!D309</f>
        <v>1484</v>
      </c>
      <c r="D183" s="21">
        <f>'2 уровень'!E309</f>
        <v>1178</v>
      </c>
      <c r="E183" s="104">
        <f>'2 уровень'!F309</f>
        <v>79.380053908355791</v>
      </c>
      <c r="F183" s="31">
        <f>'2 уровень'!G309</f>
        <v>5021.9764000000005</v>
      </c>
      <c r="G183" s="31">
        <f>'2 уровень'!H309</f>
        <v>2092.4899999999998</v>
      </c>
      <c r="H183" s="31">
        <f>'2 уровень'!I309</f>
        <v>1688.6052099999999</v>
      </c>
      <c r="I183" s="31">
        <f>'2 уровень'!J309</f>
        <v>80.698364627787953</v>
      </c>
      <c r="J183" s="46"/>
      <c r="L183" s="381"/>
    </row>
    <row r="184" spans="1:185" ht="30" x14ac:dyDescent="0.25">
      <c r="A184" s="57" t="s">
        <v>80</v>
      </c>
      <c r="B184" s="21">
        <f>'2 уровень'!C310</f>
        <v>1069</v>
      </c>
      <c r="C184" s="21">
        <f>'2 уровень'!D310</f>
        <v>445</v>
      </c>
      <c r="D184" s="21">
        <f>'2 уровень'!E310</f>
        <v>378</v>
      </c>
      <c r="E184" s="104">
        <f>'2 уровень'!F310</f>
        <v>84.943820224719104</v>
      </c>
      <c r="F184" s="31">
        <f>'2 уровень'!G310</f>
        <v>1997.5835100000002</v>
      </c>
      <c r="G184" s="31">
        <f>'2 уровень'!H310</f>
        <v>832.33</v>
      </c>
      <c r="H184" s="31">
        <f>'2 уровень'!I310</f>
        <v>694.92697999999984</v>
      </c>
      <c r="I184" s="31">
        <f>'2 уровень'!J310</f>
        <v>83.491761681063977</v>
      </c>
      <c r="J184" s="46"/>
      <c r="L184" s="381"/>
    </row>
    <row r="185" spans="1:185" ht="45" x14ac:dyDescent="0.25">
      <c r="A185" s="57" t="s">
        <v>110</v>
      </c>
      <c r="B185" s="21">
        <f>'2 уровень'!C311</f>
        <v>80</v>
      </c>
      <c r="C185" s="21">
        <f>'2 уровень'!D311</f>
        <v>33</v>
      </c>
      <c r="D185" s="21">
        <f>'2 уровень'!E311</f>
        <v>91</v>
      </c>
      <c r="E185" s="104">
        <f>'2 уровень'!F311</f>
        <v>275.75757575757575</v>
      </c>
      <c r="F185" s="31">
        <f>'2 уровень'!G311</f>
        <v>524.96640000000002</v>
      </c>
      <c r="G185" s="31">
        <f>'2 уровень'!H311</f>
        <v>218.74</v>
      </c>
      <c r="H185" s="31">
        <f>'2 уровень'!I311</f>
        <v>597.14927999999998</v>
      </c>
      <c r="I185" s="31">
        <f>'2 уровень'!J311</f>
        <v>272.99500777178383</v>
      </c>
      <c r="J185" s="46"/>
      <c r="L185" s="381"/>
    </row>
    <row r="186" spans="1:185" ht="30" x14ac:dyDescent="0.25">
      <c r="A186" s="57" t="s">
        <v>111</v>
      </c>
      <c r="B186" s="21">
        <f>'2 уровень'!C312</f>
        <v>150</v>
      </c>
      <c r="C186" s="21">
        <f>'2 уровень'!D312</f>
        <v>63</v>
      </c>
      <c r="D186" s="21">
        <f>'2 уровень'!E312</f>
        <v>151</v>
      </c>
      <c r="E186" s="104">
        <f>'2 уровень'!F312</f>
        <v>239.68253968253967</v>
      </c>
      <c r="F186" s="31">
        <f>'2 уровень'!G312</f>
        <v>984.31200000000001</v>
      </c>
      <c r="G186" s="31">
        <f>'2 уровень'!H312</f>
        <v>410.13</v>
      </c>
      <c r="H186" s="31">
        <f>'2 уровень'!I312</f>
        <v>977.74958000000004</v>
      </c>
      <c r="I186" s="31">
        <f>'2 уровень'!J312</f>
        <v>238.39991709945627</v>
      </c>
      <c r="J186" s="46"/>
      <c r="L186" s="381"/>
    </row>
    <row r="187" spans="1:185" ht="30" x14ac:dyDescent="0.25">
      <c r="A187" s="229" t="s">
        <v>112</v>
      </c>
      <c r="B187" s="226">
        <f>'2 уровень'!C313</f>
        <v>11260</v>
      </c>
      <c r="C187" s="226">
        <f>'2 уровень'!D313</f>
        <v>4692</v>
      </c>
      <c r="D187" s="226">
        <f>'2 уровень'!E313</f>
        <v>3847</v>
      </c>
      <c r="E187" s="227">
        <f>'2 уровень'!F313</f>
        <v>81.990622335890876</v>
      </c>
      <c r="F187" s="230">
        <f>'2 уровень'!G313</f>
        <v>21966.778599999998</v>
      </c>
      <c r="G187" s="230">
        <f>'2 уровень'!H313</f>
        <v>9152.82</v>
      </c>
      <c r="H187" s="230">
        <f>'2 уровень'!I313</f>
        <v>10361.32625</v>
      </c>
      <c r="I187" s="230">
        <f>'2 уровень'!J313</f>
        <v>113.20364925782438</v>
      </c>
      <c r="J187" s="46"/>
      <c r="L187" s="381"/>
    </row>
    <row r="188" spans="1:185" ht="30" x14ac:dyDescent="0.25">
      <c r="A188" s="57" t="s">
        <v>108</v>
      </c>
      <c r="B188" s="21">
        <f>'2 уровень'!C314</f>
        <v>1500</v>
      </c>
      <c r="C188" s="21">
        <f>'2 уровень'!D314</f>
        <v>625</v>
      </c>
      <c r="D188" s="21">
        <f>'2 уровень'!E314</f>
        <v>444</v>
      </c>
      <c r="E188" s="104">
        <f>'2 уровень'!F314</f>
        <v>71.040000000000006</v>
      </c>
      <c r="F188" s="31">
        <f>'2 уровень'!G314</f>
        <v>3180.7649999999999</v>
      </c>
      <c r="G188" s="31">
        <f>'2 уровень'!H314</f>
        <v>1325.32</v>
      </c>
      <c r="H188" s="31">
        <f>'2 уровень'!I314</f>
        <v>914.55687999999986</v>
      </c>
      <c r="I188" s="31">
        <f>'2 уровень'!J314</f>
        <v>69.006495035161308</v>
      </c>
      <c r="J188" s="46"/>
      <c r="L188" s="381"/>
    </row>
    <row r="189" spans="1:185" ht="60" x14ac:dyDescent="0.25">
      <c r="A189" s="57" t="s">
        <v>81</v>
      </c>
      <c r="B189" s="21">
        <f>'2 уровень'!C315</f>
        <v>5200</v>
      </c>
      <c r="C189" s="21">
        <f>'2 уровень'!D315</f>
        <v>2167</v>
      </c>
      <c r="D189" s="21">
        <f>'2 уровень'!E315</f>
        <v>2704</v>
      </c>
      <c r="E189" s="104">
        <f>'2 уровень'!F315</f>
        <v>124.78080295339178</v>
      </c>
      <c r="F189" s="31">
        <f>'2 уровень'!G315</f>
        <v>14316.484</v>
      </c>
      <c r="G189" s="31">
        <f>'2 уровень'!H315</f>
        <v>5965.2</v>
      </c>
      <c r="H189" s="31">
        <f>'2 уровень'!I315</f>
        <v>8670.6573499999995</v>
      </c>
      <c r="I189" s="31">
        <f>'2 уровень'!J315</f>
        <v>145.35400908603231</v>
      </c>
      <c r="J189" s="46"/>
      <c r="L189" s="381"/>
    </row>
    <row r="190" spans="1:185" ht="45" x14ac:dyDescent="0.25">
      <c r="A190" s="57" t="s">
        <v>109</v>
      </c>
      <c r="B190" s="21">
        <f>'2 уровень'!C316</f>
        <v>4560</v>
      </c>
      <c r="C190" s="21">
        <f>'2 уровень'!D316</f>
        <v>1900</v>
      </c>
      <c r="D190" s="21">
        <f>'2 уровень'!E316</f>
        <v>699</v>
      </c>
      <c r="E190" s="104">
        <f>'2 уровень'!F316</f>
        <v>36.789473684210527</v>
      </c>
      <c r="F190" s="31">
        <f>'2 уровень'!G316</f>
        <v>4469.5295999999998</v>
      </c>
      <c r="G190" s="31">
        <f>'2 уровень'!H316</f>
        <v>1862.3</v>
      </c>
      <c r="H190" s="31">
        <f>'2 уровень'!I316</f>
        <v>776.11202000000003</v>
      </c>
      <c r="I190" s="31">
        <f>'2 уровень'!J316</f>
        <v>41.674919185952859</v>
      </c>
      <c r="J190" s="46"/>
      <c r="L190" s="381"/>
    </row>
    <row r="191" spans="1:185" ht="30" x14ac:dyDescent="0.25">
      <c r="A191" s="57" t="s">
        <v>123</v>
      </c>
      <c r="B191" s="21">
        <f>'2 уровень'!C317</f>
        <v>16671</v>
      </c>
      <c r="C191" s="21">
        <f>'2 уровень'!D317</f>
        <v>6946</v>
      </c>
      <c r="D191" s="21">
        <f>'2 уровень'!E317</f>
        <v>2599</v>
      </c>
      <c r="E191" s="104">
        <f>'2 уровень'!F317</f>
        <v>37.41721854304636</v>
      </c>
      <c r="F191" s="31">
        <f>'2 уровень'!G317</f>
        <v>16224.550620000002</v>
      </c>
      <c r="G191" s="31">
        <f>'2 уровень'!H317</f>
        <v>6760.23</v>
      </c>
      <c r="H191" s="31">
        <f>'2 уровень'!I317</f>
        <v>2505.41725</v>
      </c>
      <c r="I191" s="31">
        <f>'2 уровень'!J317</f>
        <v>37.061124399613625</v>
      </c>
      <c r="J191" s="46"/>
      <c r="K191" s="46"/>
      <c r="L191" s="46"/>
    </row>
    <row r="192" spans="1:185" ht="30" x14ac:dyDescent="0.25">
      <c r="A192" s="57" t="s">
        <v>125</v>
      </c>
      <c r="B192" s="21">
        <f>'2 уровень'!C318</f>
        <v>1500</v>
      </c>
      <c r="C192" s="21">
        <f>'2 уровень'!D318</f>
        <v>625</v>
      </c>
      <c r="D192" s="21">
        <f>'2 уровень'!E318</f>
        <v>708</v>
      </c>
      <c r="E192" s="104">
        <f>'2 уровень'!F318</f>
        <v>113.28</v>
      </c>
      <c r="F192" s="31">
        <f>'2 уровень'!G318</f>
        <v>1459.8300000000002</v>
      </c>
      <c r="G192" s="31">
        <f>'2 уровень'!H318</f>
        <v>608.26</v>
      </c>
      <c r="H192" s="31">
        <f>'2 уровень'!I318</f>
        <v>683.45934</v>
      </c>
      <c r="I192" s="31">
        <f>'2 уровень'!J318</f>
        <v>112.36302567980798</v>
      </c>
      <c r="J192" s="46"/>
      <c r="K192" s="46"/>
      <c r="L192" s="46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  <c r="BA192" s="18"/>
      <c r="BB192" s="18"/>
      <c r="BC192" s="18"/>
      <c r="BD192" s="18"/>
      <c r="BE192" s="18"/>
      <c r="BF192" s="18"/>
      <c r="BG192" s="18"/>
      <c r="BH192" s="18"/>
      <c r="BI192" s="18"/>
      <c r="BJ192" s="18"/>
      <c r="BK192" s="18"/>
      <c r="BL192" s="18"/>
      <c r="BM192" s="18"/>
      <c r="BN192" s="18"/>
      <c r="BO192" s="18"/>
      <c r="BP192" s="18"/>
      <c r="BQ192" s="18"/>
      <c r="BR192" s="18"/>
      <c r="BS192" s="18"/>
      <c r="BT192" s="18"/>
      <c r="BU192" s="18"/>
      <c r="BV192" s="18"/>
      <c r="BW192" s="18"/>
      <c r="BX192" s="18"/>
      <c r="BY192" s="18"/>
      <c r="BZ192" s="18"/>
      <c r="CA192" s="18"/>
      <c r="CB192" s="18"/>
      <c r="CC192" s="18"/>
      <c r="CD192" s="18"/>
      <c r="CE192" s="18"/>
      <c r="CF192" s="18"/>
      <c r="CG192" s="18"/>
      <c r="CH192" s="18"/>
      <c r="CI192" s="18"/>
      <c r="CJ192" s="18"/>
      <c r="CK192" s="18"/>
      <c r="CL192" s="18"/>
      <c r="CM192" s="18"/>
      <c r="CN192" s="18"/>
      <c r="CO192" s="18"/>
      <c r="CP192" s="18"/>
      <c r="CQ192" s="18"/>
      <c r="CR192" s="18"/>
      <c r="CS192" s="18"/>
      <c r="CT192" s="18"/>
      <c r="CU192" s="18"/>
      <c r="CV192" s="18"/>
      <c r="CW192" s="18"/>
      <c r="CX192" s="18"/>
      <c r="CY192" s="18"/>
      <c r="CZ192" s="18"/>
      <c r="DA192" s="18"/>
      <c r="DB192" s="18"/>
      <c r="DC192" s="18"/>
      <c r="DD192" s="18"/>
      <c r="DE192" s="18"/>
      <c r="DF192" s="18"/>
      <c r="DG192" s="18"/>
      <c r="DH192" s="18"/>
      <c r="DI192" s="18"/>
      <c r="DJ192" s="18"/>
      <c r="DK192" s="18"/>
      <c r="DL192" s="18"/>
      <c r="DM192" s="18"/>
      <c r="DN192" s="18"/>
      <c r="DO192" s="18"/>
      <c r="DP192" s="18"/>
      <c r="DQ192" s="18"/>
      <c r="DR192" s="18"/>
      <c r="DS192" s="18"/>
      <c r="DT192" s="18"/>
      <c r="DU192" s="18"/>
      <c r="DV192" s="18"/>
      <c r="DW192" s="18"/>
      <c r="DX192" s="18"/>
      <c r="DY192" s="18"/>
      <c r="DZ192" s="18"/>
      <c r="EA192" s="18"/>
      <c r="EB192" s="18"/>
      <c r="EC192" s="18"/>
      <c r="ED192" s="18"/>
      <c r="EE192" s="18"/>
      <c r="EF192" s="18"/>
      <c r="EG192" s="18"/>
      <c r="EH192" s="18"/>
      <c r="EI192" s="18"/>
      <c r="EJ192" s="18"/>
      <c r="EK192" s="18"/>
      <c r="EL192" s="18"/>
      <c r="EM192" s="18"/>
      <c r="EN192" s="18"/>
      <c r="EO192" s="18"/>
      <c r="EP192" s="18"/>
      <c r="EQ192" s="18"/>
      <c r="ER192" s="18"/>
      <c r="ES192" s="18"/>
      <c r="ET192" s="18"/>
      <c r="EU192" s="18"/>
      <c r="EV192" s="18"/>
      <c r="EW192" s="18"/>
      <c r="EX192" s="18"/>
      <c r="EY192" s="18"/>
      <c r="EZ192" s="18"/>
      <c r="FA192" s="18"/>
      <c r="FB192" s="18"/>
      <c r="FC192" s="18"/>
      <c r="FD192" s="18"/>
      <c r="FE192" s="18"/>
      <c r="FF192" s="18"/>
      <c r="FG192" s="18"/>
      <c r="FH192" s="18"/>
      <c r="FI192" s="18"/>
      <c r="FJ192" s="18"/>
      <c r="FK192" s="18"/>
      <c r="FL192" s="18"/>
      <c r="FM192" s="18"/>
      <c r="FN192" s="18"/>
      <c r="FO192" s="18"/>
      <c r="FP192" s="18"/>
      <c r="FQ192" s="18"/>
      <c r="FR192" s="18"/>
      <c r="FS192" s="18"/>
      <c r="FT192" s="18"/>
      <c r="FU192" s="18"/>
      <c r="FV192" s="18"/>
      <c r="FW192" s="18"/>
      <c r="FX192" s="18"/>
      <c r="FY192" s="18"/>
      <c r="FZ192" s="18"/>
      <c r="GA192" s="18"/>
      <c r="GB192" s="18"/>
      <c r="GC192" s="18"/>
    </row>
    <row r="193" spans="1:185" ht="15.75" thickBot="1" x14ac:dyDescent="0.3">
      <c r="A193" s="53" t="s">
        <v>4</v>
      </c>
      <c r="B193" s="21">
        <f>'2 уровень'!C319</f>
        <v>0</v>
      </c>
      <c r="C193" s="21">
        <f>'2 уровень'!D319</f>
        <v>0</v>
      </c>
      <c r="D193" s="21">
        <f>'2 уровень'!E319</f>
        <v>0</v>
      </c>
      <c r="E193" s="104">
        <f>'2 уровень'!F319</f>
        <v>0</v>
      </c>
      <c r="F193" s="31">
        <f>'2 уровень'!G319</f>
        <v>46720.167529999999</v>
      </c>
      <c r="G193" s="31">
        <f>'2 уровень'!H319</f>
        <v>19466.739999999998</v>
      </c>
      <c r="H193" s="31">
        <f>'2 уровень'!I319</f>
        <v>16825.17455</v>
      </c>
      <c r="I193" s="31">
        <f>'2 уровень'!J319</f>
        <v>86.4303655876639</v>
      </c>
      <c r="J193" s="46"/>
      <c r="L193" s="381"/>
    </row>
    <row r="194" spans="1:185" ht="15" customHeight="1" x14ac:dyDescent="0.25">
      <c r="A194" s="125" t="s">
        <v>28</v>
      </c>
      <c r="B194" s="40"/>
      <c r="C194" s="40"/>
      <c r="D194" s="40"/>
      <c r="E194" s="107"/>
      <c r="F194" s="41"/>
      <c r="G194" s="41"/>
      <c r="H194" s="41"/>
      <c r="I194" s="41"/>
      <c r="J194" s="46"/>
      <c r="L194" s="381"/>
    </row>
    <row r="195" spans="1:185" ht="30" x14ac:dyDescent="0.25">
      <c r="A195" s="229" t="s">
        <v>120</v>
      </c>
      <c r="B195" s="226">
        <f>'Охотск '!B21</f>
        <v>1227</v>
      </c>
      <c r="C195" s="226">
        <f>'Охотск '!C21</f>
        <v>511</v>
      </c>
      <c r="D195" s="226">
        <f>'Охотск '!D21</f>
        <v>423</v>
      </c>
      <c r="E195" s="227">
        <f>'Охотск '!E21</f>
        <v>82.778864970645799</v>
      </c>
      <c r="F195" s="255">
        <f>'Охотск '!F21</f>
        <v>3253.9132599999998</v>
      </c>
      <c r="G195" s="255">
        <f>'Охотск '!G21</f>
        <v>1355.7900000000002</v>
      </c>
      <c r="H195" s="255">
        <f>'Охотск '!H21</f>
        <v>1033.0137400000001</v>
      </c>
      <c r="I195" s="255">
        <f>'Охотск '!I21</f>
        <v>76.192754040079947</v>
      </c>
      <c r="J195" s="46"/>
      <c r="L195" s="381"/>
    </row>
    <row r="196" spans="1:185" ht="30" x14ac:dyDescent="0.25">
      <c r="A196" s="57" t="s">
        <v>79</v>
      </c>
      <c r="B196" s="21">
        <f>'Охотск '!B22</f>
        <v>900</v>
      </c>
      <c r="C196" s="21">
        <f>'Охотск '!C22</f>
        <v>375</v>
      </c>
      <c r="D196" s="21">
        <f>'Охотск '!D22</f>
        <v>398</v>
      </c>
      <c r="E196" s="104">
        <f>'Охотск '!E22</f>
        <v>106.13333333333333</v>
      </c>
      <c r="F196" s="34">
        <f>'Охотск '!F22</f>
        <v>1940.569</v>
      </c>
      <c r="G196" s="34">
        <f>'Охотск '!G22</f>
        <v>808.57</v>
      </c>
      <c r="H196" s="34">
        <f>'Охотск '!H22</f>
        <v>827.74083000000007</v>
      </c>
      <c r="I196" s="34">
        <f>'Охотск '!I22</f>
        <v>102.37095489568003</v>
      </c>
      <c r="J196" s="46"/>
      <c r="L196" s="381"/>
    </row>
    <row r="197" spans="1:185" ht="30" x14ac:dyDescent="0.25">
      <c r="A197" s="57" t="s">
        <v>80</v>
      </c>
      <c r="B197" s="21">
        <f>'Охотск '!B23</f>
        <v>270</v>
      </c>
      <c r="C197" s="21">
        <f>'Охотск '!C23</f>
        <v>113</v>
      </c>
      <c r="D197" s="21">
        <f>'Охотск '!D23</f>
        <v>5</v>
      </c>
      <c r="E197" s="104">
        <f>'Охотск '!E23</f>
        <v>4.4247787610619467</v>
      </c>
      <c r="F197" s="34">
        <f>'Охотск '!F23</f>
        <v>741.1543200000001</v>
      </c>
      <c r="G197" s="34">
        <f>'Охотск '!G23</f>
        <v>308.81</v>
      </c>
      <c r="H197" s="34">
        <f>'Охотск '!H23</f>
        <v>4.5045100000000025</v>
      </c>
      <c r="I197" s="34">
        <f>'Охотск '!I23</f>
        <v>1.4586671416081094</v>
      </c>
      <c r="J197" s="46"/>
      <c r="L197" s="381"/>
    </row>
    <row r="198" spans="1:185" ht="45" x14ac:dyDescent="0.25">
      <c r="A198" s="57" t="s">
        <v>110</v>
      </c>
      <c r="B198" s="21">
        <f>'Охотск '!B24</f>
        <v>20</v>
      </c>
      <c r="C198" s="21">
        <f>'Охотск '!C24</f>
        <v>8</v>
      </c>
      <c r="D198" s="21">
        <f>'Охотск '!D24</f>
        <v>20</v>
      </c>
      <c r="E198" s="104">
        <f>'Охотск '!E24</f>
        <v>250</v>
      </c>
      <c r="F198" s="34">
        <f>'Охотск '!F24</f>
        <v>200.76839999999999</v>
      </c>
      <c r="G198" s="34">
        <f>'Охотск '!G24</f>
        <v>83.65</v>
      </c>
      <c r="H198" s="34">
        <f>'Охотск '!H24</f>
        <v>200.76839999999999</v>
      </c>
      <c r="I198" s="34">
        <f>'Охотск '!I24</f>
        <v>240.01004184100415</v>
      </c>
      <c r="J198" s="46"/>
      <c r="L198" s="381"/>
    </row>
    <row r="199" spans="1:185" ht="30" x14ac:dyDescent="0.25">
      <c r="A199" s="57" t="s">
        <v>111</v>
      </c>
      <c r="B199" s="21">
        <f>'Охотск '!B25</f>
        <v>37</v>
      </c>
      <c r="C199" s="21">
        <f>'Охотск '!C25</f>
        <v>15</v>
      </c>
      <c r="D199" s="21">
        <f>'Охотск '!D25</f>
        <v>0</v>
      </c>
      <c r="E199" s="104">
        <f>'Охотск '!E25</f>
        <v>0</v>
      </c>
      <c r="F199" s="34">
        <f>'Охотск '!F25</f>
        <v>371.42153999999999</v>
      </c>
      <c r="G199" s="34">
        <f>'Охотск '!G25</f>
        <v>154.76</v>
      </c>
      <c r="H199" s="34">
        <f>'Охотск '!H25</f>
        <v>0</v>
      </c>
      <c r="I199" s="34">
        <f>'Охотск '!I25</f>
        <v>0</v>
      </c>
      <c r="J199" s="46"/>
      <c r="L199" s="381"/>
    </row>
    <row r="200" spans="1:185" ht="30" x14ac:dyDescent="0.25">
      <c r="A200" s="229" t="s">
        <v>112</v>
      </c>
      <c r="B200" s="226">
        <f>'Охотск '!B26</f>
        <v>1519</v>
      </c>
      <c r="C200" s="226">
        <f>'Охотск '!C26</f>
        <v>633</v>
      </c>
      <c r="D200" s="226">
        <f>'Охотск '!D26</f>
        <v>377</v>
      </c>
      <c r="E200" s="227">
        <f>'Охотск '!E26</f>
        <v>59.557661927330173</v>
      </c>
      <c r="F200" s="255">
        <f>'Охотск '!F26</f>
        <v>5389.9595099999997</v>
      </c>
      <c r="G200" s="255">
        <f>'Охотск '!G26</f>
        <v>2245.81</v>
      </c>
      <c r="H200" s="255">
        <f>'Охотск '!H26</f>
        <v>1380.2182400000002</v>
      </c>
      <c r="I200" s="255">
        <f>'Охотск '!I26</f>
        <v>61.457480374564199</v>
      </c>
      <c r="J200" s="46"/>
      <c r="L200" s="381"/>
    </row>
    <row r="201" spans="1:185" ht="30" x14ac:dyDescent="0.25">
      <c r="A201" s="57" t="s">
        <v>108</v>
      </c>
      <c r="B201" s="21">
        <f>'Охотск '!B27</f>
        <v>100</v>
      </c>
      <c r="C201" s="21">
        <f>'Охотск '!C27</f>
        <v>42</v>
      </c>
      <c r="D201" s="21">
        <f>'Охотск '!D27</f>
        <v>26</v>
      </c>
      <c r="E201" s="104">
        <f>'Охотск '!E27</f>
        <v>61.904761904761905</v>
      </c>
      <c r="F201" s="34">
        <f>'Охотск '!F27</f>
        <v>324.38797</v>
      </c>
      <c r="G201" s="34">
        <f>'Охотск '!G27</f>
        <v>135.16</v>
      </c>
      <c r="H201" s="34">
        <f>'Охотск '!H27</f>
        <v>81.268810000000002</v>
      </c>
      <c r="I201" s="34">
        <f>'Охотск '!I27</f>
        <v>60.127855874519085</v>
      </c>
      <c r="J201" s="46"/>
      <c r="L201" s="381"/>
    </row>
    <row r="202" spans="1:185" ht="60" x14ac:dyDescent="0.25">
      <c r="A202" s="57" t="s">
        <v>81</v>
      </c>
      <c r="B202" s="21">
        <f>'Охотск '!B28</f>
        <v>1328</v>
      </c>
      <c r="C202" s="21">
        <f>'Охотск '!C28</f>
        <v>553</v>
      </c>
      <c r="D202" s="21">
        <f>'Охотск '!D28</f>
        <v>318</v>
      </c>
      <c r="E202" s="104">
        <f>'Охотск '!E28</f>
        <v>57.504520795660042</v>
      </c>
      <c r="F202" s="34">
        <f>'Охотск '!F28</f>
        <v>4929.1243199999999</v>
      </c>
      <c r="G202" s="34">
        <f>'Охотск '!G28</f>
        <v>2053.8000000000002</v>
      </c>
      <c r="H202" s="34">
        <f>'Охотск '!H28</f>
        <v>1250.77557</v>
      </c>
      <c r="I202" s="34">
        <f>'Охотск '!I28</f>
        <v>60.900553607946236</v>
      </c>
      <c r="J202" s="46"/>
      <c r="L202" s="381"/>
    </row>
    <row r="203" spans="1:185" ht="45" x14ac:dyDescent="0.25">
      <c r="A203" s="57" t="s">
        <v>109</v>
      </c>
      <c r="B203" s="21">
        <f>'Охотск '!B29</f>
        <v>91</v>
      </c>
      <c r="C203" s="21">
        <f>'Охотск '!C29</f>
        <v>38</v>
      </c>
      <c r="D203" s="21">
        <f>'Охотск '!D29</f>
        <v>33</v>
      </c>
      <c r="E203" s="104">
        <f>'Охотск '!E29</f>
        <v>86.842105263157904</v>
      </c>
      <c r="F203" s="34">
        <f>'Охотск '!F29</f>
        <v>136.44721999999999</v>
      </c>
      <c r="G203" s="34">
        <f>'Охотск '!G29</f>
        <v>56.85</v>
      </c>
      <c r="H203" s="34">
        <f>'Охотск '!H29</f>
        <v>48.173859999999998</v>
      </c>
      <c r="I203" s="34">
        <f>'Охотск '!I29</f>
        <v>84.738540017590154</v>
      </c>
      <c r="J203" s="46"/>
      <c r="L203" s="381"/>
    </row>
    <row r="204" spans="1:185" ht="30" x14ac:dyDescent="0.25">
      <c r="A204" s="343" t="s">
        <v>123</v>
      </c>
      <c r="B204" s="21">
        <f>'Охотск '!B30</f>
        <v>5565</v>
      </c>
      <c r="C204" s="21">
        <f>'Охотск '!C30</f>
        <v>2319</v>
      </c>
      <c r="D204" s="21">
        <f>'Охотск '!D30</f>
        <v>2419</v>
      </c>
      <c r="E204" s="104">
        <f>'Охотск '!E30</f>
        <v>104.3122035360069</v>
      </c>
      <c r="F204" s="34">
        <f>'Охотск '!F30</f>
        <v>8285.1720000000005</v>
      </c>
      <c r="G204" s="34">
        <f>'Охотск '!G30</f>
        <v>3452.16</v>
      </c>
      <c r="H204" s="34">
        <f>'Охотск '!H30</f>
        <v>3588.2480499999997</v>
      </c>
      <c r="I204" s="34">
        <f>'Охотск '!I30</f>
        <v>103.94211305385612</v>
      </c>
      <c r="J204" s="46"/>
      <c r="K204" s="46"/>
      <c r="L204" s="46"/>
    </row>
    <row r="205" spans="1:185" ht="15.75" thickBot="1" x14ac:dyDescent="0.3">
      <c r="A205" s="53" t="s">
        <v>4</v>
      </c>
      <c r="B205" s="21">
        <f>'Охотск '!B31</f>
        <v>0</v>
      </c>
      <c r="C205" s="21">
        <f>'Охотск '!C31</f>
        <v>0</v>
      </c>
      <c r="D205" s="21">
        <f>'Охотск '!D31</f>
        <v>0</v>
      </c>
      <c r="E205" s="104">
        <f>'Охотск '!E31</f>
        <v>0</v>
      </c>
      <c r="F205" s="34">
        <f>'Охотск '!F31</f>
        <v>16929.04477</v>
      </c>
      <c r="G205" s="34">
        <f>'Охотск '!G31</f>
        <v>7053.76</v>
      </c>
      <c r="H205" s="34">
        <f>'Охотск '!H31</f>
        <v>6001.4800300000006</v>
      </c>
      <c r="I205" s="34">
        <f>'Охотск '!I31</f>
        <v>85.081999245792318</v>
      </c>
      <c r="J205" s="46"/>
      <c r="L205" s="381"/>
    </row>
    <row r="206" spans="1:185" ht="15" customHeight="1" x14ac:dyDescent="0.25">
      <c r="A206" s="39" t="s">
        <v>29</v>
      </c>
      <c r="B206" s="40"/>
      <c r="C206" s="40"/>
      <c r="D206" s="40"/>
      <c r="E206" s="107"/>
      <c r="F206" s="41"/>
      <c r="G206" s="41"/>
      <c r="H206" s="41"/>
      <c r="I206" s="41"/>
      <c r="J206" s="46"/>
      <c r="L206" s="381"/>
    </row>
    <row r="207" spans="1:185" s="114" customFormat="1" ht="30" x14ac:dyDescent="0.25">
      <c r="A207" s="229" t="s">
        <v>120</v>
      </c>
      <c r="B207" s="256">
        <f>'2 уровень'!C334</f>
        <v>3295</v>
      </c>
      <c r="C207" s="256">
        <f>'2 уровень'!D334</f>
        <v>1373</v>
      </c>
      <c r="D207" s="256">
        <f>'2 уровень'!E334</f>
        <v>1031</v>
      </c>
      <c r="E207" s="257">
        <f>'2 уровень'!F334</f>
        <v>75.091041514930808</v>
      </c>
      <c r="F207" s="255">
        <f>'2 уровень'!G334</f>
        <v>6315.0936700000002</v>
      </c>
      <c r="G207" s="255">
        <f>'2 уровень'!H334</f>
        <v>2631.29</v>
      </c>
      <c r="H207" s="255">
        <f>'2 уровень'!I334</f>
        <v>1752.9007000000001</v>
      </c>
      <c r="I207" s="255">
        <f>'2 уровень'!J334</f>
        <v>66.617541206024427</v>
      </c>
      <c r="J207" s="132"/>
      <c r="K207" s="380"/>
      <c r="L207" s="381"/>
      <c r="M207" s="131"/>
      <c r="N207" s="131"/>
      <c r="O207" s="131"/>
      <c r="P207" s="131"/>
      <c r="Q207" s="131"/>
      <c r="R207" s="131"/>
      <c r="S207" s="131"/>
      <c r="T207" s="131"/>
      <c r="U207" s="131"/>
      <c r="V207" s="131"/>
      <c r="W207" s="131"/>
      <c r="X207" s="131"/>
      <c r="Y207" s="131"/>
      <c r="Z207" s="131"/>
      <c r="AA207" s="131"/>
      <c r="AB207" s="131"/>
      <c r="AC207" s="131"/>
      <c r="AD207" s="131"/>
      <c r="AE207" s="131"/>
      <c r="AF207" s="131"/>
      <c r="AG207" s="131"/>
      <c r="AH207" s="131"/>
      <c r="AI207" s="131"/>
      <c r="AJ207" s="131"/>
      <c r="AK207" s="131"/>
      <c r="AL207" s="131"/>
      <c r="AM207" s="131"/>
      <c r="AN207" s="131"/>
      <c r="AO207" s="131"/>
      <c r="AP207" s="131"/>
      <c r="AQ207" s="131"/>
      <c r="AR207" s="131"/>
      <c r="AS207" s="131"/>
      <c r="AT207" s="131"/>
      <c r="AU207" s="131"/>
      <c r="AV207" s="131"/>
      <c r="AW207" s="131"/>
      <c r="AX207" s="131"/>
      <c r="AY207" s="131"/>
      <c r="AZ207" s="131"/>
      <c r="BA207" s="131"/>
      <c r="BB207" s="131"/>
      <c r="BC207" s="131"/>
      <c r="BD207" s="131"/>
      <c r="BE207" s="131"/>
      <c r="BF207" s="131"/>
      <c r="BG207" s="131"/>
      <c r="BH207" s="131"/>
      <c r="BI207" s="131"/>
      <c r="BJ207" s="131"/>
      <c r="BK207" s="131"/>
      <c r="BL207" s="131"/>
      <c r="BM207" s="131"/>
      <c r="BN207" s="131"/>
      <c r="BO207" s="131"/>
      <c r="BP207" s="131"/>
      <c r="BQ207" s="131"/>
      <c r="BR207" s="131"/>
      <c r="BS207" s="131"/>
      <c r="BT207" s="131"/>
      <c r="BU207" s="131"/>
      <c r="BV207" s="131"/>
      <c r="BW207" s="131"/>
      <c r="BX207" s="131"/>
      <c r="BY207" s="131"/>
      <c r="BZ207" s="131"/>
      <c r="CA207" s="131"/>
      <c r="CB207" s="131"/>
      <c r="CC207" s="131"/>
      <c r="CD207" s="131"/>
      <c r="CE207" s="131"/>
      <c r="CF207" s="131"/>
      <c r="CG207" s="131"/>
      <c r="CH207" s="131"/>
      <c r="CI207" s="131"/>
      <c r="CJ207" s="131"/>
      <c r="CK207" s="131"/>
      <c r="CL207" s="131"/>
      <c r="CM207" s="131"/>
      <c r="CN207" s="131"/>
      <c r="CO207" s="131"/>
      <c r="CP207" s="131"/>
      <c r="CQ207" s="131"/>
      <c r="CR207" s="131"/>
      <c r="CS207" s="131"/>
      <c r="CT207" s="131"/>
      <c r="CU207" s="131"/>
      <c r="CV207" s="131"/>
      <c r="CW207" s="131"/>
      <c r="CX207" s="131"/>
      <c r="CY207" s="131"/>
      <c r="CZ207" s="131"/>
      <c r="DA207" s="131"/>
      <c r="DB207" s="131"/>
      <c r="DC207" s="131"/>
      <c r="DD207" s="131"/>
      <c r="DE207" s="131"/>
      <c r="DF207" s="131"/>
      <c r="DG207" s="131"/>
      <c r="DH207" s="131"/>
      <c r="DI207" s="131"/>
      <c r="DJ207" s="131"/>
      <c r="DK207" s="131"/>
      <c r="DL207" s="131"/>
      <c r="DM207" s="131"/>
      <c r="DN207" s="131"/>
      <c r="DO207" s="131"/>
      <c r="DP207" s="131"/>
      <c r="DQ207" s="131"/>
      <c r="DR207" s="131"/>
      <c r="DS207" s="131"/>
      <c r="DT207" s="131"/>
      <c r="DU207" s="131"/>
      <c r="DV207" s="131"/>
      <c r="DW207" s="131"/>
      <c r="DX207" s="131"/>
      <c r="DY207" s="131"/>
      <c r="DZ207" s="131"/>
      <c r="EA207" s="131"/>
      <c r="EB207" s="131"/>
      <c r="EC207" s="131"/>
      <c r="ED207" s="131"/>
      <c r="EE207" s="131"/>
      <c r="EF207" s="131"/>
      <c r="EG207" s="131"/>
      <c r="EH207" s="131"/>
      <c r="EI207" s="131"/>
      <c r="EJ207" s="131"/>
      <c r="EK207" s="131"/>
      <c r="EL207" s="131"/>
      <c r="EM207" s="131"/>
      <c r="EN207" s="131"/>
      <c r="EO207" s="131"/>
      <c r="EP207" s="131"/>
      <c r="EQ207" s="131"/>
      <c r="ER207" s="131"/>
      <c r="ES207" s="131"/>
      <c r="ET207" s="131"/>
      <c r="EU207" s="131"/>
      <c r="EV207" s="131"/>
      <c r="EW207" s="131"/>
      <c r="EX207" s="131"/>
      <c r="EY207" s="131"/>
      <c r="EZ207" s="131"/>
      <c r="FA207" s="131"/>
      <c r="FB207" s="131"/>
      <c r="FC207" s="131"/>
      <c r="FD207" s="131"/>
      <c r="FE207" s="131"/>
      <c r="FF207" s="131"/>
      <c r="FG207" s="131"/>
      <c r="FH207" s="131"/>
      <c r="FI207" s="131"/>
      <c r="FJ207" s="131"/>
      <c r="FK207" s="131"/>
      <c r="FL207" s="131"/>
      <c r="FM207" s="131"/>
      <c r="FN207" s="131"/>
      <c r="FO207" s="131"/>
      <c r="FP207" s="131"/>
      <c r="FQ207" s="131"/>
      <c r="FR207" s="131"/>
      <c r="FS207" s="131"/>
      <c r="FT207" s="131"/>
      <c r="FU207" s="131"/>
      <c r="FV207" s="131"/>
      <c r="FW207" s="131"/>
      <c r="FX207" s="131"/>
      <c r="FY207" s="131"/>
      <c r="FZ207" s="131"/>
      <c r="GA207" s="131"/>
      <c r="GB207" s="131"/>
      <c r="GC207" s="131"/>
    </row>
    <row r="208" spans="1:185" s="114" customFormat="1" ht="30" x14ac:dyDescent="0.25">
      <c r="A208" s="57" t="s">
        <v>79</v>
      </c>
      <c r="B208" s="139">
        <f>'2 уровень'!C335</f>
        <v>2326</v>
      </c>
      <c r="C208" s="139">
        <f>'2 уровень'!D335</f>
        <v>969</v>
      </c>
      <c r="D208" s="359">
        <f>'2 уровень'!E335</f>
        <v>794</v>
      </c>
      <c r="E208" s="140">
        <f>'2 уровень'!F335</f>
        <v>81.940144478844161</v>
      </c>
      <c r="F208" s="119">
        <f>'2 уровень'!G335</f>
        <v>3271.1419999999998</v>
      </c>
      <c r="G208" s="119">
        <f>'2 уровень'!H335</f>
        <v>1362.98</v>
      </c>
      <c r="H208" s="34">
        <f>'2 уровень'!I335</f>
        <v>1226.7803600000002</v>
      </c>
      <c r="I208" s="119">
        <f>'2 уровень'!J335</f>
        <v>90.007216540228043</v>
      </c>
      <c r="J208" s="132"/>
      <c r="K208" s="380"/>
      <c r="L208" s="381"/>
      <c r="M208" s="131"/>
      <c r="N208" s="131"/>
      <c r="O208" s="131"/>
      <c r="P208" s="131"/>
      <c r="Q208" s="131"/>
      <c r="R208" s="131"/>
      <c r="S208" s="131"/>
      <c r="T208" s="131"/>
      <c r="U208" s="131"/>
      <c r="V208" s="131"/>
      <c r="W208" s="131"/>
      <c r="X208" s="131"/>
      <c r="Y208" s="131"/>
      <c r="Z208" s="131"/>
      <c r="AA208" s="131"/>
      <c r="AB208" s="131"/>
      <c r="AC208" s="131"/>
      <c r="AD208" s="131"/>
      <c r="AE208" s="131"/>
      <c r="AF208" s="131"/>
      <c r="AG208" s="131"/>
      <c r="AH208" s="131"/>
      <c r="AI208" s="131"/>
      <c r="AJ208" s="131"/>
      <c r="AK208" s="131"/>
      <c r="AL208" s="131"/>
      <c r="AM208" s="131"/>
      <c r="AN208" s="131"/>
      <c r="AO208" s="131"/>
      <c r="AP208" s="131"/>
      <c r="AQ208" s="131"/>
      <c r="AR208" s="131"/>
      <c r="AS208" s="131"/>
      <c r="AT208" s="131"/>
      <c r="AU208" s="131"/>
      <c r="AV208" s="131"/>
      <c r="AW208" s="131"/>
      <c r="AX208" s="131"/>
      <c r="AY208" s="131"/>
      <c r="AZ208" s="131"/>
      <c r="BA208" s="131"/>
      <c r="BB208" s="131"/>
      <c r="BC208" s="131"/>
      <c r="BD208" s="131"/>
      <c r="BE208" s="131"/>
      <c r="BF208" s="131"/>
      <c r="BG208" s="131"/>
      <c r="BH208" s="131"/>
      <c r="BI208" s="131"/>
      <c r="BJ208" s="131"/>
      <c r="BK208" s="131"/>
      <c r="BL208" s="131"/>
      <c r="BM208" s="131"/>
      <c r="BN208" s="131"/>
      <c r="BO208" s="131"/>
      <c r="BP208" s="131"/>
      <c r="BQ208" s="131"/>
      <c r="BR208" s="131"/>
      <c r="BS208" s="131"/>
      <c r="BT208" s="131"/>
      <c r="BU208" s="131"/>
      <c r="BV208" s="131"/>
      <c r="BW208" s="131"/>
      <c r="BX208" s="131"/>
      <c r="BY208" s="131"/>
      <c r="BZ208" s="131"/>
      <c r="CA208" s="131"/>
      <c r="CB208" s="131"/>
      <c r="CC208" s="131"/>
      <c r="CD208" s="131"/>
      <c r="CE208" s="131"/>
      <c r="CF208" s="131"/>
      <c r="CG208" s="131"/>
      <c r="CH208" s="131"/>
      <c r="CI208" s="131"/>
      <c r="CJ208" s="131"/>
      <c r="CK208" s="131"/>
      <c r="CL208" s="131"/>
      <c r="CM208" s="131"/>
      <c r="CN208" s="131"/>
      <c r="CO208" s="131"/>
      <c r="CP208" s="131"/>
      <c r="CQ208" s="131"/>
      <c r="CR208" s="131"/>
      <c r="CS208" s="131"/>
      <c r="CT208" s="131"/>
      <c r="CU208" s="131"/>
      <c r="CV208" s="131"/>
      <c r="CW208" s="131"/>
      <c r="CX208" s="131"/>
      <c r="CY208" s="131"/>
      <c r="CZ208" s="131"/>
      <c r="DA208" s="131"/>
      <c r="DB208" s="131"/>
      <c r="DC208" s="131"/>
      <c r="DD208" s="131"/>
      <c r="DE208" s="131"/>
      <c r="DF208" s="131"/>
      <c r="DG208" s="131"/>
      <c r="DH208" s="131"/>
      <c r="DI208" s="131"/>
      <c r="DJ208" s="131"/>
      <c r="DK208" s="131"/>
      <c r="DL208" s="131"/>
      <c r="DM208" s="131"/>
      <c r="DN208" s="131"/>
      <c r="DO208" s="131"/>
      <c r="DP208" s="131"/>
      <c r="DQ208" s="131"/>
      <c r="DR208" s="131"/>
      <c r="DS208" s="131"/>
      <c r="DT208" s="131"/>
      <c r="DU208" s="131"/>
      <c r="DV208" s="131"/>
      <c r="DW208" s="131"/>
      <c r="DX208" s="131"/>
      <c r="DY208" s="131"/>
      <c r="DZ208" s="131"/>
      <c r="EA208" s="131"/>
      <c r="EB208" s="131"/>
      <c r="EC208" s="131"/>
      <c r="ED208" s="131"/>
      <c r="EE208" s="131"/>
      <c r="EF208" s="131"/>
      <c r="EG208" s="131"/>
      <c r="EH208" s="131"/>
      <c r="EI208" s="131"/>
      <c r="EJ208" s="131"/>
      <c r="EK208" s="131"/>
      <c r="EL208" s="131"/>
      <c r="EM208" s="131"/>
      <c r="EN208" s="131"/>
      <c r="EO208" s="131"/>
      <c r="EP208" s="131"/>
      <c r="EQ208" s="131"/>
      <c r="ER208" s="131"/>
      <c r="ES208" s="131"/>
      <c r="ET208" s="131"/>
      <c r="EU208" s="131"/>
      <c r="EV208" s="131"/>
      <c r="EW208" s="131"/>
      <c r="EX208" s="131"/>
      <c r="EY208" s="131"/>
      <c r="EZ208" s="131"/>
      <c r="FA208" s="131"/>
      <c r="FB208" s="131"/>
      <c r="FC208" s="131"/>
      <c r="FD208" s="131"/>
      <c r="FE208" s="131"/>
      <c r="FF208" s="131"/>
      <c r="FG208" s="131"/>
      <c r="FH208" s="131"/>
      <c r="FI208" s="131"/>
      <c r="FJ208" s="131"/>
      <c r="FK208" s="131"/>
      <c r="FL208" s="131"/>
      <c r="FM208" s="131"/>
      <c r="FN208" s="131"/>
      <c r="FO208" s="131"/>
      <c r="FP208" s="131"/>
      <c r="FQ208" s="131"/>
      <c r="FR208" s="131"/>
      <c r="FS208" s="131"/>
      <c r="FT208" s="131"/>
      <c r="FU208" s="131"/>
      <c r="FV208" s="131"/>
      <c r="FW208" s="131"/>
      <c r="FX208" s="131"/>
      <c r="FY208" s="131"/>
      <c r="FZ208" s="131"/>
      <c r="GA208" s="131"/>
      <c r="GB208" s="131"/>
      <c r="GC208" s="131"/>
    </row>
    <row r="209" spans="1:185" s="114" customFormat="1" ht="30" x14ac:dyDescent="0.25">
      <c r="A209" s="57" t="s">
        <v>80</v>
      </c>
      <c r="B209" s="139">
        <f>'2 уровень'!C336</f>
        <v>698</v>
      </c>
      <c r="C209" s="139">
        <f>'2 уровень'!D336</f>
        <v>291</v>
      </c>
      <c r="D209" s="359">
        <f>'2 уровень'!E336</f>
        <v>216</v>
      </c>
      <c r="E209" s="140">
        <f>'2 уровень'!F336</f>
        <v>74.226804123711347</v>
      </c>
      <c r="F209" s="119">
        <f>'2 уровень'!G336</f>
        <v>1265.62799</v>
      </c>
      <c r="G209" s="119">
        <f>'2 уровень'!H336</f>
        <v>527.34</v>
      </c>
      <c r="H209" s="34">
        <f>'2 уровень'!I336</f>
        <v>388.31665999999996</v>
      </c>
      <c r="I209" s="119">
        <f>'2 уровень'!J336</f>
        <v>73.636868054765415</v>
      </c>
      <c r="J209" s="132"/>
      <c r="K209" s="380"/>
      <c r="L209" s="381"/>
      <c r="M209" s="131"/>
      <c r="N209" s="131"/>
      <c r="O209" s="131"/>
      <c r="P209" s="131"/>
      <c r="Q209" s="131"/>
      <c r="R209" s="131"/>
      <c r="S209" s="131"/>
      <c r="T209" s="131"/>
      <c r="U209" s="131"/>
      <c r="V209" s="131"/>
      <c r="W209" s="131"/>
      <c r="X209" s="131"/>
      <c r="Y209" s="131"/>
      <c r="Z209" s="131"/>
      <c r="AA209" s="131"/>
      <c r="AB209" s="131"/>
      <c r="AC209" s="131"/>
      <c r="AD209" s="131"/>
      <c r="AE209" s="131"/>
      <c r="AF209" s="131"/>
      <c r="AG209" s="131"/>
      <c r="AH209" s="131"/>
      <c r="AI209" s="131"/>
      <c r="AJ209" s="131"/>
      <c r="AK209" s="131"/>
      <c r="AL209" s="131"/>
      <c r="AM209" s="131"/>
      <c r="AN209" s="131"/>
      <c r="AO209" s="131"/>
      <c r="AP209" s="131"/>
      <c r="AQ209" s="131"/>
      <c r="AR209" s="131"/>
      <c r="AS209" s="131"/>
      <c r="AT209" s="131"/>
      <c r="AU209" s="131"/>
      <c r="AV209" s="131"/>
      <c r="AW209" s="131"/>
      <c r="AX209" s="131"/>
      <c r="AY209" s="131"/>
      <c r="AZ209" s="131"/>
      <c r="BA209" s="131"/>
      <c r="BB209" s="131"/>
      <c r="BC209" s="131"/>
      <c r="BD209" s="131"/>
      <c r="BE209" s="131"/>
      <c r="BF209" s="131"/>
      <c r="BG209" s="131"/>
      <c r="BH209" s="131"/>
      <c r="BI209" s="131"/>
      <c r="BJ209" s="131"/>
      <c r="BK209" s="131"/>
      <c r="BL209" s="131"/>
      <c r="BM209" s="131"/>
      <c r="BN209" s="131"/>
      <c r="BO209" s="131"/>
      <c r="BP209" s="131"/>
      <c r="BQ209" s="131"/>
      <c r="BR209" s="131"/>
      <c r="BS209" s="131"/>
      <c r="BT209" s="131"/>
      <c r="BU209" s="131"/>
      <c r="BV209" s="131"/>
      <c r="BW209" s="131"/>
      <c r="BX209" s="131"/>
      <c r="BY209" s="131"/>
      <c r="BZ209" s="131"/>
      <c r="CA209" s="131"/>
      <c r="CB209" s="131"/>
      <c r="CC209" s="131"/>
      <c r="CD209" s="131"/>
      <c r="CE209" s="131"/>
      <c r="CF209" s="131"/>
      <c r="CG209" s="131"/>
      <c r="CH209" s="131"/>
      <c r="CI209" s="131"/>
      <c r="CJ209" s="131"/>
      <c r="CK209" s="131"/>
      <c r="CL209" s="131"/>
      <c r="CM209" s="131"/>
      <c r="CN209" s="131"/>
      <c r="CO209" s="131"/>
      <c r="CP209" s="131"/>
      <c r="CQ209" s="131"/>
      <c r="CR209" s="131"/>
      <c r="CS209" s="131"/>
      <c r="CT209" s="131"/>
      <c r="CU209" s="131"/>
      <c r="CV209" s="131"/>
      <c r="CW209" s="131"/>
      <c r="CX209" s="131"/>
      <c r="CY209" s="131"/>
      <c r="CZ209" s="131"/>
      <c r="DA209" s="131"/>
      <c r="DB209" s="131"/>
      <c r="DC209" s="131"/>
      <c r="DD209" s="131"/>
      <c r="DE209" s="131"/>
      <c r="DF209" s="131"/>
      <c r="DG209" s="131"/>
      <c r="DH209" s="131"/>
      <c r="DI209" s="131"/>
      <c r="DJ209" s="131"/>
      <c r="DK209" s="131"/>
      <c r="DL209" s="131"/>
      <c r="DM209" s="131"/>
      <c r="DN209" s="131"/>
      <c r="DO209" s="131"/>
      <c r="DP209" s="131"/>
      <c r="DQ209" s="131"/>
      <c r="DR209" s="131"/>
      <c r="DS209" s="131"/>
      <c r="DT209" s="131"/>
      <c r="DU209" s="131"/>
      <c r="DV209" s="131"/>
      <c r="DW209" s="131"/>
      <c r="DX209" s="131"/>
      <c r="DY209" s="131"/>
      <c r="DZ209" s="131"/>
      <c r="EA209" s="131"/>
      <c r="EB209" s="131"/>
      <c r="EC209" s="131"/>
      <c r="ED209" s="131"/>
      <c r="EE209" s="131"/>
      <c r="EF209" s="131"/>
      <c r="EG209" s="131"/>
      <c r="EH209" s="131"/>
      <c r="EI209" s="131"/>
      <c r="EJ209" s="131"/>
      <c r="EK209" s="131"/>
      <c r="EL209" s="131"/>
      <c r="EM209" s="131"/>
      <c r="EN209" s="131"/>
      <c r="EO209" s="131"/>
      <c r="EP209" s="131"/>
      <c r="EQ209" s="131"/>
      <c r="ER209" s="131"/>
      <c r="ES209" s="131"/>
      <c r="ET209" s="131"/>
      <c r="EU209" s="131"/>
      <c r="EV209" s="131"/>
      <c r="EW209" s="131"/>
      <c r="EX209" s="131"/>
      <c r="EY209" s="131"/>
      <c r="EZ209" s="131"/>
      <c r="FA209" s="131"/>
      <c r="FB209" s="131"/>
      <c r="FC209" s="131"/>
      <c r="FD209" s="131"/>
      <c r="FE209" s="131"/>
      <c r="FF209" s="131"/>
      <c r="FG209" s="131"/>
      <c r="FH209" s="131"/>
      <c r="FI209" s="131"/>
      <c r="FJ209" s="131"/>
      <c r="FK209" s="131"/>
      <c r="FL209" s="131"/>
      <c r="FM209" s="131"/>
      <c r="FN209" s="131"/>
      <c r="FO209" s="131"/>
      <c r="FP209" s="131"/>
      <c r="FQ209" s="131"/>
      <c r="FR209" s="131"/>
      <c r="FS209" s="131"/>
      <c r="FT209" s="131"/>
      <c r="FU209" s="131"/>
      <c r="FV209" s="131"/>
      <c r="FW209" s="131"/>
      <c r="FX209" s="131"/>
      <c r="FY209" s="131"/>
      <c r="FZ209" s="131"/>
      <c r="GA209" s="131"/>
      <c r="GB209" s="131"/>
      <c r="GC209" s="131"/>
    </row>
    <row r="210" spans="1:185" s="114" customFormat="1" ht="45" x14ac:dyDescent="0.25">
      <c r="A210" s="57" t="s">
        <v>110</v>
      </c>
      <c r="B210" s="139">
        <f>'2 уровень'!C337</f>
        <v>21</v>
      </c>
      <c r="C210" s="139">
        <f>'2 уровень'!D337</f>
        <v>9</v>
      </c>
      <c r="D210" s="359">
        <f>'2 уровень'!E337</f>
        <v>21</v>
      </c>
      <c r="E210" s="140">
        <f>'2 уровень'!F337</f>
        <v>233.33333333333334</v>
      </c>
      <c r="F210" s="119">
        <f>'2 уровень'!G337</f>
        <v>137.80367999999999</v>
      </c>
      <c r="G210" s="119">
        <f>'2 уровень'!H337</f>
        <v>57.42</v>
      </c>
      <c r="H210" s="34">
        <f>'2 уровень'!I337</f>
        <v>137.80367999999999</v>
      </c>
      <c r="I210" s="119">
        <f>'2 уровень'!J337</f>
        <v>239.99247648902818</v>
      </c>
      <c r="J210" s="132"/>
      <c r="K210" s="380"/>
      <c r="L210" s="381"/>
      <c r="M210" s="131"/>
      <c r="N210" s="131"/>
      <c r="O210" s="131"/>
      <c r="P210" s="131"/>
      <c r="Q210" s="131"/>
      <c r="R210" s="131"/>
      <c r="S210" s="131"/>
      <c r="T210" s="131"/>
      <c r="U210" s="131"/>
      <c r="V210" s="131"/>
      <c r="W210" s="131"/>
      <c r="X210" s="131"/>
      <c r="Y210" s="131"/>
      <c r="Z210" s="131"/>
      <c r="AA210" s="131"/>
      <c r="AB210" s="131"/>
      <c r="AC210" s="131"/>
      <c r="AD210" s="131"/>
      <c r="AE210" s="131"/>
      <c r="AF210" s="131"/>
      <c r="AG210" s="131"/>
      <c r="AH210" s="131"/>
      <c r="AI210" s="131"/>
      <c r="AJ210" s="131"/>
      <c r="AK210" s="131"/>
      <c r="AL210" s="131"/>
      <c r="AM210" s="131"/>
      <c r="AN210" s="131"/>
      <c r="AO210" s="131"/>
      <c r="AP210" s="131"/>
      <c r="AQ210" s="131"/>
      <c r="AR210" s="131"/>
      <c r="AS210" s="131"/>
      <c r="AT210" s="131"/>
      <c r="AU210" s="131"/>
      <c r="AV210" s="131"/>
      <c r="AW210" s="131"/>
      <c r="AX210" s="131"/>
      <c r="AY210" s="131"/>
      <c r="AZ210" s="131"/>
      <c r="BA210" s="131"/>
      <c r="BB210" s="131"/>
      <c r="BC210" s="131"/>
      <c r="BD210" s="131"/>
      <c r="BE210" s="131"/>
      <c r="BF210" s="131"/>
      <c r="BG210" s="131"/>
      <c r="BH210" s="131"/>
      <c r="BI210" s="131"/>
      <c r="BJ210" s="131"/>
      <c r="BK210" s="131"/>
      <c r="BL210" s="131"/>
      <c r="BM210" s="131"/>
      <c r="BN210" s="131"/>
      <c r="BO210" s="131"/>
      <c r="BP210" s="131"/>
      <c r="BQ210" s="131"/>
      <c r="BR210" s="131"/>
      <c r="BS210" s="131"/>
      <c r="BT210" s="131"/>
      <c r="BU210" s="131"/>
      <c r="BV210" s="131"/>
      <c r="BW210" s="131"/>
      <c r="BX210" s="131"/>
      <c r="BY210" s="131"/>
      <c r="BZ210" s="131"/>
      <c r="CA210" s="131"/>
      <c r="CB210" s="131"/>
      <c r="CC210" s="131"/>
      <c r="CD210" s="131"/>
      <c r="CE210" s="131"/>
      <c r="CF210" s="131"/>
      <c r="CG210" s="131"/>
      <c r="CH210" s="131"/>
      <c r="CI210" s="131"/>
      <c r="CJ210" s="131"/>
      <c r="CK210" s="131"/>
      <c r="CL210" s="131"/>
      <c r="CM210" s="131"/>
      <c r="CN210" s="131"/>
      <c r="CO210" s="131"/>
      <c r="CP210" s="131"/>
      <c r="CQ210" s="131"/>
      <c r="CR210" s="131"/>
      <c r="CS210" s="131"/>
      <c r="CT210" s="131"/>
      <c r="CU210" s="131"/>
      <c r="CV210" s="131"/>
      <c r="CW210" s="131"/>
      <c r="CX210" s="131"/>
      <c r="CY210" s="131"/>
      <c r="CZ210" s="131"/>
      <c r="DA210" s="131"/>
      <c r="DB210" s="131"/>
      <c r="DC210" s="131"/>
      <c r="DD210" s="131"/>
      <c r="DE210" s="131"/>
      <c r="DF210" s="131"/>
      <c r="DG210" s="131"/>
      <c r="DH210" s="131"/>
      <c r="DI210" s="131"/>
      <c r="DJ210" s="131"/>
      <c r="DK210" s="131"/>
      <c r="DL210" s="131"/>
      <c r="DM210" s="131"/>
      <c r="DN210" s="131"/>
      <c r="DO210" s="131"/>
      <c r="DP210" s="131"/>
      <c r="DQ210" s="131"/>
      <c r="DR210" s="131"/>
      <c r="DS210" s="131"/>
      <c r="DT210" s="131"/>
      <c r="DU210" s="131"/>
      <c r="DV210" s="131"/>
      <c r="DW210" s="131"/>
      <c r="DX210" s="131"/>
      <c r="DY210" s="131"/>
      <c r="DZ210" s="131"/>
      <c r="EA210" s="131"/>
      <c r="EB210" s="131"/>
      <c r="EC210" s="131"/>
      <c r="ED210" s="131"/>
      <c r="EE210" s="131"/>
      <c r="EF210" s="131"/>
      <c r="EG210" s="131"/>
      <c r="EH210" s="131"/>
      <c r="EI210" s="131"/>
      <c r="EJ210" s="131"/>
      <c r="EK210" s="131"/>
      <c r="EL210" s="131"/>
      <c r="EM210" s="131"/>
      <c r="EN210" s="131"/>
      <c r="EO210" s="131"/>
      <c r="EP210" s="131"/>
      <c r="EQ210" s="131"/>
      <c r="ER210" s="131"/>
      <c r="ES210" s="131"/>
      <c r="ET210" s="131"/>
      <c r="EU210" s="131"/>
      <c r="EV210" s="131"/>
      <c r="EW210" s="131"/>
      <c r="EX210" s="131"/>
      <c r="EY210" s="131"/>
      <c r="EZ210" s="131"/>
      <c r="FA210" s="131"/>
      <c r="FB210" s="131"/>
      <c r="FC210" s="131"/>
      <c r="FD210" s="131"/>
      <c r="FE210" s="131"/>
      <c r="FF210" s="131"/>
      <c r="FG210" s="131"/>
      <c r="FH210" s="131"/>
      <c r="FI210" s="131"/>
      <c r="FJ210" s="131"/>
      <c r="FK210" s="131"/>
      <c r="FL210" s="131"/>
      <c r="FM210" s="131"/>
      <c r="FN210" s="131"/>
      <c r="FO210" s="131"/>
      <c r="FP210" s="131"/>
      <c r="FQ210" s="131"/>
      <c r="FR210" s="131"/>
      <c r="FS210" s="131"/>
      <c r="FT210" s="131"/>
      <c r="FU210" s="131"/>
      <c r="FV210" s="131"/>
      <c r="FW210" s="131"/>
      <c r="FX210" s="131"/>
      <c r="FY210" s="131"/>
      <c r="FZ210" s="131"/>
      <c r="GA210" s="131"/>
      <c r="GB210" s="131"/>
      <c r="GC210" s="131"/>
    </row>
    <row r="211" spans="1:185" s="114" customFormat="1" ht="30" x14ac:dyDescent="0.25">
      <c r="A211" s="57" t="s">
        <v>111</v>
      </c>
      <c r="B211" s="139">
        <f>'2 уровень'!C338</f>
        <v>250</v>
      </c>
      <c r="C211" s="139">
        <f>'2 уровень'!D338</f>
        <v>104</v>
      </c>
      <c r="D211" s="359">
        <f>'2 уровень'!E338</f>
        <v>0</v>
      </c>
      <c r="E211" s="140">
        <f>'2 уровень'!F338</f>
        <v>0</v>
      </c>
      <c r="F211" s="119">
        <f>'2 уровень'!G338</f>
        <v>1640.52</v>
      </c>
      <c r="G211" s="119">
        <f>'2 уровень'!H338</f>
        <v>683.55</v>
      </c>
      <c r="H211" s="34">
        <f>'2 уровень'!I338</f>
        <v>0</v>
      </c>
      <c r="I211" s="119">
        <f>'2 уровень'!J338</f>
        <v>0</v>
      </c>
      <c r="J211" s="132"/>
      <c r="K211" s="380"/>
      <c r="L211" s="381"/>
      <c r="M211" s="131"/>
      <c r="N211" s="131"/>
      <c r="O211" s="131"/>
      <c r="P211" s="131"/>
      <c r="Q211" s="131"/>
      <c r="R211" s="131"/>
      <c r="S211" s="131"/>
      <c r="T211" s="131"/>
      <c r="U211" s="131"/>
      <c r="V211" s="131"/>
      <c r="W211" s="131"/>
      <c r="X211" s="131"/>
      <c r="Y211" s="131"/>
      <c r="Z211" s="131"/>
      <c r="AA211" s="131"/>
      <c r="AB211" s="131"/>
      <c r="AC211" s="131"/>
      <c r="AD211" s="131"/>
      <c r="AE211" s="131"/>
      <c r="AF211" s="131"/>
      <c r="AG211" s="131"/>
      <c r="AH211" s="131"/>
      <c r="AI211" s="131"/>
      <c r="AJ211" s="131"/>
      <c r="AK211" s="131"/>
      <c r="AL211" s="131"/>
      <c r="AM211" s="131"/>
      <c r="AN211" s="131"/>
      <c r="AO211" s="131"/>
      <c r="AP211" s="131"/>
      <c r="AQ211" s="131"/>
      <c r="AR211" s="131"/>
      <c r="AS211" s="131"/>
      <c r="AT211" s="131"/>
      <c r="AU211" s="131"/>
      <c r="AV211" s="131"/>
      <c r="AW211" s="131"/>
      <c r="AX211" s="131"/>
      <c r="AY211" s="131"/>
      <c r="AZ211" s="131"/>
      <c r="BA211" s="131"/>
      <c r="BB211" s="131"/>
      <c r="BC211" s="131"/>
      <c r="BD211" s="131"/>
      <c r="BE211" s="131"/>
      <c r="BF211" s="131"/>
      <c r="BG211" s="131"/>
      <c r="BH211" s="131"/>
      <c r="BI211" s="131"/>
      <c r="BJ211" s="131"/>
      <c r="BK211" s="131"/>
      <c r="BL211" s="131"/>
      <c r="BM211" s="131"/>
      <c r="BN211" s="131"/>
      <c r="BO211" s="131"/>
      <c r="BP211" s="131"/>
      <c r="BQ211" s="131"/>
      <c r="BR211" s="131"/>
      <c r="BS211" s="131"/>
      <c r="BT211" s="131"/>
      <c r="BU211" s="131"/>
      <c r="BV211" s="131"/>
      <c r="BW211" s="131"/>
      <c r="BX211" s="131"/>
      <c r="BY211" s="131"/>
      <c r="BZ211" s="131"/>
      <c r="CA211" s="131"/>
      <c r="CB211" s="131"/>
      <c r="CC211" s="131"/>
      <c r="CD211" s="131"/>
      <c r="CE211" s="131"/>
      <c r="CF211" s="131"/>
      <c r="CG211" s="131"/>
      <c r="CH211" s="131"/>
      <c r="CI211" s="131"/>
      <c r="CJ211" s="131"/>
      <c r="CK211" s="131"/>
      <c r="CL211" s="131"/>
      <c r="CM211" s="131"/>
      <c r="CN211" s="131"/>
      <c r="CO211" s="131"/>
      <c r="CP211" s="131"/>
      <c r="CQ211" s="131"/>
      <c r="CR211" s="131"/>
      <c r="CS211" s="131"/>
      <c r="CT211" s="131"/>
      <c r="CU211" s="131"/>
      <c r="CV211" s="131"/>
      <c r="CW211" s="131"/>
      <c r="CX211" s="131"/>
      <c r="CY211" s="131"/>
      <c r="CZ211" s="131"/>
      <c r="DA211" s="131"/>
      <c r="DB211" s="131"/>
      <c r="DC211" s="131"/>
      <c r="DD211" s="131"/>
      <c r="DE211" s="131"/>
      <c r="DF211" s="131"/>
      <c r="DG211" s="131"/>
      <c r="DH211" s="131"/>
      <c r="DI211" s="131"/>
      <c r="DJ211" s="131"/>
      <c r="DK211" s="131"/>
      <c r="DL211" s="131"/>
      <c r="DM211" s="131"/>
      <c r="DN211" s="131"/>
      <c r="DO211" s="131"/>
      <c r="DP211" s="131"/>
      <c r="DQ211" s="131"/>
      <c r="DR211" s="131"/>
      <c r="DS211" s="131"/>
      <c r="DT211" s="131"/>
      <c r="DU211" s="131"/>
      <c r="DV211" s="131"/>
      <c r="DW211" s="131"/>
      <c r="DX211" s="131"/>
      <c r="DY211" s="131"/>
      <c r="DZ211" s="131"/>
      <c r="EA211" s="131"/>
      <c r="EB211" s="131"/>
      <c r="EC211" s="131"/>
      <c r="ED211" s="131"/>
      <c r="EE211" s="131"/>
      <c r="EF211" s="131"/>
      <c r="EG211" s="131"/>
      <c r="EH211" s="131"/>
      <c r="EI211" s="131"/>
      <c r="EJ211" s="131"/>
      <c r="EK211" s="131"/>
      <c r="EL211" s="131"/>
      <c r="EM211" s="131"/>
      <c r="EN211" s="131"/>
      <c r="EO211" s="131"/>
      <c r="EP211" s="131"/>
      <c r="EQ211" s="131"/>
      <c r="ER211" s="131"/>
      <c r="ES211" s="131"/>
      <c r="ET211" s="131"/>
      <c r="EU211" s="131"/>
      <c r="EV211" s="131"/>
      <c r="EW211" s="131"/>
      <c r="EX211" s="131"/>
      <c r="EY211" s="131"/>
      <c r="EZ211" s="131"/>
      <c r="FA211" s="131"/>
      <c r="FB211" s="131"/>
      <c r="FC211" s="131"/>
      <c r="FD211" s="131"/>
      <c r="FE211" s="131"/>
      <c r="FF211" s="131"/>
      <c r="FG211" s="131"/>
      <c r="FH211" s="131"/>
      <c r="FI211" s="131"/>
      <c r="FJ211" s="131"/>
      <c r="FK211" s="131"/>
      <c r="FL211" s="131"/>
      <c r="FM211" s="131"/>
      <c r="FN211" s="131"/>
      <c r="FO211" s="131"/>
      <c r="FP211" s="131"/>
      <c r="FQ211" s="131"/>
      <c r="FR211" s="131"/>
      <c r="FS211" s="131"/>
      <c r="FT211" s="131"/>
      <c r="FU211" s="131"/>
      <c r="FV211" s="131"/>
      <c r="FW211" s="131"/>
      <c r="FX211" s="131"/>
      <c r="FY211" s="131"/>
      <c r="FZ211" s="131"/>
      <c r="GA211" s="131"/>
      <c r="GB211" s="131"/>
      <c r="GC211" s="131"/>
    </row>
    <row r="212" spans="1:185" s="114" customFormat="1" ht="30" x14ac:dyDescent="0.25">
      <c r="A212" s="229" t="s">
        <v>112</v>
      </c>
      <c r="B212" s="256">
        <f>'2 уровень'!C339</f>
        <v>7360</v>
      </c>
      <c r="C212" s="256">
        <f>'2 уровень'!D339</f>
        <v>3066</v>
      </c>
      <c r="D212" s="256">
        <f>'2 уровень'!E339</f>
        <v>2030</v>
      </c>
      <c r="E212" s="257">
        <f>'2 уровень'!F339</f>
        <v>66.210045662100455</v>
      </c>
      <c r="F212" s="255">
        <f>'2 уровень'!G339</f>
        <v>15168.309600000001</v>
      </c>
      <c r="G212" s="255">
        <f>'2 уровень'!H339</f>
        <v>6320.12</v>
      </c>
      <c r="H212" s="255">
        <f>'2 уровень'!I339</f>
        <v>4381.73056</v>
      </c>
      <c r="I212" s="255">
        <f>'2 уровень'!J339</f>
        <v>69.329863357024863</v>
      </c>
      <c r="J212" s="132"/>
      <c r="K212" s="380"/>
      <c r="L212" s="381"/>
      <c r="M212" s="131"/>
      <c r="N212" s="131"/>
      <c r="O212" s="131"/>
      <c r="P212" s="131"/>
      <c r="Q212" s="131"/>
      <c r="R212" s="131"/>
      <c r="S212" s="131"/>
      <c r="T212" s="131"/>
      <c r="U212" s="131"/>
      <c r="V212" s="131"/>
      <c r="W212" s="131"/>
      <c r="X212" s="131"/>
      <c r="Y212" s="131"/>
      <c r="Z212" s="131"/>
      <c r="AA212" s="131"/>
      <c r="AB212" s="131"/>
      <c r="AC212" s="131"/>
      <c r="AD212" s="131"/>
      <c r="AE212" s="131"/>
      <c r="AF212" s="131"/>
      <c r="AG212" s="131"/>
      <c r="AH212" s="131"/>
      <c r="AI212" s="131"/>
      <c r="AJ212" s="131"/>
      <c r="AK212" s="131"/>
      <c r="AL212" s="131"/>
      <c r="AM212" s="131"/>
      <c r="AN212" s="131"/>
      <c r="AO212" s="131"/>
      <c r="AP212" s="131"/>
      <c r="AQ212" s="131"/>
      <c r="AR212" s="131"/>
      <c r="AS212" s="131"/>
      <c r="AT212" s="131"/>
      <c r="AU212" s="131"/>
      <c r="AV212" s="131"/>
      <c r="AW212" s="131"/>
      <c r="AX212" s="131"/>
      <c r="AY212" s="131"/>
      <c r="AZ212" s="131"/>
      <c r="BA212" s="131"/>
      <c r="BB212" s="131"/>
      <c r="BC212" s="131"/>
      <c r="BD212" s="131"/>
      <c r="BE212" s="131"/>
      <c r="BF212" s="131"/>
      <c r="BG212" s="131"/>
      <c r="BH212" s="131"/>
      <c r="BI212" s="131"/>
      <c r="BJ212" s="131"/>
      <c r="BK212" s="131"/>
      <c r="BL212" s="131"/>
      <c r="BM212" s="131"/>
      <c r="BN212" s="131"/>
      <c r="BO212" s="131"/>
      <c r="BP212" s="131"/>
      <c r="BQ212" s="131"/>
      <c r="BR212" s="131"/>
      <c r="BS212" s="131"/>
      <c r="BT212" s="131"/>
      <c r="BU212" s="131"/>
      <c r="BV212" s="131"/>
      <c r="BW212" s="131"/>
      <c r="BX212" s="131"/>
      <c r="BY212" s="131"/>
      <c r="BZ212" s="131"/>
      <c r="CA212" s="131"/>
      <c r="CB212" s="131"/>
      <c r="CC212" s="131"/>
      <c r="CD212" s="131"/>
      <c r="CE212" s="131"/>
      <c r="CF212" s="131"/>
      <c r="CG212" s="131"/>
      <c r="CH212" s="131"/>
      <c r="CI212" s="131"/>
      <c r="CJ212" s="131"/>
      <c r="CK212" s="131"/>
      <c r="CL212" s="131"/>
      <c r="CM212" s="131"/>
      <c r="CN212" s="131"/>
      <c r="CO212" s="131"/>
      <c r="CP212" s="131"/>
      <c r="CQ212" s="131"/>
      <c r="CR212" s="131"/>
      <c r="CS212" s="131"/>
      <c r="CT212" s="131"/>
      <c r="CU212" s="131"/>
      <c r="CV212" s="131"/>
      <c r="CW212" s="131"/>
      <c r="CX212" s="131"/>
      <c r="CY212" s="131"/>
      <c r="CZ212" s="131"/>
      <c r="DA212" s="131"/>
      <c r="DB212" s="131"/>
      <c r="DC212" s="131"/>
      <c r="DD212" s="131"/>
      <c r="DE212" s="131"/>
      <c r="DF212" s="131"/>
      <c r="DG212" s="131"/>
      <c r="DH212" s="131"/>
      <c r="DI212" s="131"/>
      <c r="DJ212" s="131"/>
      <c r="DK212" s="131"/>
      <c r="DL212" s="131"/>
      <c r="DM212" s="131"/>
      <c r="DN212" s="131"/>
      <c r="DO212" s="131"/>
      <c r="DP212" s="131"/>
      <c r="DQ212" s="131"/>
      <c r="DR212" s="131"/>
      <c r="DS212" s="131"/>
      <c r="DT212" s="131"/>
      <c r="DU212" s="131"/>
      <c r="DV212" s="131"/>
      <c r="DW212" s="131"/>
      <c r="DX212" s="131"/>
      <c r="DY212" s="131"/>
      <c r="DZ212" s="131"/>
      <c r="EA212" s="131"/>
      <c r="EB212" s="131"/>
      <c r="EC212" s="131"/>
      <c r="ED212" s="131"/>
      <c r="EE212" s="131"/>
      <c r="EF212" s="131"/>
      <c r="EG212" s="131"/>
      <c r="EH212" s="131"/>
      <c r="EI212" s="131"/>
      <c r="EJ212" s="131"/>
      <c r="EK212" s="131"/>
      <c r="EL212" s="131"/>
      <c r="EM212" s="131"/>
      <c r="EN212" s="131"/>
      <c r="EO212" s="131"/>
      <c r="EP212" s="131"/>
      <c r="EQ212" s="131"/>
      <c r="ER212" s="131"/>
      <c r="ES212" s="131"/>
      <c r="ET212" s="131"/>
      <c r="EU212" s="131"/>
      <c r="EV212" s="131"/>
      <c r="EW212" s="131"/>
      <c r="EX212" s="131"/>
      <c r="EY212" s="131"/>
      <c r="EZ212" s="131"/>
      <c r="FA212" s="131"/>
      <c r="FB212" s="131"/>
      <c r="FC212" s="131"/>
      <c r="FD212" s="131"/>
      <c r="FE212" s="131"/>
      <c r="FF212" s="131"/>
      <c r="FG212" s="131"/>
      <c r="FH212" s="131"/>
      <c r="FI212" s="131"/>
      <c r="FJ212" s="131"/>
      <c r="FK212" s="131"/>
      <c r="FL212" s="131"/>
      <c r="FM212" s="131"/>
      <c r="FN212" s="131"/>
      <c r="FO212" s="131"/>
      <c r="FP212" s="131"/>
      <c r="FQ212" s="131"/>
      <c r="FR212" s="131"/>
      <c r="FS212" s="131"/>
      <c r="FT212" s="131"/>
      <c r="FU212" s="131"/>
      <c r="FV212" s="131"/>
      <c r="FW212" s="131"/>
      <c r="FX212" s="131"/>
      <c r="FY212" s="131"/>
      <c r="FZ212" s="131"/>
      <c r="GA212" s="131"/>
      <c r="GB212" s="131"/>
      <c r="GC212" s="131"/>
    </row>
    <row r="213" spans="1:185" s="114" customFormat="1" ht="30" x14ac:dyDescent="0.25">
      <c r="A213" s="57" t="s">
        <v>108</v>
      </c>
      <c r="B213" s="139">
        <f>'2 уровень'!C340</f>
        <v>2000</v>
      </c>
      <c r="C213" s="139">
        <f>'2 уровень'!D340</f>
        <v>833</v>
      </c>
      <c r="D213" s="359">
        <f>'2 уровень'!E340</f>
        <v>611</v>
      </c>
      <c r="E213" s="140">
        <f>'2 уровень'!F340</f>
        <v>73.349339735894361</v>
      </c>
      <c r="F213" s="119">
        <f>'2 уровень'!G340</f>
        <v>4241.0200000000004</v>
      </c>
      <c r="G213" s="119">
        <f>'2 уровень'!H340</f>
        <v>1767.09</v>
      </c>
      <c r="H213" s="34">
        <f>'2 уровень'!I340</f>
        <v>1274.98902</v>
      </c>
      <c r="I213" s="119">
        <f>'2 уровень'!J340</f>
        <v>72.151900582313303</v>
      </c>
      <c r="J213" s="132"/>
      <c r="K213" s="380"/>
      <c r="L213" s="381"/>
      <c r="M213" s="131"/>
      <c r="N213" s="131"/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  <c r="Z213" s="131"/>
      <c r="AA213" s="131"/>
      <c r="AB213" s="131"/>
      <c r="AC213" s="131"/>
      <c r="AD213" s="131"/>
      <c r="AE213" s="131"/>
      <c r="AF213" s="131"/>
      <c r="AG213" s="131"/>
      <c r="AH213" s="131"/>
      <c r="AI213" s="131"/>
      <c r="AJ213" s="131"/>
      <c r="AK213" s="131"/>
      <c r="AL213" s="131"/>
      <c r="AM213" s="131"/>
      <c r="AN213" s="131"/>
      <c r="AO213" s="131"/>
      <c r="AP213" s="131"/>
      <c r="AQ213" s="131"/>
      <c r="AR213" s="131"/>
      <c r="AS213" s="131"/>
      <c r="AT213" s="131"/>
      <c r="AU213" s="131"/>
      <c r="AV213" s="131"/>
      <c r="AW213" s="131"/>
      <c r="AX213" s="131"/>
      <c r="AY213" s="131"/>
      <c r="AZ213" s="131"/>
      <c r="BA213" s="131"/>
      <c r="BB213" s="131"/>
      <c r="BC213" s="131"/>
      <c r="BD213" s="131"/>
      <c r="BE213" s="131"/>
      <c r="BF213" s="131"/>
      <c r="BG213" s="131"/>
      <c r="BH213" s="131"/>
      <c r="BI213" s="131"/>
      <c r="BJ213" s="131"/>
      <c r="BK213" s="131"/>
      <c r="BL213" s="131"/>
      <c r="BM213" s="131"/>
      <c r="BN213" s="131"/>
      <c r="BO213" s="131"/>
      <c r="BP213" s="131"/>
      <c r="BQ213" s="131"/>
      <c r="BR213" s="131"/>
      <c r="BS213" s="131"/>
      <c r="BT213" s="131"/>
      <c r="BU213" s="131"/>
      <c r="BV213" s="131"/>
      <c r="BW213" s="131"/>
      <c r="BX213" s="131"/>
      <c r="BY213" s="131"/>
      <c r="BZ213" s="131"/>
      <c r="CA213" s="131"/>
      <c r="CB213" s="131"/>
      <c r="CC213" s="131"/>
      <c r="CD213" s="131"/>
      <c r="CE213" s="131"/>
      <c r="CF213" s="131"/>
      <c r="CG213" s="131"/>
      <c r="CH213" s="131"/>
      <c r="CI213" s="131"/>
      <c r="CJ213" s="131"/>
      <c r="CK213" s="131"/>
      <c r="CL213" s="131"/>
      <c r="CM213" s="131"/>
      <c r="CN213" s="131"/>
      <c r="CO213" s="131"/>
      <c r="CP213" s="131"/>
      <c r="CQ213" s="131"/>
      <c r="CR213" s="131"/>
      <c r="CS213" s="131"/>
      <c r="CT213" s="131"/>
      <c r="CU213" s="131"/>
      <c r="CV213" s="131"/>
      <c r="CW213" s="131"/>
      <c r="CX213" s="131"/>
      <c r="CY213" s="131"/>
      <c r="CZ213" s="131"/>
      <c r="DA213" s="131"/>
      <c r="DB213" s="131"/>
      <c r="DC213" s="131"/>
      <c r="DD213" s="131"/>
      <c r="DE213" s="131"/>
      <c r="DF213" s="131"/>
      <c r="DG213" s="131"/>
      <c r="DH213" s="131"/>
      <c r="DI213" s="131"/>
      <c r="DJ213" s="131"/>
      <c r="DK213" s="131"/>
      <c r="DL213" s="131"/>
      <c r="DM213" s="131"/>
      <c r="DN213" s="131"/>
      <c r="DO213" s="131"/>
      <c r="DP213" s="131"/>
      <c r="DQ213" s="131"/>
      <c r="DR213" s="131"/>
      <c r="DS213" s="131"/>
      <c r="DT213" s="131"/>
      <c r="DU213" s="131"/>
      <c r="DV213" s="131"/>
      <c r="DW213" s="131"/>
      <c r="DX213" s="131"/>
      <c r="DY213" s="131"/>
      <c r="DZ213" s="131"/>
      <c r="EA213" s="131"/>
      <c r="EB213" s="131"/>
      <c r="EC213" s="131"/>
      <c r="ED213" s="131"/>
      <c r="EE213" s="131"/>
      <c r="EF213" s="131"/>
      <c r="EG213" s="131"/>
      <c r="EH213" s="131"/>
      <c r="EI213" s="131"/>
      <c r="EJ213" s="131"/>
      <c r="EK213" s="131"/>
      <c r="EL213" s="131"/>
      <c r="EM213" s="131"/>
      <c r="EN213" s="131"/>
      <c r="EO213" s="131"/>
      <c r="EP213" s="131"/>
      <c r="EQ213" s="131"/>
      <c r="ER213" s="131"/>
      <c r="ES213" s="131"/>
      <c r="ET213" s="131"/>
      <c r="EU213" s="131"/>
      <c r="EV213" s="131"/>
      <c r="EW213" s="131"/>
      <c r="EX213" s="131"/>
      <c r="EY213" s="131"/>
      <c r="EZ213" s="131"/>
      <c r="FA213" s="131"/>
      <c r="FB213" s="131"/>
      <c r="FC213" s="131"/>
      <c r="FD213" s="131"/>
      <c r="FE213" s="131"/>
      <c r="FF213" s="131"/>
      <c r="FG213" s="131"/>
      <c r="FH213" s="131"/>
      <c r="FI213" s="131"/>
      <c r="FJ213" s="131"/>
      <c r="FK213" s="131"/>
      <c r="FL213" s="131"/>
      <c r="FM213" s="131"/>
      <c r="FN213" s="131"/>
      <c r="FO213" s="131"/>
      <c r="FP213" s="131"/>
      <c r="FQ213" s="131"/>
      <c r="FR213" s="131"/>
      <c r="FS213" s="131"/>
      <c r="FT213" s="131"/>
      <c r="FU213" s="131"/>
      <c r="FV213" s="131"/>
      <c r="FW213" s="131"/>
      <c r="FX213" s="131"/>
      <c r="FY213" s="131"/>
      <c r="FZ213" s="131"/>
      <c r="GA213" s="131"/>
      <c r="GB213" s="131"/>
      <c r="GC213" s="131"/>
    </row>
    <row r="214" spans="1:185" s="114" customFormat="1" ht="60" x14ac:dyDescent="0.25">
      <c r="A214" s="57" t="s">
        <v>81</v>
      </c>
      <c r="B214" s="139">
        <f>'2 уровень'!C341</f>
        <v>3200</v>
      </c>
      <c r="C214" s="139">
        <f>'2 уровень'!D341</f>
        <v>1333</v>
      </c>
      <c r="D214" s="359">
        <f>'2 уровень'!E341</f>
        <v>972</v>
      </c>
      <c r="E214" s="140">
        <f>'2 уровень'!F341</f>
        <v>72.918229557389353</v>
      </c>
      <c r="F214" s="119">
        <f>'2 уровень'!G341</f>
        <v>8810.1440000000002</v>
      </c>
      <c r="G214" s="119">
        <f>'2 уровень'!H341</f>
        <v>3670.89</v>
      </c>
      <c r="H214" s="34">
        <f>'2 уровень'!I341</f>
        <v>2634.6824200000001</v>
      </c>
      <c r="I214" s="119">
        <f>'2 уровень'!J341</f>
        <v>71.772306443396559</v>
      </c>
      <c r="J214" s="132"/>
      <c r="K214" s="380"/>
      <c r="L214" s="381"/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  <c r="AA214" s="131"/>
      <c r="AB214" s="131"/>
      <c r="AC214" s="131"/>
      <c r="AD214" s="131"/>
      <c r="AE214" s="131"/>
      <c r="AF214" s="131"/>
      <c r="AG214" s="131"/>
      <c r="AH214" s="131"/>
      <c r="AI214" s="131"/>
      <c r="AJ214" s="131"/>
      <c r="AK214" s="131"/>
      <c r="AL214" s="131"/>
      <c r="AM214" s="131"/>
      <c r="AN214" s="131"/>
      <c r="AO214" s="131"/>
      <c r="AP214" s="131"/>
      <c r="AQ214" s="131"/>
      <c r="AR214" s="131"/>
      <c r="AS214" s="131"/>
      <c r="AT214" s="131"/>
      <c r="AU214" s="131"/>
      <c r="AV214" s="131"/>
      <c r="AW214" s="131"/>
      <c r="AX214" s="131"/>
      <c r="AY214" s="131"/>
      <c r="AZ214" s="131"/>
      <c r="BA214" s="131"/>
      <c r="BB214" s="131"/>
      <c r="BC214" s="131"/>
      <c r="BD214" s="131"/>
      <c r="BE214" s="131"/>
      <c r="BF214" s="131"/>
      <c r="BG214" s="131"/>
      <c r="BH214" s="131"/>
      <c r="BI214" s="131"/>
      <c r="BJ214" s="131"/>
      <c r="BK214" s="131"/>
      <c r="BL214" s="131"/>
      <c r="BM214" s="131"/>
      <c r="BN214" s="131"/>
      <c r="BO214" s="131"/>
      <c r="BP214" s="131"/>
      <c r="BQ214" s="131"/>
      <c r="BR214" s="131"/>
      <c r="BS214" s="131"/>
      <c r="BT214" s="131"/>
      <c r="BU214" s="131"/>
      <c r="BV214" s="131"/>
      <c r="BW214" s="131"/>
      <c r="BX214" s="131"/>
      <c r="BY214" s="131"/>
      <c r="BZ214" s="131"/>
      <c r="CA214" s="131"/>
      <c r="CB214" s="131"/>
      <c r="CC214" s="131"/>
      <c r="CD214" s="131"/>
      <c r="CE214" s="131"/>
      <c r="CF214" s="131"/>
      <c r="CG214" s="131"/>
      <c r="CH214" s="131"/>
      <c r="CI214" s="131"/>
      <c r="CJ214" s="131"/>
      <c r="CK214" s="131"/>
      <c r="CL214" s="131"/>
      <c r="CM214" s="131"/>
      <c r="CN214" s="131"/>
      <c r="CO214" s="131"/>
      <c r="CP214" s="131"/>
      <c r="CQ214" s="131"/>
      <c r="CR214" s="131"/>
      <c r="CS214" s="131"/>
      <c r="CT214" s="131"/>
      <c r="CU214" s="131"/>
      <c r="CV214" s="131"/>
      <c r="CW214" s="131"/>
      <c r="CX214" s="131"/>
      <c r="CY214" s="131"/>
      <c r="CZ214" s="131"/>
      <c r="DA214" s="131"/>
      <c r="DB214" s="131"/>
      <c r="DC214" s="131"/>
      <c r="DD214" s="131"/>
      <c r="DE214" s="131"/>
      <c r="DF214" s="131"/>
      <c r="DG214" s="131"/>
      <c r="DH214" s="131"/>
      <c r="DI214" s="131"/>
      <c r="DJ214" s="131"/>
      <c r="DK214" s="131"/>
      <c r="DL214" s="131"/>
      <c r="DM214" s="131"/>
      <c r="DN214" s="131"/>
      <c r="DO214" s="131"/>
      <c r="DP214" s="131"/>
      <c r="DQ214" s="131"/>
      <c r="DR214" s="131"/>
      <c r="DS214" s="131"/>
      <c r="DT214" s="131"/>
      <c r="DU214" s="131"/>
      <c r="DV214" s="131"/>
      <c r="DW214" s="131"/>
      <c r="DX214" s="131"/>
      <c r="DY214" s="131"/>
      <c r="DZ214" s="131"/>
      <c r="EA214" s="131"/>
      <c r="EB214" s="131"/>
      <c r="EC214" s="131"/>
      <c r="ED214" s="131"/>
      <c r="EE214" s="131"/>
      <c r="EF214" s="131"/>
      <c r="EG214" s="131"/>
      <c r="EH214" s="131"/>
      <c r="EI214" s="131"/>
      <c r="EJ214" s="131"/>
      <c r="EK214" s="131"/>
      <c r="EL214" s="131"/>
      <c r="EM214" s="131"/>
      <c r="EN214" s="131"/>
      <c r="EO214" s="131"/>
      <c r="EP214" s="131"/>
      <c r="EQ214" s="131"/>
      <c r="ER214" s="131"/>
      <c r="ES214" s="131"/>
      <c r="ET214" s="131"/>
      <c r="EU214" s="131"/>
      <c r="EV214" s="131"/>
      <c r="EW214" s="131"/>
      <c r="EX214" s="131"/>
      <c r="EY214" s="131"/>
      <c r="EZ214" s="131"/>
      <c r="FA214" s="131"/>
      <c r="FB214" s="131"/>
      <c r="FC214" s="131"/>
      <c r="FD214" s="131"/>
      <c r="FE214" s="131"/>
      <c r="FF214" s="131"/>
      <c r="FG214" s="131"/>
      <c r="FH214" s="131"/>
      <c r="FI214" s="131"/>
      <c r="FJ214" s="131"/>
      <c r="FK214" s="131"/>
      <c r="FL214" s="131"/>
      <c r="FM214" s="131"/>
      <c r="FN214" s="131"/>
      <c r="FO214" s="131"/>
      <c r="FP214" s="131"/>
      <c r="FQ214" s="131"/>
      <c r="FR214" s="131"/>
      <c r="FS214" s="131"/>
      <c r="FT214" s="131"/>
      <c r="FU214" s="131"/>
      <c r="FV214" s="131"/>
      <c r="FW214" s="131"/>
      <c r="FX214" s="131"/>
      <c r="FY214" s="131"/>
      <c r="FZ214" s="131"/>
      <c r="GA214" s="131"/>
      <c r="GB214" s="131"/>
      <c r="GC214" s="131"/>
    </row>
    <row r="215" spans="1:185" s="114" customFormat="1" ht="45" x14ac:dyDescent="0.25">
      <c r="A215" s="57" t="s">
        <v>109</v>
      </c>
      <c r="B215" s="139">
        <f>'2 уровень'!C342</f>
        <v>2160</v>
      </c>
      <c r="C215" s="139">
        <f>'2 уровень'!D342</f>
        <v>900</v>
      </c>
      <c r="D215" s="359">
        <f>'2 уровень'!E342</f>
        <v>447</v>
      </c>
      <c r="E215" s="140">
        <f>'2 уровень'!F342</f>
        <v>49.666666666666664</v>
      </c>
      <c r="F215" s="119">
        <f>'2 уровень'!G342</f>
        <v>2117.1456000000003</v>
      </c>
      <c r="G215" s="119">
        <f>'2 уровень'!H342</f>
        <v>882.14</v>
      </c>
      <c r="H215" s="34">
        <f>'2 уровень'!I342</f>
        <v>472.05912000000001</v>
      </c>
      <c r="I215" s="119">
        <f>'2 уровень'!J342</f>
        <v>53.512948058131357</v>
      </c>
      <c r="J215" s="132"/>
      <c r="K215" s="380"/>
      <c r="L215" s="381"/>
      <c r="M215" s="131"/>
      <c r="N215" s="131"/>
      <c r="O215" s="131"/>
      <c r="P215" s="131"/>
      <c r="Q215" s="131"/>
      <c r="R215" s="131"/>
      <c r="S215" s="131"/>
      <c r="T215" s="131"/>
      <c r="U215" s="131"/>
      <c r="V215" s="131"/>
      <c r="W215" s="131"/>
      <c r="X215" s="131"/>
      <c r="Y215" s="131"/>
      <c r="Z215" s="131"/>
      <c r="AA215" s="131"/>
      <c r="AB215" s="131"/>
      <c r="AC215" s="131"/>
      <c r="AD215" s="131"/>
      <c r="AE215" s="131"/>
      <c r="AF215" s="131"/>
      <c r="AG215" s="131"/>
      <c r="AH215" s="131"/>
      <c r="AI215" s="131"/>
      <c r="AJ215" s="131"/>
      <c r="AK215" s="131"/>
      <c r="AL215" s="131"/>
      <c r="AM215" s="131"/>
      <c r="AN215" s="131"/>
      <c r="AO215" s="131"/>
      <c r="AP215" s="131"/>
      <c r="AQ215" s="131"/>
      <c r="AR215" s="131"/>
      <c r="AS215" s="131"/>
      <c r="AT215" s="131"/>
      <c r="AU215" s="131"/>
      <c r="AV215" s="131"/>
      <c r="AW215" s="131"/>
      <c r="AX215" s="131"/>
      <c r="AY215" s="131"/>
      <c r="AZ215" s="131"/>
      <c r="BA215" s="131"/>
      <c r="BB215" s="131"/>
      <c r="BC215" s="131"/>
      <c r="BD215" s="131"/>
      <c r="BE215" s="131"/>
      <c r="BF215" s="131"/>
      <c r="BG215" s="131"/>
      <c r="BH215" s="131"/>
      <c r="BI215" s="131"/>
      <c r="BJ215" s="131"/>
      <c r="BK215" s="131"/>
      <c r="BL215" s="131"/>
      <c r="BM215" s="131"/>
      <c r="BN215" s="131"/>
      <c r="BO215" s="131"/>
      <c r="BP215" s="131"/>
      <c r="BQ215" s="131"/>
      <c r="BR215" s="131"/>
      <c r="BS215" s="131"/>
      <c r="BT215" s="131"/>
      <c r="BU215" s="131"/>
      <c r="BV215" s="131"/>
      <c r="BW215" s="131"/>
      <c r="BX215" s="131"/>
      <c r="BY215" s="131"/>
      <c r="BZ215" s="131"/>
      <c r="CA215" s="131"/>
      <c r="CB215" s="131"/>
      <c r="CC215" s="131"/>
      <c r="CD215" s="131"/>
      <c r="CE215" s="131"/>
      <c r="CF215" s="131"/>
      <c r="CG215" s="131"/>
      <c r="CH215" s="131"/>
      <c r="CI215" s="131"/>
      <c r="CJ215" s="131"/>
      <c r="CK215" s="131"/>
      <c r="CL215" s="131"/>
      <c r="CM215" s="131"/>
      <c r="CN215" s="131"/>
      <c r="CO215" s="131"/>
      <c r="CP215" s="131"/>
      <c r="CQ215" s="131"/>
      <c r="CR215" s="131"/>
      <c r="CS215" s="131"/>
      <c r="CT215" s="131"/>
      <c r="CU215" s="131"/>
      <c r="CV215" s="131"/>
      <c r="CW215" s="131"/>
      <c r="CX215" s="131"/>
      <c r="CY215" s="131"/>
      <c r="CZ215" s="131"/>
      <c r="DA215" s="131"/>
      <c r="DB215" s="131"/>
      <c r="DC215" s="131"/>
      <c r="DD215" s="131"/>
      <c r="DE215" s="131"/>
      <c r="DF215" s="131"/>
      <c r="DG215" s="131"/>
      <c r="DH215" s="131"/>
      <c r="DI215" s="131"/>
      <c r="DJ215" s="131"/>
      <c r="DK215" s="131"/>
      <c r="DL215" s="131"/>
      <c r="DM215" s="131"/>
      <c r="DN215" s="131"/>
      <c r="DO215" s="131"/>
      <c r="DP215" s="131"/>
      <c r="DQ215" s="131"/>
      <c r="DR215" s="131"/>
      <c r="DS215" s="131"/>
      <c r="DT215" s="131"/>
      <c r="DU215" s="131"/>
      <c r="DV215" s="131"/>
      <c r="DW215" s="131"/>
      <c r="DX215" s="131"/>
      <c r="DY215" s="131"/>
      <c r="DZ215" s="131"/>
      <c r="EA215" s="131"/>
      <c r="EB215" s="131"/>
      <c r="EC215" s="131"/>
      <c r="ED215" s="131"/>
      <c r="EE215" s="131"/>
      <c r="EF215" s="131"/>
      <c r="EG215" s="131"/>
      <c r="EH215" s="131"/>
      <c r="EI215" s="131"/>
      <c r="EJ215" s="131"/>
      <c r="EK215" s="131"/>
      <c r="EL215" s="131"/>
      <c r="EM215" s="131"/>
      <c r="EN215" s="131"/>
      <c r="EO215" s="131"/>
      <c r="EP215" s="131"/>
      <c r="EQ215" s="131"/>
      <c r="ER215" s="131"/>
      <c r="ES215" s="131"/>
      <c r="ET215" s="131"/>
      <c r="EU215" s="131"/>
      <c r="EV215" s="131"/>
      <c r="EW215" s="131"/>
      <c r="EX215" s="131"/>
      <c r="EY215" s="131"/>
      <c r="EZ215" s="131"/>
      <c r="FA215" s="131"/>
      <c r="FB215" s="131"/>
      <c r="FC215" s="131"/>
      <c r="FD215" s="131"/>
      <c r="FE215" s="131"/>
      <c r="FF215" s="131"/>
      <c r="FG215" s="131"/>
      <c r="FH215" s="131"/>
      <c r="FI215" s="131"/>
      <c r="FJ215" s="131"/>
      <c r="FK215" s="131"/>
      <c r="FL215" s="131"/>
      <c r="FM215" s="131"/>
      <c r="FN215" s="131"/>
      <c r="FO215" s="131"/>
      <c r="FP215" s="131"/>
      <c r="FQ215" s="131"/>
      <c r="FR215" s="131"/>
      <c r="FS215" s="131"/>
      <c r="FT215" s="131"/>
      <c r="FU215" s="131"/>
      <c r="FV215" s="131"/>
      <c r="FW215" s="131"/>
      <c r="FX215" s="131"/>
      <c r="FY215" s="131"/>
      <c r="FZ215" s="131"/>
      <c r="GA215" s="131"/>
      <c r="GB215" s="131"/>
      <c r="GC215" s="131"/>
    </row>
    <row r="216" spans="1:185" s="114" customFormat="1" ht="30" x14ac:dyDescent="0.25">
      <c r="A216" s="57" t="s">
        <v>123</v>
      </c>
      <c r="B216" s="139">
        <f>'2 уровень'!C343</f>
        <v>12300</v>
      </c>
      <c r="C216" s="139">
        <f>'2 уровень'!D343</f>
        <v>5125</v>
      </c>
      <c r="D216" s="359">
        <f>'2 уровень'!E343</f>
        <v>5836</v>
      </c>
      <c r="E216" s="140">
        <f>'2 уровень'!F343</f>
        <v>113.8731707317073</v>
      </c>
      <c r="F216" s="119">
        <f>'2 уровень'!G343</f>
        <v>11970.606</v>
      </c>
      <c r="G216" s="119">
        <f>'2 уровень'!H343</f>
        <v>4987.75</v>
      </c>
      <c r="H216" s="34">
        <f>'2 уровень'!I343</f>
        <v>5677.8510000000006</v>
      </c>
      <c r="I216" s="119">
        <f>'2 уровень'!J343</f>
        <v>113.8359179990978</v>
      </c>
      <c r="J216" s="46"/>
      <c r="K216" s="46"/>
      <c r="L216" s="46"/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  <c r="AA216" s="131"/>
      <c r="AB216" s="131"/>
      <c r="AC216" s="131"/>
      <c r="AD216" s="131"/>
      <c r="AE216" s="131"/>
      <c r="AF216" s="131"/>
      <c r="AG216" s="131"/>
      <c r="AH216" s="131"/>
      <c r="AI216" s="131"/>
      <c r="AJ216" s="131"/>
      <c r="AK216" s="131"/>
      <c r="AL216" s="131"/>
      <c r="AM216" s="131"/>
      <c r="AN216" s="131"/>
      <c r="AO216" s="131"/>
      <c r="AP216" s="131"/>
      <c r="AQ216" s="131"/>
      <c r="AR216" s="131"/>
      <c r="AS216" s="131"/>
      <c r="AT216" s="131"/>
      <c r="AU216" s="131"/>
      <c r="AV216" s="131"/>
      <c r="AW216" s="131"/>
      <c r="AX216" s="131"/>
      <c r="AY216" s="131"/>
      <c r="AZ216" s="131"/>
      <c r="BA216" s="131"/>
      <c r="BB216" s="131"/>
      <c r="BC216" s="131"/>
      <c r="BD216" s="131"/>
      <c r="BE216" s="131"/>
      <c r="BF216" s="131"/>
      <c r="BG216" s="131"/>
      <c r="BH216" s="131"/>
      <c r="BI216" s="131"/>
      <c r="BJ216" s="131"/>
      <c r="BK216" s="131"/>
      <c r="BL216" s="131"/>
      <c r="BM216" s="131"/>
      <c r="BN216" s="131"/>
      <c r="BO216" s="131"/>
      <c r="BP216" s="131"/>
      <c r="BQ216" s="131"/>
      <c r="BR216" s="131"/>
      <c r="BS216" s="131"/>
      <c r="BT216" s="131"/>
      <c r="BU216" s="131"/>
      <c r="BV216" s="131"/>
      <c r="BW216" s="131"/>
      <c r="BX216" s="131"/>
      <c r="BY216" s="131"/>
      <c r="BZ216" s="131"/>
      <c r="CA216" s="131"/>
      <c r="CB216" s="131"/>
      <c r="CC216" s="131"/>
      <c r="CD216" s="131"/>
      <c r="CE216" s="131"/>
      <c r="CF216" s="131"/>
      <c r="CG216" s="131"/>
      <c r="CH216" s="131"/>
      <c r="CI216" s="131"/>
      <c r="CJ216" s="131"/>
      <c r="CK216" s="131"/>
      <c r="CL216" s="131"/>
      <c r="CM216" s="131"/>
      <c r="CN216" s="131"/>
      <c r="CO216" s="131"/>
      <c r="CP216" s="131"/>
      <c r="CQ216" s="131"/>
      <c r="CR216" s="131"/>
      <c r="CS216" s="131"/>
      <c r="CT216" s="131"/>
      <c r="CU216" s="131"/>
      <c r="CV216" s="131"/>
      <c r="CW216" s="131"/>
      <c r="CX216" s="131"/>
      <c r="CY216" s="131"/>
      <c r="CZ216" s="131"/>
      <c r="DA216" s="131"/>
      <c r="DB216" s="131"/>
      <c r="DC216" s="131"/>
      <c r="DD216" s="131"/>
      <c r="DE216" s="131"/>
      <c r="DF216" s="131"/>
      <c r="DG216" s="131"/>
      <c r="DH216" s="131"/>
      <c r="DI216" s="131"/>
      <c r="DJ216" s="131"/>
      <c r="DK216" s="131"/>
      <c r="DL216" s="131"/>
      <c r="DM216" s="131"/>
      <c r="DN216" s="131"/>
      <c r="DO216" s="131"/>
      <c r="DP216" s="131"/>
      <c r="DQ216" s="131"/>
      <c r="DR216" s="131"/>
      <c r="DS216" s="131"/>
      <c r="DT216" s="131"/>
      <c r="DU216" s="131"/>
      <c r="DV216" s="131"/>
      <c r="DW216" s="131"/>
      <c r="DX216" s="131"/>
      <c r="DY216" s="131"/>
      <c r="DZ216" s="131"/>
      <c r="EA216" s="131"/>
      <c r="EB216" s="131"/>
      <c r="EC216" s="131"/>
      <c r="ED216" s="131"/>
      <c r="EE216" s="131"/>
      <c r="EF216" s="131"/>
      <c r="EG216" s="131"/>
      <c r="EH216" s="131"/>
      <c r="EI216" s="131"/>
      <c r="EJ216" s="131"/>
      <c r="EK216" s="131"/>
      <c r="EL216" s="131"/>
      <c r="EM216" s="131"/>
      <c r="EN216" s="131"/>
      <c r="EO216" s="131"/>
      <c r="EP216" s="131"/>
      <c r="EQ216" s="131"/>
      <c r="ER216" s="131"/>
      <c r="ES216" s="131"/>
      <c r="ET216" s="131"/>
      <c r="EU216" s="131"/>
      <c r="EV216" s="131"/>
      <c r="EW216" s="131"/>
      <c r="EX216" s="131"/>
      <c r="EY216" s="131"/>
      <c r="EZ216" s="131"/>
      <c r="FA216" s="131"/>
      <c r="FB216" s="131"/>
      <c r="FC216" s="131"/>
      <c r="FD216" s="131"/>
      <c r="FE216" s="131"/>
      <c r="FF216" s="131"/>
      <c r="FG216" s="131"/>
      <c r="FH216" s="131"/>
      <c r="FI216" s="131"/>
      <c r="FJ216" s="131"/>
      <c r="FK216" s="131"/>
      <c r="FL216" s="131"/>
      <c r="FM216" s="131"/>
      <c r="FN216" s="131"/>
      <c r="FO216" s="131"/>
      <c r="FP216" s="131"/>
      <c r="FQ216" s="131"/>
      <c r="FR216" s="131"/>
      <c r="FS216" s="131"/>
      <c r="FT216" s="131"/>
      <c r="FU216" s="131"/>
      <c r="FV216" s="131"/>
      <c r="FW216" s="131"/>
      <c r="FX216" s="131"/>
      <c r="FY216" s="131"/>
      <c r="FZ216" s="131"/>
      <c r="GA216" s="131"/>
      <c r="GB216" s="131"/>
      <c r="GC216" s="131"/>
    </row>
    <row r="217" spans="1:185" s="114" customFormat="1" ht="15.75" thickBot="1" x14ac:dyDescent="0.3">
      <c r="A217" s="53" t="s">
        <v>4</v>
      </c>
      <c r="B217" s="139">
        <f>'2 уровень'!C344</f>
        <v>0</v>
      </c>
      <c r="C217" s="139">
        <f>'2 уровень'!D344</f>
        <v>0</v>
      </c>
      <c r="D217" s="359">
        <f>'2 уровень'!E344</f>
        <v>0</v>
      </c>
      <c r="E217" s="140">
        <f>'2 уровень'!F344</f>
        <v>0</v>
      </c>
      <c r="F217" s="119">
        <f>'2 уровень'!G344</f>
        <v>33454.009270000002</v>
      </c>
      <c r="G217" s="119">
        <f>'2 уровень'!H344</f>
        <v>13939.16</v>
      </c>
      <c r="H217" s="34">
        <f>'2 уровень'!I344</f>
        <v>11812.482260000001</v>
      </c>
      <c r="I217" s="119">
        <f>'2 уровень'!J344</f>
        <v>84.743142771874346</v>
      </c>
      <c r="J217" s="132"/>
      <c r="K217" s="380"/>
      <c r="L217" s="381"/>
      <c r="M217" s="131"/>
      <c r="N217" s="131"/>
      <c r="O217" s="131"/>
      <c r="P217" s="131"/>
      <c r="Q217" s="131"/>
      <c r="R217" s="131"/>
      <c r="S217" s="131"/>
      <c r="T217" s="131"/>
      <c r="U217" s="131"/>
      <c r="V217" s="131"/>
      <c r="W217" s="131"/>
      <c r="X217" s="131"/>
      <c r="Y217" s="131"/>
      <c r="Z217" s="131"/>
      <c r="AA217" s="131"/>
      <c r="AB217" s="131"/>
      <c r="AC217" s="131"/>
      <c r="AD217" s="131"/>
      <c r="AE217" s="131"/>
      <c r="AF217" s="131"/>
      <c r="AG217" s="131"/>
      <c r="AH217" s="131"/>
      <c r="AI217" s="131"/>
      <c r="AJ217" s="131"/>
      <c r="AK217" s="131"/>
      <c r="AL217" s="131"/>
      <c r="AM217" s="131"/>
      <c r="AN217" s="131"/>
      <c r="AO217" s="131"/>
      <c r="AP217" s="131"/>
      <c r="AQ217" s="131"/>
      <c r="AR217" s="131"/>
      <c r="AS217" s="131"/>
      <c r="AT217" s="131"/>
      <c r="AU217" s="131"/>
      <c r="AV217" s="131"/>
      <c r="AW217" s="131"/>
      <c r="AX217" s="131"/>
      <c r="AY217" s="131"/>
      <c r="AZ217" s="131"/>
      <c r="BA217" s="131"/>
      <c r="BB217" s="131"/>
      <c r="BC217" s="131"/>
      <c r="BD217" s="131"/>
      <c r="BE217" s="131"/>
      <c r="BF217" s="131"/>
      <c r="BG217" s="131"/>
      <c r="BH217" s="131"/>
      <c r="BI217" s="131"/>
      <c r="BJ217" s="131"/>
      <c r="BK217" s="131"/>
      <c r="BL217" s="131"/>
      <c r="BM217" s="131"/>
      <c r="BN217" s="131"/>
      <c r="BO217" s="131"/>
      <c r="BP217" s="131"/>
      <c r="BQ217" s="131"/>
      <c r="BR217" s="131"/>
      <c r="BS217" s="131"/>
      <c r="BT217" s="131"/>
      <c r="BU217" s="131"/>
      <c r="BV217" s="131"/>
      <c r="BW217" s="131"/>
      <c r="BX217" s="131"/>
      <c r="BY217" s="131"/>
      <c r="BZ217" s="131"/>
      <c r="CA217" s="131"/>
      <c r="CB217" s="131"/>
      <c r="CC217" s="131"/>
      <c r="CD217" s="131"/>
      <c r="CE217" s="131"/>
      <c r="CF217" s="131"/>
      <c r="CG217" s="131"/>
      <c r="CH217" s="131"/>
      <c r="CI217" s="131"/>
      <c r="CJ217" s="131"/>
      <c r="CK217" s="131"/>
      <c r="CL217" s="131"/>
      <c r="CM217" s="131"/>
      <c r="CN217" s="131"/>
      <c r="CO217" s="131"/>
      <c r="CP217" s="131"/>
      <c r="CQ217" s="131"/>
      <c r="CR217" s="131"/>
      <c r="CS217" s="131"/>
      <c r="CT217" s="131"/>
      <c r="CU217" s="131"/>
      <c r="CV217" s="131"/>
      <c r="CW217" s="131"/>
      <c r="CX217" s="131"/>
      <c r="CY217" s="131"/>
      <c r="CZ217" s="131"/>
      <c r="DA217" s="131"/>
      <c r="DB217" s="131"/>
      <c r="DC217" s="131"/>
      <c r="DD217" s="131"/>
      <c r="DE217" s="131"/>
      <c r="DF217" s="131"/>
      <c r="DG217" s="131"/>
      <c r="DH217" s="131"/>
      <c r="DI217" s="131"/>
      <c r="DJ217" s="131"/>
      <c r="DK217" s="131"/>
      <c r="DL217" s="131"/>
      <c r="DM217" s="131"/>
      <c r="DN217" s="131"/>
      <c r="DO217" s="131"/>
      <c r="DP217" s="131"/>
      <c r="DQ217" s="131"/>
      <c r="DR217" s="131"/>
      <c r="DS217" s="131"/>
      <c r="DT217" s="131"/>
      <c r="DU217" s="131"/>
      <c r="DV217" s="131"/>
      <c r="DW217" s="131"/>
      <c r="DX217" s="131"/>
      <c r="DY217" s="131"/>
      <c r="DZ217" s="131"/>
      <c r="EA217" s="131"/>
      <c r="EB217" s="131"/>
      <c r="EC217" s="131"/>
      <c r="ED217" s="131"/>
      <c r="EE217" s="131"/>
      <c r="EF217" s="131"/>
      <c r="EG217" s="131"/>
      <c r="EH217" s="131"/>
      <c r="EI217" s="131"/>
      <c r="EJ217" s="131"/>
      <c r="EK217" s="131"/>
      <c r="EL217" s="131"/>
      <c r="EM217" s="131"/>
      <c r="EN217" s="131"/>
      <c r="EO217" s="131"/>
      <c r="EP217" s="131"/>
      <c r="EQ217" s="131"/>
      <c r="ER217" s="131"/>
      <c r="ES217" s="131"/>
      <c r="ET217" s="131"/>
      <c r="EU217" s="131"/>
      <c r="EV217" s="131"/>
      <c r="EW217" s="131"/>
      <c r="EX217" s="131"/>
      <c r="EY217" s="131"/>
      <c r="EZ217" s="131"/>
      <c r="FA217" s="131"/>
      <c r="FB217" s="131"/>
      <c r="FC217" s="131"/>
      <c r="FD217" s="131"/>
      <c r="FE217" s="131"/>
      <c r="FF217" s="131"/>
      <c r="FG217" s="131"/>
      <c r="FH217" s="131"/>
      <c r="FI217" s="131"/>
      <c r="FJ217" s="131"/>
      <c r="FK217" s="131"/>
      <c r="FL217" s="131"/>
      <c r="FM217" s="131"/>
      <c r="FN217" s="131"/>
      <c r="FO217" s="131"/>
      <c r="FP217" s="131"/>
      <c r="FQ217" s="131"/>
      <c r="FR217" s="131"/>
      <c r="FS217" s="131"/>
      <c r="FT217" s="131"/>
      <c r="FU217" s="131"/>
      <c r="FV217" s="131"/>
      <c r="FW217" s="131"/>
      <c r="FX217" s="131"/>
      <c r="FY217" s="131"/>
      <c r="FZ217" s="131"/>
      <c r="GA217" s="131"/>
      <c r="GB217" s="131"/>
      <c r="GC217" s="131"/>
    </row>
    <row r="218" spans="1:185" ht="15" customHeight="1" x14ac:dyDescent="0.25">
      <c r="A218" s="39" t="s">
        <v>30</v>
      </c>
      <c r="B218" s="40"/>
      <c r="C218" s="40"/>
      <c r="D218" s="40"/>
      <c r="E218" s="107"/>
      <c r="F218" s="41"/>
      <c r="G218" s="41"/>
      <c r="H218" s="41"/>
      <c r="I218" s="41"/>
      <c r="J218" s="46"/>
      <c r="L218" s="381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  <c r="AV218" s="18"/>
      <c r="AW218" s="18"/>
      <c r="AX218" s="18"/>
      <c r="AY218" s="18"/>
      <c r="AZ218" s="18"/>
      <c r="BA218" s="18"/>
      <c r="BB218" s="18"/>
      <c r="BC218" s="18"/>
      <c r="BD218" s="18"/>
      <c r="BE218" s="18"/>
      <c r="BF218" s="18"/>
      <c r="BG218" s="18"/>
      <c r="BH218" s="18"/>
      <c r="BI218" s="18"/>
      <c r="BJ218" s="18"/>
      <c r="BK218" s="18"/>
      <c r="BL218" s="18"/>
      <c r="BM218" s="18"/>
      <c r="BN218" s="18"/>
      <c r="BO218" s="18"/>
      <c r="BP218" s="18"/>
      <c r="BQ218" s="18"/>
      <c r="BR218" s="18"/>
      <c r="BS218" s="18"/>
      <c r="BT218" s="18"/>
      <c r="BU218" s="18"/>
      <c r="BV218" s="18"/>
      <c r="BW218" s="18"/>
      <c r="BX218" s="18"/>
      <c r="BY218" s="18"/>
      <c r="BZ218" s="18"/>
      <c r="CA218" s="18"/>
      <c r="CB218" s="18"/>
      <c r="CC218" s="18"/>
      <c r="CD218" s="18"/>
      <c r="CE218" s="18"/>
      <c r="CF218" s="18"/>
      <c r="CG218" s="18"/>
      <c r="CH218" s="18"/>
      <c r="CI218" s="18"/>
      <c r="CJ218" s="18"/>
      <c r="CK218" s="18"/>
      <c r="CL218" s="18"/>
      <c r="CM218" s="18"/>
      <c r="CN218" s="18"/>
      <c r="CO218" s="18"/>
      <c r="CP218" s="18"/>
      <c r="CQ218" s="18"/>
      <c r="CR218" s="18"/>
      <c r="CS218" s="18"/>
      <c r="CT218" s="18"/>
      <c r="CU218" s="18"/>
      <c r="CV218" s="18"/>
      <c r="CW218" s="18"/>
      <c r="CX218" s="18"/>
      <c r="CY218" s="18"/>
      <c r="CZ218" s="18"/>
      <c r="DA218" s="18"/>
      <c r="DB218" s="18"/>
      <c r="DC218" s="18"/>
      <c r="DD218" s="18"/>
      <c r="DE218" s="18"/>
      <c r="DF218" s="18"/>
      <c r="DG218" s="18"/>
      <c r="DH218" s="18"/>
      <c r="DI218" s="18"/>
      <c r="DJ218" s="18"/>
      <c r="DK218" s="18"/>
      <c r="DL218" s="18"/>
      <c r="DM218" s="18"/>
      <c r="DN218" s="18"/>
      <c r="DO218" s="18"/>
      <c r="DP218" s="18"/>
      <c r="DQ218" s="18"/>
      <c r="DR218" s="18"/>
      <c r="DS218" s="18"/>
      <c r="DT218" s="18"/>
      <c r="DU218" s="18"/>
      <c r="DV218" s="18"/>
      <c r="DW218" s="18"/>
      <c r="DX218" s="18"/>
      <c r="DY218" s="18"/>
      <c r="DZ218" s="18"/>
      <c r="EA218" s="18"/>
      <c r="EB218" s="18"/>
      <c r="EC218" s="18"/>
      <c r="ED218" s="18"/>
      <c r="EE218" s="18"/>
      <c r="EF218" s="18"/>
      <c r="EG218" s="18"/>
      <c r="EH218" s="18"/>
      <c r="EI218" s="18"/>
      <c r="EJ218" s="18"/>
      <c r="EK218" s="18"/>
      <c r="EL218" s="18"/>
      <c r="EM218" s="18"/>
      <c r="EN218" s="18"/>
      <c r="EO218" s="18"/>
      <c r="EP218" s="18"/>
      <c r="EQ218" s="18"/>
      <c r="ER218" s="18"/>
      <c r="ES218" s="18"/>
      <c r="ET218" s="18"/>
      <c r="EU218" s="18"/>
      <c r="EV218" s="18"/>
      <c r="EW218" s="18"/>
      <c r="EX218" s="18"/>
      <c r="EY218" s="18"/>
      <c r="EZ218" s="18"/>
      <c r="FA218" s="18"/>
      <c r="FB218" s="18"/>
      <c r="FC218" s="18"/>
      <c r="FD218" s="18"/>
      <c r="FE218" s="18"/>
      <c r="FF218" s="18"/>
      <c r="FG218" s="18"/>
      <c r="FH218" s="18"/>
      <c r="FI218" s="18"/>
      <c r="FJ218" s="18"/>
      <c r="FK218" s="18"/>
      <c r="FL218" s="18"/>
      <c r="FM218" s="18"/>
      <c r="FN218" s="18"/>
      <c r="FO218" s="18"/>
      <c r="FP218" s="18"/>
      <c r="FQ218" s="18"/>
      <c r="FR218" s="18"/>
      <c r="FS218" s="18"/>
      <c r="FT218" s="18"/>
      <c r="FU218" s="18"/>
      <c r="FV218" s="18"/>
      <c r="FW218" s="18"/>
      <c r="FX218" s="18"/>
      <c r="FY218" s="18"/>
      <c r="FZ218" s="18"/>
      <c r="GA218" s="18"/>
      <c r="GB218" s="18"/>
      <c r="GC218" s="18"/>
    </row>
    <row r="219" spans="1:185" ht="30" x14ac:dyDescent="0.25">
      <c r="A219" s="229" t="s">
        <v>120</v>
      </c>
      <c r="B219" s="226">
        <f>'2 уровень'!C359</f>
        <v>400</v>
      </c>
      <c r="C219" s="226">
        <f>'2 уровень'!D359</f>
        <v>167</v>
      </c>
      <c r="D219" s="226">
        <f>'2 уровень'!E359</f>
        <v>126</v>
      </c>
      <c r="E219" s="227">
        <f>'2 уровень'!F359</f>
        <v>75.449101796407177</v>
      </c>
      <c r="F219" s="255">
        <f>'2 уровень'!G359</f>
        <v>794.96517999999992</v>
      </c>
      <c r="G219" s="255">
        <f>'2 уровень'!H359</f>
        <v>331.23</v>
      </c>
      <c r="H219" s="255">
        <f>'2 уровень'!I359</f>
        <v>172.84364000000002</v>
      </c>
      <c r="I219" s="255">
        <f>'2 уровень'!J359</f>
        <v>52.182362708691855</v>
      </c>
      <c r="J219" s="46"/>
      <c r="L219" s="381"/>
    </row>
    <row r="220" spans="1:185" ht="30" x14ac:dyDescent="0.25">
      <c r="A220" s="57" t="s">
        <v>79</v>
      </c>
      <c r="B220" s="136">
        <f>'2 уровень'!C360</f>
        <v>278</v>
      </c>
      <c r="C220" s="136">
        <f>'2 уровень'!D360</f>
        <v>116</v>
      </c>
      <c r="D220" s="21">
        <f>'2 уровень'!E360</f>
        <v>126</v>
      </c>
      <c r="E220" s="137">
        <f>'2 уровень'!F360</f>
        <v>108.62068965517241</v>
      </c>
      <c r="F220" s="119">
        <f>'2 уровень'!G360</f>
        <v>422.80919999999998</v>
      </c>
      <c r="G220" s="119">
        <f>'2 уровень'!H360</f>
        <v>176.17</v>
      </c>
      <c r="H220" s="34">
        <f>'2 уровень'!I360</f>
        <v>185.92850000000001</v>
      </c>
      <c r="I220" s="119">
        <f>'2 уровень'!J360</f>
        <v>105.53925185899983</v>
      </c>
      <c r="J220" s="46"/>
      <c r="L220" s="381"/>
    </row>
    <row r="221" spans="1:185" ht="30" x14ac:dyDescent="0.25">
      <c r="A221" s="57" t="s">
        <v>80</v>
      </c>
      <c r="B221" s="136">
        <f>'2 уровень'!C361</f>
        <v>83</v>
      </c>
      <c r="C221" s="136">
        <f>'2 уровень'!D361</f>
        <v>35</v>
      </c>
      <c r="D221" s="21">
        <f>'2 уровень'!E361</f>
        <v>0</v>
      </c>
      <c r="E221" s="137">
        <f>'2 уровень'!F361</f>
        <v>0</v>
      </c>
      <c r="F221" s="119">
        <f>'2 уровень'!G361</f>
        <v>116.23486</v>
      </c>
      <c r="G221" s="119">
        <f>'2 уровень'!H361</f>
        <v>48.43</v>
      </c>
      <c r="H221" s="34">
        <f>'2 уровень'!I361</f>
        <v>-13.084860000000001</v>
      </c>
      <c r="I221" s="119">
        <f>'2 уровень'!J361</f>
        <v>-27.018087962007019</v>
      </c>
      <c r="J221" s="46"/>
      <c r="L221" s="381"/>
    </row>
    <row r="222" spans="1:185" ht="45" x14ac:dyDescent="0.25">
      <c r="A222" s="57" t="s">
        <v>110</v>
      </c>
      <c r="B222" s="136">
        <f>'2 уровень'!C362</f>
        <v>0</v>
      </c>
      <c r="C222" s="136">
        <f>'2 уровень'!D362</f>
        <v>0</v>
      </c>
      <c r="D222" s="21">
        <f>'2 уровень'!E362</f>
        <v>0</v>
      </c>
      <c r="E222" s="137">
        <f>'2 уровень'!F362</f>
        <v>0</v>
      </c>
      <c r="F222" s="119">
        <f>'2 уровень'!G362</f>
        <v>0</v>
      </c>
      <c r="G222" s="119">
        <f>'2 уровень'!H362</f>
        <v>0</v>
      </c>
      <c r="H222" s="34">
        <f>'2 уровень'!I362</f>
        <v>0</v>
      </c>
      <c r="I222" s="119">
        <f>'2 уровень'!J362</f>
        <v>0</v>
      </c>
      <c r="J222" s="46"/>
      <c r="L222" s="381"/>
    </row>
    <row r="223" spans="1:185" ht="30" x14ac:dyDescent="0.25">
      <c r="A223" s="57" t="s">
        <v>111</v>
      </c>
      <c r="B223" s="136">
        <f>'2 уровень'!C363</f>
        <v>39</v>
      </c>
      <c r="C223" s="136">
        <f>'2 уровень'!D363</f>
        <v>16</v>
      </c>
      <c r="D223" s="21">
        <f>'2 уровень'!E363</f>
        <v>0</v>
      </c>
      <c r="E223" s="137">
        <f>'2 уровень'!F363</f>
        <v>0</v>
      </c>
      <c r="F223" s="119">
        <f>'2 уровень'!G363</f>
        <v>255.92112</v>
      </c>
      <c r="G223" s="119">
        <f>'2 уровень'!H363</f>
        <v>106.63</v>
      </c>
      <c r="H223" s="34">
        <f>'2 уровень'!I363</f>
        <v>0</v>
      </c>
      <c r="I223" s="119">
        <f>'2 уровень'!J363</f>
        <v>0</v>
      </c>
      <c r="J223" s="46"/>
      <c r="L223" s="381"/>
    </row>
    <row r="224" spans="1:185" ht="30" x14ac:dyDescent="0.25">
      <c r="A224" s="229" t="s">
        <v>112</v>
      </c>
      <c r="B224" s="226">
        <f>'2 уровень'!C364</f>
        <v>723</v>
      </c>
      <c r="C224" s="226">
        <f>'2 уровень'!D364</f>
        <v>301</v>
      </c>
      <c r="D224" s="226">
        <f>'2 уровень'!E364</f>
        <v>163</v>
      </c>
      <c r="E224" s="227">
        <f>'2 уровень'!F364</f>
        <v>54.152823920265782</v>
      </c>
      <c r="F224" s="255">
        <f>'2 уровень'!G364</f>
        <v>1484.9919300000001</v>
      </c>
      <c r="G224" s="255">
        <f>'2 уровень'!H364</f>
        <v>618.75</v>
      </c>
      <c r="H224" s="255">
        <f>'2 уровень'!I364</f>
        <v>416.52425000000005</v>
      </c>
      <c r="I224" s="255">
        <f>'2 уровень'!J364</f>
        <v>67.317050505050517</v>
      </c>
      <c r="J224" s="46"/>
      <c r="L224" s="381"/>
    </row>
    <row r="225" spans="1:185" ht="30" x14ac:dyDescent="0.25">
      <c r="A225" s="57" t="s">
        <v>108</v>
      </c>
      <c r="B225" s="136">
        <f>'2 уровень'!C365</f>
        <v>20</v>
      </c>
      <c r="C225" s="136">
        <f>'2 уровень'!D365</f>
        <v>8</v>
      </c>
      <c r="D225" s="21">
        <f>'2 уровень'!E365</f>
        <v>0</v>
      </c>
      <c r="E225" s="137">
        <f>'2 уровень'!F365</f>
        <v>0</v>
      </c>
      <c r="F225" s="119">
        <f>'2 уровень'!G365</f>
        <v>42.410199999999996</v>
      </c>
      <c r="G225" s="119">
        <f>'2 уровень'!H365</f>
        <v>17.670000000000002</v>
      </c>
      <c r="H225" s="34">
        <f>'2 уровень'!I365</f>
        <v>0</v>
      </c>
      <c r="I225" s="119">
        <f>'2 уровень'!J365</f>
        <v>0</v>
      </c>
      <c r="J225" s="46"/>
      <c r="L225" s="381"/>
    </row>
    <row r="226" spans="1:185" ht="60" x14ac:dyDescent="0.25">
      <c r="A226" s="57" t="s">
        <v>81</v>
      </c>
      <c r="B226" s="136">
        <f>'2 уровень'!C366</f>
        <v>425</v>
      </c>
      <c r="C226" s="136">
        <f>'2 уровень'!D366</f>
        <v>177</v>
      </c>
      <c r="D226" s="21">
        <f>'2 уровень'!E366</f>
        <v>154</v>
      </c>
      <c r="E226" s="137">
        <f>'2 уровень'!F366</f>
        <v>87.005649717514117</v>
      </c>
      <c r="F226" s="119">
        <f>'2 уровень'!G366</f>
        <v>1170.09725</v>
      </c>
      <c r="G226" s="119">
        <f>'2 уровень'!H366</f>
        <v>487.54</v>
      </c>
      <c r="H226" s="34">
        <f>'2 уровень'!I366</f>
        <v>408.28835000000004</v>
      </c>
      <c r="I226" s="119">
        <f>'2 уровень'!J366</f>
        <v>83.74458505968741</v>
      </c>
      <c r="J226" s="46"/>
      <c r="L226" s="381"/>
    </row>
    <row r="227" spans="1:185" ht="45" x14ac:dyDescent="0.25">
      <c r="A227" s="57" t="s">
        <v>109</v>
      </c>
      <c r="B227" s="136">
        <f>'2 уровень'!C367</f>
        <v>278</v>
      </c>
      <c r="C227" s="136">
        <f>'2 уровень'!D367</f>
        <v>116</v>
      </c>
      <c r="D227" s="21">
        <f>'2 уровень'!E367</f>
        <v>9</v>
      </c>
      <c r="E227" s="137">
        <f>'2 уровень'!F367</f>
        <v>7.7586206896551726</v>
      </c>
      <c r="F227" s="119">
        <f>'2 уровень'!G367</f>
        <v>272.48447999999996</v>
      </c>
      <c r="G227" s="119">
        <f>'2 уровень'!H367</f>
        <v>113.54</v>
      </c>
      <c r="H227" s="34">
        <f>'2 уровень'!I367</f>
        <v>8.2358999999999991</v>
      </c>
      <c r="I227" s="119">
        <f>'2 уровень'!J367</f>
        <v>7.2537431742117295</v>
      </c>
      <c r="J227" s="46"/>
      <c r="L227" s="381"/>
    </row>
    <row r="228" spans="1:185" ht="30" x14ac:dyDescent="0.25">
      <c r="A228" s="57" t="s">
        <v>123</v>
      </c>
      <c r="B228" s="136">
        <f>'2 уровень'!C368</f>
        <v>990</v>
      </c>
      <c r="C228" s="136">
        <f>'2 уровень'!D368</f>
        <v>413</v>
      </c>
      <c r="D228" s="21">
        <f>'2 уровень'!E368</f>
        <v>353</v>
      </c>
      <c r="E228" s="137">
        <f>'2 уровень'!F368</f>
        <v>85.472154963680396</v>
      </c>
      <c r="F228" s="119">
        <f>'2 уровень'!G368</f>
        <v>963.48779999999999</v>
      </c>
      <c r="G228" s="119">
        <f>'2 уровень'!H368</f>
        <v>401.45</v>
      </c>
      <c r="H228" s="34">
        <f>'2 уровень'!I368</f>
        <v>341.92848000000004</v>
      </c>
      <c r="I228" s="119">
        <f>'2 уровень'!J368</f>
        <v>85.173366546269776</v>
      </c>
      <c r="J228" s="46"/>
      <c r="K228" s="46"/>
      <c r="L228" s="46"/>
    </row>
    <row r="229" spans="1:185" ht="15.75" thickBot="1" x14ac:dyDescent="0.3">
      <c r="A229" s="53" t="s">
        <v>4</v>
      </c>
      <c r="B229" s="136">
        <f>'2 уровень'!C369</f>
        <v>0</v>
      </c>
      <c r="C229" s="136">
        <f>'2 уровень'!D369</f>
        <v>0</v>
      </c>
      <c r="D229" s="21">
        <f>'2 уровень'!E369</f>
        <v>0</v>
      </c>
      <c r="E229" s="137">
        <f>'2 уровень'!F369</f>
        <v>0</v>
      </c>
      <c r="F229" s="119">
        <f>'2 уровень'!G369</f>
        <v>3243.4449100000002</v>
      </c>
      <c r="G229" s="119">
        <f>'2 уровень'!H369</f>
        <v>1351.43</v>
      </c>
      <c r="H229" s="34">
        <f>'2 уровень'!I369</f>
        <v>931.29637000000014</v>
      </c>
      <c r="I229" s="119">
        <f>'2 уровень'!J369</f>
        <v>68.9119207062149</v>
      </c>
      <c r="J229" s="46"/>
      <c r="L229" s="381"/>
    </row>
    <row r="230" spans="1:185" s="23" customFormat="1" ht="15" customHeight="1" x14ac:dyDescent="0.25">
      <c r="A230" s="43" t="s">
        <v>31</v>
      </c>
      <c r="B230" s="44"/>
      <c r="C230" s="44"/>
      <c r="D230" s="44"/>
      <c r="E230" s="109"/>
      <c r="F230" s="45"/>
      <c r="G230" s="45"/>
      <c r="H230" s="45"/>
      <c r="I230" s="45"/>
      <c r="J230" s="46"/>
      <c r="K230" s="380"/>
      <c r="L230" s="381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  <c r="AV230" s="18"/>
      <c r="AW230" s="18"/>
      <c r="AX230" s="18"/>
      <c r="AY230" s="18"/>
      <c r="AZ230" s="18"/>
      <c r="BA230" s="18"/>
      <c r="BB230" s="18"/>
      <c r="BC230" s="18"/>
      <c r="BD230" s="18"/>
      <c r="BE230" s="18"/>
      <c r="BF230" s="18"/>
      <c r="BG230" s="18"/>
      <c r="BH230" s="18"/>
      <c r="BI230" s="18"/>
      <c r="BJ230" s="18"/>
      <c r="BK230" s="18"/>
      <c r="BL230" s="18"/>
      <c r="BM230" s="18"/>
      <c r="BN230" s="18"/>
      <c r="BO230" s="18"/>
      <c r="BP230" s="18"/>
      <c r="BQ230" s="18"/>
      <c r="BR230" s="18"/>
      <c r="BS230" s="18"/>
      <c r="BT230" s="18"/>
      <c r="BU230" s="18"/>
      <c r="BV230" s="18"/>
      <c r="BW230" s="18"/>
      <c r="BX230" s="18"/>
      <c r="BY230" s="18"/>
      <c r="BZ230" s="18"/>
      <c r="CA230" s="18"/>
      <c r="CB230" s="18"/>
      <c r="CC230" s="18"/>
      <c r="CD230" s="18"/>
      <c r="CE230" s="18"/>
      <c r="CF230" s="18"/>
      <c r="CG230" s="18"/>
      <c r="CH230" s="18"/>
      <c r="CI230" s="18"/>
      <c r="CJ230" s="18"/>
      <c r="CK230" s="18"/>
      <c r="CL230" s="18"/>
      <c r="CM230" s="18"/>
      <c r="CN230" s="18"/>
      <c r="CO230" s="18"/>
      <c r="CP230" s="18"/>
      <c r="CQ230" s="18"/>
      <c r="CR230" s="18"/>
      <c r="CS230" s="18"/>
      <c r="CT230" s="18"/>
      <c r="CU230" s="18"/>
      <c r="CV230" s="18"/>
      <c r="CW230" s="18"/>
      <c r="CX230" s="18"/>
      <c r="CY230" s="18"/>
      <c r="CZ230" s="18"/>
      <c r="DA230" s="18"/>
      <c r="DB230" s="18"/>
      <c r="DC230" s="18"/>
      <c r="DD230" s="18"/>
      <c r="DE230" s="18"/>
      <c r="DF230" s="18"/>
      <c r="DG230" s="18"/>
      <c r="DH230" s="18"/>
      <c r="DI230" s="18"/>
      <c r="DJ230" s="18"/>
      <c r="DK230" s="18"/>
      <c r="DL230" s="18"/>
      <c r="DM230" s="18"/>
      <c r="DN230" s="18"/>
      <c r="DO230" s="18"/>
      <c r="DP230" s="18"/>
      <c r="DQ230" s="18"/>
      <c r="DR230" s="18"/>
      <c r="DS230" s="18"/>
      <c r="DT230" s="18"/>
      <c r="DU230" s="18"/>
      <c r="DV230" s="18"/>
      <c r="DW230" s="18"/>
      <c r="DX230" s="18"/>
      <c r="DY230" s="18"/>
      <c r="DZ230" s="18"/>
      <c r="EA230" s="18"/>
      <c r="EB230" s="18"/>
      <c r="EC230" s="18"/>
      <c r="ED230" s="18"/>
      <c r="EE230" s="18"/>
      <c r="EF230" s="18"/>
      <c r="EG230" s="18"/>
      <c r="EH230" s="18"/>
      <c r="EI230" s="18"/>
      <c r="EJ230" s="18"/>
      <c r="EK230" s="18"/>
      <c r="EL230" s="18"/>
      <c r="EM230" s="18"/>
      <c r="EN230" s="18"/>
      <c r="EO230" s="18"/>
      <c r="EP230" s="18"/>
      <c r="EQ230" s="18"/>
      <c r="ER230" s="18"/>
      <c r="ES230" s="18"/>
      <c r="ET230" s="18"/>
      <c r="EU230" s="18"/>
      <c r="EV230" s="18"/>
      <c r="EW230" s="18"/>
      <c r="EX230" s="18"/>
      <c r="EY230" s="18"/>
      <c r="EZ230" s="18"/>
      <c r="FA230" s="18"/>
      <c r="FB230" s="18"/>
      <c r="FC230" s="18"/>
      <c r="FD230" s="18"/>
      <c r="FE230" s="18"/>
      <c r="FF230" s="18"/>
      <c r="FG230" s="18"/>
      <c r="FH230" s="18"/>
      <c r="FI230" s="18"/>
      <c r="FJ230" s="18"/>
      <c r="FK230" s="18"/>
      <c r="FL230" s="18"/>
      <c r="FM230" s="18"/>
      <c r="FN230" s="18"/>
      <c r="FO230" s="18"/>
      <c r="FP230" s="18"/>
      <c r="FQ230" s="18"/>
      <c r="FR230" s="18"/>
      <c r="FS230" s="18"/>
      <c r="FT230" s="18"/>
      <c r="FU230" s="18"/>
      <c r="FV230" s="18"/>
      <c r="FW230" s="18"/>
      <c r="FX230" s="18"/>
      <c r="FY230" s="18"/>
      <c r="FZ230" s="18"/>
      <c r="GA230" s="18"/>
      <c r="GB230" s="18"/>
      <c r="GC230" s="18"/>
    </row>
    <row r="231" spans="1:185" ht="30" x14ac:dyDescent="0.25">
      <c r="A231" s="229" t="s">
        <v>120</v>
      </c>
      <c r="B231" s="226">
        <f>'1 уровень'!C389</f>
        <v>13677</v>
      </c>
      <c r="C231" s="226">
        <f>'1 уровень'!D389</f>
        <v>5699</v>
      </c>
      <c r="D231" s="226">
        <f>'1 уровень'!E389</f>
        <v>6479</v>
      </c>
      <c r="E231" s="227">
        <f>'1 уровень'!F389</f>
        <v>113.68661168626075</v>
      </c>
      <c r="F231" s="255">
        <f>'1 уровень'!G389</f>
        <v>19498.545219999996</v>
      </c>
      <c r="G231" s="255">
        <f>'1 уровень'!H389</f>
        <v>8124.38</v>
      </c>
      <c r="H231" s="255">
        <f>'1 уровень'!I389</f>
        <v>9337.3713700000008</v>
      </c>
      <c r="I231" s="255">
        <f>'1 уровень'!J389</f>
        <v>114.93026384782594</v>
      </c>
      <c r="J231" s="46"/>
      <c r="L231" s="381"/>
    </row>
    <row r="232" spans="1:185" ht="30" x14ac:dyDescent="0.25">
      <c r="A232" s="57" t="s">
        <v>79</v>
      </c>
      <c r="B232" s="21">
        <f>'1 уровень'!C390</f>
        <v>10401</v>
      </c>
      <c r="C232" s="21">
        <f>'1 уровень'!D390</f>
        <v>4334</v>
      </c>
      <c r="D232" s="21">
        <f>'1 уровень'!E390</f>
        <v>4879</v>
      </c>
      <c r="E232" s="104">
        <f>'1 уровень'!F390</f>
        <v>112.57498846331333</v>
      </c>
      <c r="F232" s="34">
        <f>'1 уровень'!G390</f>
        <v>13875.1158</v>
      </c>
      <c r="G232" s="34">
        <f>'1 уровень'!H390</f>
        <v>5781.2900000000009</v>
      </c>
      <c r="H232" s="34">
        <f>'1 уровень'!I390</f>
        <v>6250.8450599999996</v>
      </c>
      <c r="I232" s="34">
        <f>'1 уровень'!J390</f>
        <v>108.12197727496802</v>
      </c>
      <c r="J232" s="46"/>
      <c r="L232" s="381"/>
    </row>
    <row r="233" spans="1:185" ht="30" x14ac:dyDescent="0.25">
      <c r="A233" s="57" t="s">
        <v>80</v>
      </c>
      <c r="B233" s="21">
        <f>'1 уровень'!C391</f>
        <v>3120</v>
      </c>
      <c r="C233" s="21">
        <f>'1 уровень'!D391</f>
        <v>1300</v>
      </c>
      <c r="D233" s="21">
        <f>'1 уровень'!E391</f>
        <v>1428</v>
      </c>
      <c r="E233" s="104">
        <f>'1 уровень'!F391</f>
        <v>109.84615384615384</v>
      </c>
      <c r="F233" s="34">
        <f>'1 уровень'!G391</f>
        <v>4770.3590200000008</v>
      </c>
      <c r="G233" s="34">
        <f>'1 уровень'!H391</f>
        <v>1987.65</v>
      </c>
      <c r="H233" s="34">
        <f>'1 уровень'!I391</f>
        <v>2145.9615099999996</v>
      </c>
      <c r="I233" s="34">
        <f>'1 уровень'!J391</f>
        <v>107.9647578799084</v>
      </c>
      <c r="J233" s="46"/>
      <c r="L233" s="381"/>
    </row>
    <row r="234" spans="1:185" ht="45" x14ac:dyDescent="0.25">
      <c r="A234" s="57" t="s">
        <v>110</v>
      </c>
      <c r="B234" s="21">
        <f>'1 уровень'!C392</f>
        <v>60</v>
      </c>
      <c r="C234" s="21">
        <f>'1 уровень'!D392</f>
        <v>25</v>
      </c>
      <c r="D234" s="21">
        <f>'1 уровень'!E392</f>
        <v>70</v>
      </c>
      <c r="E234" s="104">
        <f>'1 уровень'!F392</f>
        <v>280</v>
      </c>
      <c r="F234" s="34">
        <f>'1 уровень'!G392</f>
        <v>328.10399999999998</v>
      </c>
      <c r="G234" s="34">
        <f>'1 уровень'!H392</f>
        <v>136.71</v>
      </c>
      <c r="H234" s="34">
        <f>'1 уровень'!I392</f>
        <v>382.78800000000001</v>
      </c>
      <c r="I234" s="34">
        <f>'1 уровень'!J392</f>
        <v>280</v>
      </c>
      <c r="J234" s="46"/>
      <c r="L234" s="381"/>
    </row>
    <row r="235" spans="1:185" ht="30" x14ac:dyDescent="0.25">
      <c r="A235" s="57" t="s">
        <v>111</v>
      </c>
      <c r="B235" s="21">
        <f>'1 уровень'!C393</f>
        <v>96</v>
      </c>
      <c r="C235" s="21">
        <f>'1 уровень'!D393</f>
        <v>40</v>
      </c>
      <c r="D235" s="21">
        <f>'1 уровень'!E393</f>
        <v>102</v>
      </c>
      <c r="E235" s="104">
        <f>'1 уровень'!F393</f>
        <v>254.99999999999997</v>
      </c>
      <c r="F235" s="34">
        <f>'1 уровень'!G393</f>
        <v>524.96640000000002</v>
      </c>
      <c r="G235" s="34">
        <f>'1 уровень'!H393</f>
        <v>218.73000000000002</v>
      </c>
      <c r="H235" s="34">
        <f>'1 уровень'!I393</f>
        <v>557.77680000000009</v>
      </c>
      <c r="I235" s="34">
        <f>'1 уровень'!J393</f>
        <v>255.00699492525035</v>
      </c>
      <c r="J235" s="46"/>
      <c r="L235" s="381"/>
    </row>
    <row r="236" spans="1:185" ht="30" x14ac:dyDescent="0.25">
      <c r="A236" s="229" t="s">
        <v>112</v>
      </c>
      <c r="B236" s="226">
        <f>'1 уровень'!C394</f>
        <v>25466</v>
      </c>
      <c r="C236" s="226">
        <f>'1 уровень'!D394</f>
        <v>10611</v>
      </c>
      <c r="D236" s="226">
        <f>'1 уровень'!E394</f>
        <v>9972</v>
      </c>
      <c r="E236" s="227">
        <f>'1 уровень'!F394</f>
        <v>93.977947413061912</v>
      </c>
      <c r="F236" s="255">
        <f>'1 уровень'!G394</f>
        <v>42622.933799999999</v>
      </c>
      <c r="G236" s="255">
        <f>'1 уровень'!H394</f>
        <v>17759.559999999998</v>
      </c>
      <c r="H236" s="255">
        <f>'1 уровень'!I394</f>
        <v>15596.881660000001</v>
      </c>
      <c r="I236" s="255">
        <f>'1 уровень'!J394</f>
        <v>87.822455398669803</v>
      </c>
      <c r="J236" s="46"/>
      <c r="L236" s="381"/>
    </row>
    <row r="237" spans="1:185" ht="30" x14ac:dyDescent="0.25">
      <c r="A237" s="57" t="s">
        <v>108</v>
      </c>
      <c r="B237" s="21">
        <f>'1 уровень'!C395</f>
        <v>550</v>
      </c>
      <c r="C237" s="21">
        <f>'1 уровень'!D395</f>
        <v>229</v>
      </c>
      <c r="D237" s="21">
        <f>'1 уровень'!E395</f>
        <v>97</v>
      </c>
      <c r="E237" s="104">
        <f>'1 уровень'!F395</f>
        <v>42.358078602620083</v>
      </c>
      <c r="F237" s="34">
        <f>'1 уровень'!G395</f>
        <v>971.90499999999997</v>
      </c>
      <c r="G237" s="34">
        <f>'1 уровень'!H395</f>
        <v>404.96</v>
      </c>
      <c r="H237" s="34">
        <f>'1 уровень'!I395</f>
        <v>173.3629</v>
      </c>
      <c r="I237" s="34">
        <f>'1 уровень'!J395</f>
        <v>42.809882457526669</v>
      </c>
      <c r="J237" s="46"/>
      <c r="L237" s="381"/>
    </row>
    <row r="238" spans="1:185" ht="60" x14ac:dyDescent="0.25">
      <c r="A238" s="57" t="s">
        <v>81</v>
      </c>
      <c r="B238" s="21">
        <f>'1 уровень'!C396</f>
        <v>14416</v>
      </c>
      <c r="C238" s="21">
        <f>'1 уровень'!D396</f>
        <v>6007</v>
      </c>
      <c r="D238" s="21">
        <f>'1 уровень'!E396</f>
        <v>6864</v>
      </c>
      <c r="E238" s="104">
        <f>'1 уровень'!F396</f>
        <v>114.26668886299318</v>
      </c>
      <c r="F238" s="34">
        <f>'1 уровень'!G396</f>
        <v>33074.628799999999</v>
      </c>
      <c r="G238" s="34">
        <f>'1 уровень'!H396</f>
        <v>13781.1</v>
      </c>
      <c r="H238" s="34">
        <f>'1 уровень'!I396</f>
        <v>12871.986650000001</v>
      </c>
      <c r="I238" s="34">
        <f>'1 уровень'!J396</f>
        <v>93.403187336279402</v>
      </c>
      <c r="J238" s="46"/>
      <c r="L238" s="381"/>
    </row>
    <row r="239" spans="1:185" ht="45" x14ac:dyDescent="0.25">
      <c r="A239" s="57" t="s">
        <v>109</v>
      </c>
      <c r="B239" s="21">
        <f>'1 уровень'!C397</f>
        <v>10500</v>
      </c>
      <c r="C239" s="21">
        <f>'1 уровень'!D397</f>
        <v>4375</v>
      </c>
      <c r="D239" s="21">
        <f>'1 уровень'!E397</f>
        <v>3011</v>
      </c>
      <c r="E239" s="104">
        <f>'1 уровень'!F397</f>
        <v>68.822857142857146</v>
      </c>
      <c r="F239" s="34">
        <f>'1 уровень'!G397</f>
        <v>8576.4</v>
      </c>
      <c r="G239" s="34">
        <f>'1 уровень'!H397</f>
        <v>3573.5</v>
      </c>
      <c r="H239" s="34">
        <f>'1 уровень'!I397</f>
        <v>2551.5321100000001</v>
      </c>
      <c r="I239" s="34">
        <f>'1 уровень'!J397</f>
        <v>71.401486217993565</v>
      </c>
      <c r="J239" s="46"/>
      <c r="L239" s="381"/>
    </row>
    <row r="240" spans="1:185" ht="30" x14ac:dyDescent="0.25">
      <c r="A240" s="146" t="s">
        <v>123</v>
      </c>
      <c r="B240" s="21">
        <f>'1 уровень'!C398</f>
        <v>39663</v>
      </c>
      <c r="C240" s="21">
        <f>'1 уровень'!D398</f>
        <v>16527</v>
      </c>
      <c r="D240" s="21">
        <f>'1 уровень'!E398</f>
        <v>16594</v>
      </c>
      <c r="E240" s="104">
        <f>'1 уровень'!F398</f>
        <v>100.40539722877715</v>
      </c>
      <c r="F240" s="34">
        <f>'1 уровень'!G398</f>
        <v>32167.486260000001</v>
      </c>
      <c r="G240" s="34">
        <f>'1 уровень'!H398</f>
        <v>13403.119999999999</v>
      </c>
      <c r="H240" s="34">
        <f>'1 уровень'!I398</f>
        <v>13387.28398</v>
      </c>
      <c r="I240" s="34">
        <f>'1 уровень'!J398</f>
        <v>99.881848256226917</v>
      </c>
      <c r="J240" s="46"/>
      <c r="K240" s="46"/>
      <c r="L240" s="46"/>
    </row>
    <row r="241" spans="1:185" ht="15.75" thickBot="1" x14ac:dyDescent="0.3">
      <c r="A241" s="270" t="s">
        <v>105</v>
      </c>
      <c r="B241" s="231">
        <f>'1 уровень'!C399</f>
        <v>0</v>
      </c>
      <c r="C241" s="231">
        <f>'1 уровень'!D399</f>
        <v>0</v>
      </c>
      <c r="D241" s="231">
        <f>'1 уровень'!E399</f>
        <v>0</v>
      </c>
      <c r="E241" s="232">
        <f>'1 уровень'!F399</f>
        <v>0</v>
      </c>
      <c r="F241" s="271">
        <f>'1 уровень'!G399</f>
        <v>94288.965280000004</v>
      </c>
      <c r="G241" s="271">
        <f>'1 уровень'!H399</f>
        <v>39287.06</v>
      </c>
      <c r="H241" s="271">
        <f>'1 уровень'!I399</f>
        <v>38321.53701</v>
      </c>
      <c r="I241" s="271">
        <f>'1 уровень'!J399</f>
        <v>97.542389300701046</v>
      </c>
      <c r="J241" s="46"/>
      <c r="L241" s="381"/>
    </row>
    <row r="242" spans="1:185" s="18" customFormat="1" ht="15" customHeight="1" x14ac:dyDescent="0.25">
      <c r="A242" s="272" t="s">
        <v>32</v>
      </c>
      <c r="B242" s="273"/>
      <c r="C242" s="273"/>
      <c r="D242" s="273"/>
      <c r="E242" s="274"/>
      <c r="F242" s="275"/>
      <c r="G242" s="275"/>
      <c r="H242" s="275"/>
      <c r="I242" s="275"/>
      <c r="J242" s="46"/>
      <c r="K242" s="380"/>
      <c r="L242" s="381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F242" s="17"/>
      <c r="AG242" s="17"/>
      <c r="AH242" s="17"/>
      <c r="AI242" s="17"/>
      <c r="AJ242" s="17"/>
      <c r="AK242" s="17"/>
      <c r="AL242" s="17"/>
      <c r="AM242" s="17"/>
      <c r="AN242" s="17"/>
      <c r="AO242" s="17"/>
      <c r="AP242" s="17"/>
      <c r="AQ242" s="17"/>
      <c r="AR242" s="17"/>
      <c r="AS242" s="17"/>
      <c r="AT242" s="17"/>
      <c r="AU242" s="17"/>
      <c r="AV242" s="17"/>
      <c r="AW242" s="17"/>
      <c r="AX242" s="17"/>
      <c r="AY242" s="17"/>
      <c r="AZ242" s="17"/>
      <c r="BA242" s="17"/>
      <c r="BB242" s="17"/>
      <c r="BC242" s="17"/>
      <c r="BD242" s="17"/>
      <c r="BE242" s="17"/>
      <c r="BF242" s="17"/>
      <c r="BG242" s="17"/>
      <c r="BH242" s="17"/>
      <c r="BI242" s="17"/>
      <c r="BJ242" s="17"/>
      <c r="BK242" s="17"/>
      <c r="BL242" s="17"/>
      <c r="BM242" s="17"/>
      <c r="BN242" s="17"/>
      <c r="BO242" s="17"/>
      <c r="BP242" s="17"/>
      <c r="BQ242" s="17"/>
      <c r="BR242" s="17"/>
      <c r="BS242" s="17"/>
      <c r="BT242" s="17"/>
      <c r="BU242" s="17"/>
      <c r="BV242" s="17"/>
      <c r="BW242" s="17"/>
      <c r="BX242" s="17"/>
      <c r="BY242" s="17"/>
      <c r="BZ242" s="17"/>
      <c r="CA242" s="17"/>
      <c r="CB242" s="17"/>
      <c r="CC242" s="17"/>
      <c r="CD242" s="17"/>
      <c r="CE242" s="17"/>
      <c r="CF242" s="17"/>
      <c r="CG242" s="17"/>
      <c r="CH242" s="17"/>
      <c r="CI242" s="17"/>
      <c r="CJ242" s="17"/>
      <c r="CK242" s="17"/>
      <c r="CL242" s="17"/>
      <c r="CM242" s="17"/>
      <c r="CN242" s="17"/>
      <c r="CO242" s="17"/>
      <c r="CP242" s="17"/>
      <c r="CQ242" s="17"/>
      <c r="CR242" s="17"/>
      <c r="CS242" s="17"/>
      <c r="CT242" s="17"/>
      <c r="CU242" s="17"/>
      <c r="CV242" s="17"/>
      <c r="CW242" s="17"/>
      <c r="CX242" s="17"/>
      <c r="CY242" s="17"/>
      <c r="CZ242" s="17"/>
      <c r="DA242" s="17"/>
      <c r="DB242" s="17"/>
      <c r="DC242" s="17"/>
      <c r="DD242" s="17"/>
      <c r="DE242" s="17"/>
      <c r="DF242" s="17"/>
      <c r="DG242" s="17"/>
      <c r="DH242" s="17"/>
      <c r="DI242" s="17"/>
      <c r="DJ242" s="17"/>
      <c r="DK242" s="17"/>
      <c r="DL242" s="17"/>
      <c r="DM242" s="17"/>
      <c r="DN242" s="17"/>
      <c r="DO242" s="17"/>
      <c r="DP242" s="17"/>
      <c r="DQ242" s="17"/>
      <c r="DR242" s="17"/>
      <c r="DS242" s="17"/>
      <c r="DT242" s="17"/>
      <c r="DU242" s="17"/>
      <c r="DV242" s="17"/>
      <c r="DW242" s="17"/>
      <c r="DX242" s="17"/>
      <c r="DY242" s="17"/>
      <c r="DZ242" s="17"/>
      <c r="EA242" s="17"/>
      <c r="EB242" s="17"/>
      <c r="EC242" s="17"/>
      <c r="ED242" s="17"/>
      <c r="EE242" s="17"/>
      <c r="EF242" s="17"/>
      <c r="EG242" s="17"/>
      <c r="EH242" s="17"/>
      <c r="EI242" s="17"/>
      <c r="EJ242" s="17"/>
      <c r="EK242" s="17"/>
      <c r="EL242" s="17"/>
      <c r="EM242" s="17"/>
      <c r="EN242" s="17"/>
      <c r="EO242" s="17"/>
      <c r="EP242" s="17"/>
      <c r="EQ242" s="17"/>
      <c r="ER242" s="17"/>
      <c r="ES242" s="17"/>
      <c r="ET242" s="17"/>
      <c r="EU242" s="17"/>
      <c r="EV242" s="17"/>
      <c r="EW242" s="17"/>
      <c r="EX242" s="17"/>
      <c r="EY242" s="17"/>
      <c r="EZ242" s="17"/>
      <c r="FA242" s="17"/>
      <c r="FB242" s="17"/>
      <c r="FC242" s="17"/>
      <c r="FD242" s="17"/>
      <c r="FE242" s="17"/>
      <c r="FF242" s="17"/>
      <c r="FG242" s="17"/>
      <c r="FH242" s="17"/>
      <c r="FI242" s="17"/>
      <c r="FJ242" s="17"/>
      <c r="FK242" s="17"/>
      <c r="FL242" s="17"/>
      <c r="FM242" s="17"/>
      <c r="FN242" s="17"/>
      <c r="FO242" s="17"/>
      <c r="FP242" s="17"/>
      <c r="FQ242" s="17"/>
      <c r="FR242" s="17"/>
      <c r="FS242" s="17"/>
      <c r="FT242" s="17"/>
      <c r="FU242" s="17"/>
      <c r="FV242" s="17"/>
      <c r="FW242" s="17"/>
      <c r="FX242" s="17"/>
      <c r="FY242" s="17"/>
      <c r="FZ242" s="17"/>
      <c r="GA242" s="17"/>
      <c r="GB242" s="17"/>
      <c r="GC242" s="17"/>
    </row>
    <row r="243" spans="1:185" ht="30" x14ac:dyDescent="0.25">
      <c r="A243" s="121" t="s">
        <v>120</v>
      </c>
      <c r="B243" s="35">
        <f>'1 уровень'!C20</f>
        <v>1533</v>
      </c>
      <c r="C243" s="35">
        <f>'1 уровень'!D20</f>
        <v>639</v>
      </c>
      <c r="D243" s="35">
        <f>'1 уровень'!E20</f>
        <v>285</v>
      </c>
      <c r="E243" s="35">
        <f>'1 уровень'!F20</f>
        <v>44.600938967136152</v>
      </c>
      <c r="F243" s="35">
        <f>'1 уровень'!G20</f>
        <v>2329.9957899999999</v>
      </c>
      <c r="G243" s="35">
        <f>'1 уровень'!H20</f>
        <v>970.83</v>
      </c>
      <c r="H243" s="365">
        <f>'1 уровень'!I20</f>
        <v>341.96605999999997</v>
      </c>
      <c r="I243" s="34">
        <f>'1 уровень'!J20</f>
        <v>35.22409278658467</v>
      </c>
      <c r="J243" s="46"/>
      <c r="L243" s="381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  <c r="BB243" s="18"/>
      <c r="BC243" s="18"/>
      <c r="BD243" s="18"/>
      <c r="BE243" s="18"/>
      <c r="BF243" s="18"/>
      <c r="BG243" s="18"/>
      <c r="BH243" s="18"/>
      <c r="BI243" s="18"/>
      <c r="BJ243" s="18"/>
      <c r="BK243" s="18"/>
      <c r="BL243" s="18"/>
      <c r="BM243" s="18"/>
      <c r="BN243" s="18"/>
      <c r="BO243" s="18"/>
      <c r="BP243" s="18"/>
      <c r="BQ243" s="18"/>
      <c r="BR243" s="18"/>
      <c r="BS243" s="18"/>
      <c r="BT243" s="18"/>
      <c r="BU243" s="18"/>
      <c r="BV243" s="18"/>
      <c r="BW243" s="18"/>
      <c r="BX243" s="18"/>
      <c r="BY243" s="18"/>
      <c r="BZ243" s="18"/>
      <c r="CA243" s="18"/>
      <c r="CB243" s="18"/>
      <c r="CC243" s="18"/>
      <c r="CD243" s="18"/>
      <c r="CE243" s="18"/>
      <c r="CF243" s="18"/>
      <c r="CG243" s="18"/>
      <c r="CH243" s="18"/>
      <c r="CI243" s="18"/>
      <c r="CJ243" s="18"/>
      <c r="CK243" s="18"/>
      <c r="CL243" s="18"/>
      <c r="CM243" s="18"/>
      <c r="CN243" s="18"/>
      <c r="CO243" s="18"/>
      <c r="CP243" s="18"/>
      <c r="CQ243" s="18"/>
      <c r="CR243" s="18"/>
      <c r="CS243" s="18"/>
      <c r="CT243" s="18"/>
      <c r="CU243" s="18"/>
      <c r="CV243" s="18"/>
      <c r="CW243" s="18"/>
      <c r="CX243" s="18"/>
      <c r="CY243" s="18"/>
      <c r="CZ243" s="18"/>
      <c r="DA243" s="18"/>
      <c r="DB243" s="18"/>
      <c r="DC243" s="18"/>
      <c r="DD243" s="18"/>
      <c r="DE243" s="18"/>
      <c r="DF243" s="18"/>
      <c r="DG243" s="18"/>
      <c r="DH243" s="18"/>
      <c r="DI243" s="18"/>
      <c r="DJ243" s="18"/>
      <c r="DK243" s="18"/>
      <c r="DL243" s="18"/>
      <c r="DM243" s="18"/>
      <c r="DN243" s="18"/>
      <c r="DO243" s="18"/>
      <c r="DP243" s="18"/>
      <c r="DQ243" s="18"/>
      <c r="DR243" s="18"/>
      <c r="DS243" s="18"/>
      <c r="DT243" s="18"/>
      <c r="DU243" s="18"/>
      <c r="DV243" s="18"/>
      <c r="DW243" s="18"/>
      <c r="DX243" s="18"/>
      <c r="DY243" s="18"/>
      <c r="DZ243" s="18"/>
      <c r="EA243" s="18"/>
      <c r="EB243" s="18"/>
      <c r="EC243" s="18"/>
      <c r="ED243" s="18"/>
      <c r="EE243" s="18"/>
      <c r="EF243" s="18"/>
      <c r="EG243" s="18"/>
      <c r="EH243" s="18"/>
      <c r="EI243" s="18"/>
      <c r="EJ243" s="18"/>
      <c r="EK243" s="18"/>
      <c r="EL243" s="18"/>
      <c r="EM243" s="18"/>
      <c r="EN243" s="18"/>
      <c r="EO243" s="18"/>
      <c r="EP243" s="18"/>
      <c r="EQ243" s="18"/>
      <c r="ER243" s="18"/>
      <c r="ES243" s="18"/>
      <c r="ET243" s="18"/>
      <c r="EU243" s="18"/>
      <c r="EV243" s="18"/>
      <c r="EW243" s="18"/>
      <c r="EX243" s="18"/>
      <c r="EY243" s="18"/>
      <c r="EZ243" s="18"/>
      <c r="FA243" s="18"/>
      <c r="FB243" s="18"/>
      <c r="FC243" s="18"/>
      <c r="FD243" s="18"/>
      <c r="FE243" s="18"/>
      <c r="FF243" s="18"/>
      <c r="FG243" s="18"/>
      <c r="FH243" s="18"/>
      <c r="FI243" s="18"/>
      <c r="FJ243" s="18"/>
      <c r="FK243" s="18"/>
      <c r="FL243" s="18"/>
      <c r="FM243" s="18"/>
      <c r="FN243" s="18"/>
      <c r="FO243" s="18"/>
      <c r="FP243" s="18"/>
      <c r="FQ243" s="18"/>
      <c r="FR243" s="18"/>
      <c r="FS243" s="18"/>
      <c r="FT243" s="18"/>
      <c r="FU243" s="18"/>
      <c r="FV243" s="18"/>
      <c r="FW243" s="18"/>
      <c r="FX243" s="18"/>
      <c r="FY243" s="18"/>
      <c r="FZ243" s="18"/>
      <c r="GA243" s="18"/>
      <c r="GB243" s="18"/>
      <c r="GC243" s="18"/>
    </row>
    <row r="244" spans="1:185" ht="30" x14ac:dyDescent="0.25">
      <c r="A244" s="122" t="s">
        <v>79</v>
      </c>
      <c r="B244" s="35">
        <f>'1 уровень'!C21</f>
        <v>1179</v>
      </c>
      <c r="C244" s="35">
        <f>'1 уровень'!D21</f>
        <v>491</v>
      </c>
      <c r="D244" s="35">
        <f>'1 уровень'!E21</f>
        <v>235</v>
      </c>
      <c r="E244" s="35">
        <f>'1 уровень'!F21</f>
        <v>47.861507128309569</v>
      </c>
      <c r="F244" s="35">
        <f>'1 уровень'!G21</f>
        <v>1750.6734000000001</v>
      </c>
      <c r="G244" s="35">
        <f>'1 уровень'!H21</f>
        <v>729.45</v>
      </c>
      <c r="H244" s="365">
        <f>'1 уровень'!I21</f>
        <v>257.44092000000001</v>
      </c>
      <c r="I244" s="34">
        <f>'1 уровень'!J21</f>
        <v>35.292469668928646</v>
      </c>
      <c r="J244" s="46"/>
      <c r="L244" s="381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  <c r="BB244" s="18"/>
      <c r="BC244" s="18"/>
      <c r="BD244" s="18"/>
      <c r="BE244" s="18"/>
      <c r="BF244" s="18"/>
      <c r="BG244" s="18"/>
      <c r="BH244" s="18"/>
      <c r="BI244" s="18"/>
      <c r="BJ244" s="18"/>
      <c r="BK244" s="18"/>
      <c r="BL244" s="18"/>
      <c r="BM244" s="18"/>
      <c r="BN244" s="18"/>
      <c r="BO244" s="18"/>
      <c r="BP244" s="18"/>
      <c r="BQ244" s="18"/>
      <c r="BR244" s="18"/>
      <c r="BS244" s="18"/>
      <c r="BT244" s="18"/>
      <c r="BU244" s="18"/>
      <c r="BV244" s="18"/>
      <c r="BW244" s="18"/>
      <c r="BX244" s="18"/>
      <c r="BY244" s="18"/>
      <c r="BZ244" s="18"/>
      <c r="CA244" s="18"/>
      <c r="CB244" s="18"/>
      <c r="CC244" s="18"/>
      <c r="CD244" s="18"/>
      <c r="CE244" s="18"/>
      <c r="CF244" s="18"/>
      <c r="CG244" s="18"/>
      <c r="CH244" s="18"/>
      <c r="CI244" s="18"/>
      <c r="CJ244" s="18"/>
      <c r="CK244" s="18"/>
      <c r="CL244" s="18"/>
      <c r="CM244" s="18"/>
      <c r="CN244" s="18"/>
      <c r="CO244" s="18"/>
      <c r="CP244" s="18"/>
      <c r="CQ244" s="18"/>
      <c r="CR244" s="18"/>
      <c r="CS244" s="18"/>
      <c r="CT244" s="18"/>
      <c r="CU244" s="18"/>
      <c r="CV244" s="18"/>
      <c r="CW244" s="18"/>
      <c r="CX244" s="18"/>
      <c r="CY244" s="18"/>
      <c r="CZ244" s="18"/>
      <c r="DA244" s="18"/>
      <c r="DB244" s="18"/>
      <c r="DC244" s="18"/>
      <c r="DD244" s="18"/>
      <c r="DE244" s="18"/>
      <c r="DF244" s="18"/>
      <c r="DG244" s="18"/>
      <c r="DH244" s="18"/>
      <c r="DI244" s="18"/>
      <c r="DJ244" s="18"/>
      <c r="DK244" s="18"/>
      <c r="DL244" s="18"/>
      <c r="DM244" s="18"/>
      <c r="DN244" s="18"/>
      <c r="DO244" s="18"/>
      <c r="DP244" s="18"/>
      <c r="DQ244" s="18"/>
      <c r="DR244" s="18"/>
      <c r="DS244" s="18"/>
      <c r="DT244" s="18"/>
      <c r="DU244" s="18"/>
      <c r="DV244" s="18"/>
      <c r="DW244" s="18"/>
      <c r="DX244" s="18"/>
      <c r="DY244" s="18"/>
      <c r="DZ244" s="18"/>
      <c r="EA244" s="18"/>
      <c r="EB244" s="18"/>
      <c r="EC244" s="18"/>
      <c r="ED244" s="18"/>
      <c r="EE244" s="18"/>
      <c r="EF244" s="18"/>
      <c r="EG244" s="18"/>
      <c r="EH244" s="18"/>
      <c r="EI244" s="18"/>
      <c r="EJ244" s="18"/>
      <c r="EK244" s="18"/>
      <c r="EL244" s="18"/>
      <c r="EM244" s="18"/>
      <c r="EN244" s="18"/>
      <c r="EO244" s="18"/>
      <c r="EP244" s="18"/>
      <c r="EQ244" s="18"/>
      <c r="ER244" s="18"/>
      <c r="ES244" s="18"/>
      <c r="ET244" s="18"/>
      <c r="EU244" s="18"/>
      <c r="EV244" s="18"/>
      <c r="EW244" s="18"/>
      <c r="EX244" s="18"/>
      <c r="EY244" s="18"/>
      <c r="EZ244" s="18"/>
      <c r="FA244" s="18"/>
      <c r="FB244" s="18"/>
      <c r="FC244" s="18"/>
      <c r="FD244" s="18"/>
      <c r="FE244" s="18"/>
      <c r="FF244" s="18"/>
      <c r="FG244" s="18"/>
      <c r="FH244" s="18"/>
      <c r="FI244" s="18"/>
      <c r="FJ244" s="18"/>
      <c r="FK244" s="18"/>
      <c r="FL244" s="18"/>
      <c r="FM244" s="18"/>
      <c r="FN244" s="18"/>
      <c r="FO244" s="18"/>
      <c r="FP244" s="18"/>
      <c r="FQ244" s="18"/>
      <c r="FR244" s="18"/>
      <c r="FS244" s="18"/>
      <c r="FT244" s="18"/>
      <c r="FU244" s="18"/>
      <c r="FV244" s="18"/>
      <c r="FW244" s="18"/>
      <c r="FX244" s="18"/>
      <c r="FY244" s="18"/>
      <c r="FZ244" s="18"/>
      <c r="GA244" s="18"/>
      <c r="GB244" s="18"/>
      <c r="GC244" s="18"/>
    </row>
    <row r="245" spans="1:185" ht="30" x14ac:dyDescent="0.25">
      <c r="A245" s="122" t="s">
        <v>80</v>
      </c>
      <c r="B245" s="35">
        <f>'1 уровень'!C22</f>
        <v>354</v>
      </c>
      <c r="C245" s="35">
        <f>'1 уровень'!D22</f>
        <v>148</v>
      </c>
      <c r="D245" s="35">
        <f>'1 уровень'!E22</f>
        <v>50</v>
      </c>
      <c r="E245" s="35">
        <f>'1 уровень'!F22</f>
        <v>33.783783783783782</v>
      </c>
      <c r="F245" s="35">
        <f>'1 уровень'!G22</f>
        <v>579.32239000000004</v>
      </c>
      <c r="G245" s="35">
        <f>'1 уровень'!H22</f>
        <v>241.38</v>
      </c>
      <c r="H245" s="34">
        <f>'1 уровень'!I22</f>
        <v>84.525139999999993</v>
      </c>
      <c r="I245" s="34">
        <f>'1 уровень'!J22</f>
        <v>35.017457950120139</v>
      </c>
      <c r="J245" s="46"/>
      <c r="L245" s="381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  <c r="BB245" s="18"/>
      <c r="BC245" s="18"/>
      <c r="BD245" s="18"/>
      <c r="BE245" s="18"/>
      <c r="BF245" s="18"/>
      <c r="BG245" s="18"/>
      <c r="BH245" s="18"/>
      <c r="BI245" s="18"/>
      <c r="BJ245" s="18"/>
      <c r="BK245" s="18"/>
      <c r="BL245" s="18"/>
      <c r="BM245" s="18"/>
      <c r="BN245" s="18"/>
      <c r="BO245" s="18"/>
      <c r="BP245" s="18"/>
      <c r="BQ245" s="18"/>
      <c r="BR245" s="18"/>
      <c r="BS245" s="18"/>
      <c r="BT245" s="18"/>
      <c r="BU245" s="18"/>
      <c r="BV245" s="18"/>
      <c r="BW245" s="18"/>
      <c r="BX245" s="18"/>
      <c r="BY245" s="18"/>
      <c r="BZ245" s="18"/>
      <c r="CA245" s="18"/>
      <c r="CB245" s="18"/>
      <c r="CC245" s="18"/>
      <c r="CD245" s="18"/>
      <c r="CE245" s="18"/>
      <c r="CF245" s="18"/>
      <c r="CG245" s="18"/>
      <c r="CH245" s="18"/>
      <c r="CI245" s="18"/>
      <c r="CJ245" s="18"/>
      <c r="CK245" s="18"/>
      <c r="CL245" s="18"/>
      <c r="CM245" s="18"/>
      <c r="CN245" s="18"/>
      <c r="CO245" s="18"/>
      <c r="CP245" s="18"/>
      <c r="CQ245" s="18"/>
      <c r="CR245" s="18"/>
      <c r="CS245" s="18"/>
      <c r="CT245" s="18"/>
      <c r="CU245" s="18"/>
      <c r="CV245" s="18"/>
      <c r="CW245" s="18"/>
      <c r="CX245" s="18"/>
      <c r="CY245" s="18"/>
      <c r="CZ245" s="18"/>
      <c r="DA245" s="18"/>
      <c r="DB245" s="18"/>
      <c r="DC245" s="18"/>
      <c r="DD245" s="18"/>
      <c r="DE245" s="18"/>
      <c r="DF245" s="18"/>
      <c r="DG245" s="18"/>
      <c r="DH245" s="18"/>
      <c r="DI245" s="18"/>
      <c r="DJ245" s="18"/>
      <c r="DK245" s="18"/>
      <c r="DL245" s="18"/>
      <c r="DM245" s="18"/>
      <c r="DN245" s="18"/>
      <c r="DO245" s="18"/>
      <c r="DP245" s="18"/>
      <c r="DQ245" s="18"/>
      <c r="DR245" s="18"/>
      <c r="DS245" s="18"/>
      <c r="DT245" s="18"/>
      <c r="DU245" s="18"/>
      <c r="DV245" s="18"/>
      <c r="DW245" s="18"/>
      <c r="DX245" s="18"/>
      <c r="DY245" s="18"/>
      <c r="DZ245" s="18"/>
      <c r="EA245" s="18"/>
      <c r="EB245" s="18"/>
      <c r="EC245" s="18"/>
      <c r="ED245" s="18"/>
      <c r="EE245" s="18"/>
      <c r="EF245" s="18"/>
      <c r="EG245" s="18"/>
      <c r="EH245" s="18"/>
      <c r="EI245" s="18"/>
      <c r="EJ245" s="18"/>
      <c r="EK245" s="18"/>
      <c r="EL245" s="18"/>
      <c r="EM245" s="18"/>
      <c r="EN245" s="18"/>
      <c r="EO245" s="18"/>
      <c r="EP245" s="18"/>
      <c r="EQ245" s="18"/>
      <c r="ER245" s="18"/>
      <c r="ES245" s="18"/>
      <c r="ET245" s="18"/>
      <c r="EU245" s="18"/>
      <c r="EV245" s="18"/>
      <c r="EW245" s="18"/>
      <c r="EX245" s="18"/>
      <c r="EY245" s="18"/>
      <c r="EZ245" s="18"/>
      <c r="FA245" s="18"/>
      <c r="FB245" s="18"/>
      <c r="FC245" s="18"/>
      <c r="FD245" s="18"/>
      <c r="FE245" s="18"/>
      <c r="FF245" s="18"/>
      <c r="FG245" s="18"/>
      <c r="FH245" s="18"/>
      <c r="FI245" s="18"/>
      <c r="FJ245" s="18"/>
      <c r="FK245" s="18"/>
      <c r="FL245" s="18"/>
      <c r="FM245" s="18"/>
      <c r="FN245" s="18"/>
      <c r="FO245" s="18"/>
      <c r="FP245" s="18"/>
      <c r="FQ245" s="18"/>
      <c r="FR245" s="18"/>
      <c r="FS245" s="18"/>
      <c r="FT245" s="18"/>
      <c r="FU245" s="18"/>
      <c r="FV245" s="18"/>
      <c r="FW245" s="18"/>
      <c r="FX245" s="18"/>
      <c r="FY245" s="18"/>
      <c r="FZ245" s="18"/>
      <c r="GA245" s="18"/>
      <c r="GB245" s="18"/>
      <c r="GC245" s="18"/>
    </row>
    <row r="246" spans="1:185" ht="30" x14ac:dyDescent="0.25">
      <c r="A246" s="156" t="s">
        <v>112</v>
      </c>
      <c r="B246" s="35">
        <f>'1 уровень'!C23</f>
        <v>0</v>
      </c>
      <c r="C246" s="35">
        <f>'1 уровень'!D23</f>
        <v>0</v>
      </c>
      <c r="D246" s="35">
        <f>'1 уровень'!E23</f>
        <v>0</v>
      </c>
      <c r="E246" s="35">
        <f>'1 уровень'!F23</f>
        <v>0</v>
      </c>
      <c r="F246" s="35">
        <f>'1 уровень'!G23</f>
        <v>0</v>
      </c>
      <c r="G246" s="35">
        <f>'1 уровень'!H23</f>
        <v>0</v>
      </c>
      <c r="H246" s="34">
        <f>'1 уровень'!I23</f>
        <v>0</v>
      </c>
      <c r="I246" s="34">
        <f>'1 уровень'!J23</f>
        <v>0</v>
      </c>
      <c r="J246" s="46"/>
      <c r="L246" s="381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  <c r="BB246" s="18"/>
      <c r="BC246" s="18"/>
      <c r="BD246" s="18"/>
      <c r="BE246" s="18"/>
      <c r="BF246" s="18"/>
      <c r="BG246" s="18"/>
      <c r="BH246" s="18"/>
      <c r="BI246" s="18"/>
      <c r="BJ246" s="18"/>
      <c r="BK246" s="18"/>
      <c r="BL246" s="18"/>
      <c r="BM246" s="18"/>
      <c r="BN246" s="18"/>
      <c r="BO246" s="18"/>
      <c r="BP246" s="18"/>
      <c r="BQ246" s="18"/>
      <c r="BR246" s="18"/>
      <c r="BS246" s="18"/>
      <c r="BT246" s="18"/>
      <c r="BU246" s="18"/>
      <c r="BV246" s="18"/>
      <c r="BW246" s="18"/>
      <c r="BX246" s="18"/>
      <c r="BY246" s="18"/>
      <c r="BZ246" s="18"/>
      <c r="CA246" s="18"/>
      <c r="CB246" s="18"/>
      <c r="CC246" s="18"/>
      <c r="CD246" s="18"/>
      <c r="CE246" s="18"/>
      <c r="CF246" s="18"/>
      <c r="CG246" s="18"/>
      <c r="CH246" s="18"/>
      <c r="CI246" s="18"/>
      <c r="CJ246" s="18"/>
      <c r="CK246" s="18"/>
      <c r="CL246" s="18"/>
      <c r="CM246" s="18"/>
      <c r="CN246" s="18"/>
      <c r="CO246" s="18"/>
      <c r="CP246" s="18"/>
      <c r="CQ246" s="18"/>
      <c r="CR246" s="18"/>
      <c r="CS246" s="18"/>
      <c r="CT246" s="18"/>
      <c r="CU246" s="18"/>
      <c r="CV246" s="18"/>
      <c r="CW246" s="18"/>
      <c r="CX246" s="18"/>
      <c r="CY246" s="18"/>
      <c r="CZ246" s="18"/>
      <c r="DA246" s="18"/>
      <c r="DB246" s="18"/>
      <c r="DC246" s="18"/>
      <c r="DD246" s="18"/>
      <c r="DE246" s="18"/>
      <c r="DF246" s="18"/>
      <c r="DG246" s="18"/>
      <c r="DH246" s="18"/>
      <c r="DI246" s="18"/>
      <c r="DJ246" s="18"/>
      <c r="DK246" s="18"/>
      <c r="DL246" s="18"/>
      <c r="DM246" s="18"/>
      <c r="DN246" s="18"/>
      <c r="DO246" s="18"/>
      <c r="DP246" s="18"/>
      <c r="DQ246" s="18"/>
      <c r="DR246" s="18"/>
      <c r="DS246" s="18"/>
      <c r="DT246" s="18"/>
      <c r="DU246" s="18"/>
      <c r="DV246" s="18"/>
      <c r="DW246" s="18"/>
      <c r="DX246" s="18"/>
      <c r="DY246" s="18"/>
      <c r="DZ246" s="18"/>
      <c r="EA246" s="18"/>
      <c r="EB246" s="18"/>
      <c r="EC246" s="18"/>
      <c r="ED246" s="18"/>
      <c r="EE246" s="18"/>
      <c r="EF246" s="18"/>
      <c r="EG246" s="18"/>
      <c r="EH246" s="18"/>
      <c r="EI246" s="18"/>
      <c r="EJ246" s="18"/>
      <c r="EK246" s="18"/>
      <c r="EL246" s="18"/>
      <c r="EM246" s="18"/>
      <c r="EN246" s="18"/>
      <c r="EO246" s="18"/>
      <c r="EP246" s="18"/>
      <c r="EQ246" s="18"/>
      <c r="ER246" s="18"/>
      <c r="ES246" s="18"/>
      <c r="ET246" s="18"/>
      <c r="EU246" s="18"/>
      <c r="EV246" s="18"/>
      <c r="EW246" s="18"/>
      <c r="EX246" s="18"/>
      <c r="EY246" s="18"/>
      <c r="EZ246" s="18"/>
      <c r="FA246" s="18"/>
      <c r="FB246" s="18"/>
      <c r="FC246" s="18"/>
      <c r="FD246" s="18"/>
      <c r="FE246" s="18"/>
      <c r="FF246" s="18"/>
      <c r="FG246" s="18"/>
      <c r="FH246" s="18"/>
      <c r="FI246" s="18"/>
      <c r="FJ246" s="18"/>
      <c r="FK246" s="18"/>
      <c r="FL246" s="18"/>
      <c r="FM246" s="18"/>
      <c r="FN246" s="18"/>
      <c r="FO246" s="18"/>
      <c r="FP246" s="18"/>
      <c r="FQ246" s="18"/>
      <c r="FR246" s="18"/>
      <c r="FS246" s="18"/>
      <c r="FT246" s="18"/>
      <c r="FU246" s="18"/>
      <c r="FV246" s="18"/>
      <c r="FW246" s="18"/>
      <c r="FX246" s="18"/>
      <c r="FY246" s="18"/>
      <c r="FZ246" s="18"/>
      <c r="GA246" s="18"/>
      <c r="GB246" s="18"/>
      <c r="GC246" s="18"/>
    </row>
    <row r="247" spans="1:185" ht="30" x14ac:dyDescent="0.25">
      <c r="A247" s="155" t="s">
        <v>108</v>
      </c>
      <c r="B247" s="35">
        <f>'1 уровень'!C24</f>
        <v>0</v>
      </c>
      <c r="C247" s="35">
        <f>'1 уровень'!D24</f>
        <v>0</v>
      </c>
      <c r="D247" s="35">
        <f>'1 уровень'!E24</f>
        <v>0</v>
      </c>
      <c r="E247" s="35">
        <f>'1 уровень'!F24</f>
        <v>0</v>
      </c>
      <c r="F247" s="35">
        <f>'1 уровень'!G24</f>
        <v>0</v>
      </c>
      <c r="G247" s="35">
        <f>'1 уровень'!H24</f>
        <v>0</v>
      </c>
      <c r="H247" s="34">
        <f>'1 уровень'!I24</f>
        <v>0</v>
      </c>
      <c r="I247" s="34">
        <f>'1 уровень'!J24</f>
        <v>0</v>
      </c>
      <c r="J247" s="46"/>
      <c r="L247" s="381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  <c r="BB247" s="18"/>
      <c r="BC247" s="18"/>
      <c r="BD247" s="18"/>
      <c r="BE247" s="18"/>
      <c r="BF247" s="18"/>
      <c r="BG247" s="18"/>
      <c r="BH247" s="18"/>
      <c r="BI247" s="18"/>
      <c r="BJ247" s="18"/>
      <c r="BK247" s="18"/>
      <c r="BL247" s="18"/>
      <c r="BM247" s="18"/>
      <c r="BN247" s="18"/>
      <c r="BO247" s="18"/>
      <c r="BP247" s="18"/>
      <c r="BQ247" s="18"/>
      <c r="BR247" s="18"/>
      <c r="BS247" s="18"/>
      <c r="BT247" s="18"/>
      <c r="BU247" s="18"/>
      <c r="BV247" s="18"/>
      <c r="BW247" s="18"/>
      <c r="BX247" s="18"/>
      <c r="BY247" s="18"/>
      <c r="BZ247" s="18"/>
      <c r="CA247" s="18"/>
      <c r="CB247" s="18"/>
      <c r="CC247" s="18"/>
      <c r="CD247" s="18"/>
      <c r="CE247" s="18"/>
      <c r="CF247" s="18"/>
      <c r="CG247" s="18"/>
      <c r="CH247" s="18"/>
      <c r="CI247" s="18"/>
      <c r="CJ247" s="18"/>
      <c r="CK247" s="18"/>
      <c r="CL247" s="18"/>
      <c r="CM247" s="18"/>
      <c r="CN247" s="18"/>
      <c r="CO247" s="18"/>
      <c r="CP247" s="18"/>
      <c r="CQ247" s="18"/>
      <c r="CR247" s="18"/>
      <c r="CS247" s="18"/>
      <c r="CT247" s="18"/>
      <c r="CU247" s="18"/>
      <c r="CV247" s="18"/>
      <c r="CW247" s="18"/>
      <c r="CX247" s="18"/>
      <c r="CY247" s="18"/>
      <c r="CZ247" s="18"/>
      <c r="DA247" s="18"/>
      <c r="DB247" s="18"/>
      <c r="DC247" s="18"/>
      <c r="DD247" s="18"/>
      <c r="DE247" s="18"/>
      <c r="DF247" s="18"/>
      <c r="DG247" s="18"/>
      <c r="DH247" s="18"/>
      <c r="DI247" s="18"/>
      <c r="DJ247" s="18"/>
      <c r="DK247" s="18"/>
      <c r="DL247" s="18"/>
      <c r="DM247" s="18"/>
      <c r="DN247" s="18"/>
      <c r="DO247" s="18"/>
      <c r="DP247" s="18"/>
      <c r="DQ247" s="18"/>
      <c r="DR247" s="18"/>
      <c r="DS247" s="18"/>
      <c r="DT247" s="18"/>
      <c r="DU247" s="18"/>
      <c r="DV247" s="18"/>
      <c r="DW247" s="18"/>
      <c r="DX247" s="18"/>
      <c r="DY247" s="18"/>
      <c r="DZ247" s="18"/>
      <c r="EA247" s="18"/>
      <c r="EB247" s="18"/>
      <c r="EC247" s="18"/>
      <c r="ED247" s="18"/>
      <c r="EE247" s="18"/>
      <c r="EF247" s="18"/>
      <c r="EG247" s="18"/>
      <c r="EH247" s="18"/>
      <c r="EI247" s="18"/>
      <c r="EJ247" s="18"/>
      <c r="EK247" s="18"/>
      <c r="EL247" s="18"/>
      <c r="EM247" s="18"/>
      <c r="EN247" s="18"/>
      <c r="EO247" s="18"/>
      <c r="EP247" s="18"/>
      <c r="EQ247" s="18"/>
      <c r="ER247" s="18"/>
      <c r="ES247" s="18"/>
      <c r="ET247" s="18"/>
      <c r="EU247" s="18"/>
      <c r="EV247" s="18"/>
      <c r="EW247" s="18"/>
      <c r="EX247" s="18"/>
      <c r="EY247" s="18"/>
      <c r="EZ247" s="18"/>
      <c r="FA247" s="18"/>
      <c r="FB247" s="18"/>
      <c r="FC247" s="18"/>
      <c r="FD247" s="18"/>
      <c r="FE247" s="18"/>
      <c r="FF247" s="18"/>
      <c r="FG247" s="18"/>
      <c r="FH247" s="18"/>
      <c r="FI247" s="18"/>
      <c r="FJ247" s="18"/>
      <c r="FK247" s="18"/>
      <c r="FL247" s="18"/>
      <c r="FM247" s="18"/>
      <c r="FN247" s="18"/>
      <c r="FO247" s="18"/>
      <c r="FP247" s="18"/>
      <c r="FQ247" s="18"/>
      <c r="FR247" s="18"/>
      <c r="FS247" s="18"/>
      <c r="FT247" s="18"/>
      <c r="FU247" s="18"/>
      <c r="FV247" s="18"/>
      <c r="FW247" s="18"/>
      <c r="FX247" s="18"/>
      <c r="FY247" s="18"/>
      <c r="FZ247" s="18"/>
      <c r="GA247" s="18"/>
      <c r="GB247" s="18"/>
      <c r="GC247" s="18"/>
    </row>
    <row r="248" spans="1:185" ht="30" x14ac:dyDescent="0.25">
      <c r="A248" s="155" t="s">
        <v>123</v>
      </c>
      <c r="B248" s="35">
        <f>'1 уровень'!C25</f>
        <v>100</v>
      </c>
      <c r="C248" s="35">
        <f>'1 уровень'!D25</f>
        <v>42</v>
      </c>
      <c r="D248" s="35">
        <f>'1 уровень'!E25</f>
        <v>15</v>
      </c>
      <c r="E248" s="35">
        <f>'1 уровень'!F25</f>
        <v>35.714285714285715</v>
      </c>
      <c r="F248" s="35">
        <f>'1 уровень'!G25</f>
        <v>81.102000000000004</v>
      </c>
      <c r="G248" s="35">
        <f>'1 уровень'!H25</f>
        <v>33.79</v>
      </c>
      <c r="H248" s="34">
        <f>'1 уровень'!I25</f>
        <v>12.165299999999998</v>
      </c>
      <c r="I248" s="34">
        <f>'1 уровень'!J25</f>
        <v>36.002663509914171</v>
      </c>
      <c r="J248" s="46"/>
      <c r="K248" s="46"/>
      <c r="L248" s="46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  <c r="BB248" s="18"/>
      <c r="BC248" s="18"/>
      <c r="BD248" s="18"/>
      <c r="BE248" s="18"/>
      <c r="BF248" s="18"/>
      <c r="BG248" s="18"/>
      <c r="BH248" s="18"/>
      <c r="BI248" s="18"/>
      <c r="BJ248" s="18"/>
      <c r="BK248" s="18"/>
      <c r="BL248" s="18"/>
      <c r="BM248" s="18"/>
      <c r="BN248" s="18"/>
      <c r="BO248" s="18"/>
      <c r="BP248" s="18"/>
      <c r="BQ248" s="18"/>
      <c r="BR248" s="18"/>
      <c r="BS248" s="18"/>
      <c r="BT248" s="18"/>
      <c r="BU248" s="18"/>
      <c r="BV248" s="18"/>
      <c r="BW248" s="18"/>
      <c r="BX248" s="18"/>
      <c r="BY248" s="18"/>
      <c r="BZ248" s="18"/>
      <c r="CA248" s="18"/>
      <c r="CB248" s="18"/>
      <c r="CC248" s="18"/>
      <c r="CD248" s="18"/>
      <c r="CE248" s="18"/>
      <c r="CF248" s="18"/>
      <c r="CG248" s="18"/>
      <c r="CH248" s="18"/>
      <c r="CI248" s="18"/>
      <c r="CJ248" s="18"/>
      <c r="CK248" s="18"/>
      <c r="CL248" s="18"/>
      <c r="CM248" s="18"/>
      <c r="CN248" s="18"/>
      <c r="CO248" s="18"/>
      <c r="CP248" s="18"/>
      <c r="CQ248" s="18"/>
      <c r="CR248" s="18"/>
      <c r="CS248" s="18"/>
      <c r="CT248" s="18"/>
      <c r="CU248" s="18"/>
      <c r="CV248" s="18"/>
      <c r="CW248" s="18"/>
      <c r="CX248" s="18"/>
      <c r="CY248" s="18"/>
      <c r="CZ248" s="18"/>
      <c r="DA248" s="18"/>
      <c r="DB248" s="18"/>
      <c r="DC248" s="18"/>
      <c r="DD248" s="18"/>
      <c r="DE248" s="18"/>
      <c r="DF248" s="18"/>
      <c r="DG248" s="18"/>
      <c r="DH248" s="18"/>
      <c r="DI248" s="18"/>
      <c r="DJ248" s="18"/>
      <c r="DK248" s="18"/>
      <c r="DL248" s="18"/>
      <c r="DM248" s="18"/>
      <c r="DN248" s="18"/>
      <c r="DO248" s="18"/>
      <c r="DP248" s="18"/>
      <c r="DQ248" s="18"/>
      <c r="DR248" s="18"/>
      <c r="DS248" s="18"/>
      <c r="DT248" s="18"/>
      <c r="DU248" s="18"/>
      <c r="DV248" s="18"/>
      <c r="DW248" s="18"/>
      <c r="DX248" s="18"/>
      <c r="DY248" s="18"/>
      <c r="DZ248" s="18"/>
      <c r="EA248" s="18"/>
      <c r="EB248" s="18"/>
      <c r="EC248" s="18"/>
      <c r="ED248" s="18"/>
      <c r="EE248" s="18"/>
      <c r="EF248" s="18"/>
      <c r="EG248" s="18"/>
      <c r="EH248" s="18"/>
      <c r="EI248" s="18"/>
      <c r="EJ248" s="18"/>
      <c r="EK248" s="18"/>
      <c r="EL248" s="18"/>
      <c r="EM248" s="18"/>
      <c r="EN248" s="18"/>
      <c r="EO248" s="18"/>
      <c r="EP248" s="18"/>
      <c r="EQ248" s="18"/>
      <c r="ER248" s="18"/>
      <c r="ES248" s="18"/>
      <c r="ET248" s="18"/>
      <c r="EU248" s="18"/>
      <c r="EV248" s="18"/>
      <c r="EW248" s="18"/>
      <c r="EX248" s="18"/>
      <c r="EY248" s="18"/>
      <c r="EZ248" s="18"/>
      <c r="FA248" s="18"/>
      <c r="FB248" s="18"/>
      <c r="FC248" s="18"/>
      <c r="FD248" s="18"/>
      <c r="FE248" s="18"/>
      <c r="FF248" s="18"/>
      <c r="FG248" s="18"/>
      <c r="FH248" s="18"/>
      <c r="FI248" s="18"/>
      <c r="FJ248" s="18"/>
      <c r="FK248" s="18"/>
      <c r="FL248" s="18"/>
      <c r="FM248" s="18"/>
      <c r="FN248" s="18"/>
      <c r="FO248" s="18"/>
      <c r="FP248" s="18"/>
      <c r="FQ248" s="18"/>
      <c r="FR248" s="18"/>
      <c r="FS248" s="18"/>
      <c r="FT248" s="18"/>
      <c r="FU248" s="18"/>
      <c r="FV248" s="18"/>
      <c r="FW248" s="18"/>
      <c r="FX248" s="18"/>
      <c r="FY248" s="18"/>
      <c r="FZ248" s="18"/>
      <c r="GA248" s="18"/>
      <c r="GB248" s="18"/>
      <c r="GC248" s="18"/>
    </row>
    <row r="249" spans="1:185" s="18" customFormat="1" ht="15.75" thickBot="1" x14ac:dyDescent="0.3">
      <c r="A249" s="276" t="s">
        <v>105</v>
      </c>
      <c r="B249" s="277">
        <f>'1 уровень'!C26</f>
        <v>0</v>
      </c>
      <c r="C249" s="277">
        <f>'1 уровень'!D26</f>
        <v>0</v>
      </c>
      <c r="D249" s="277">
        <f>'1 уровень'!E26</f>
        <v>0</v>
      </c>
      <c r="E249" s="278">
        <f>'1 уровень'!F26</f>
        <v>0</v>
      </c>
      <c r="F249" s="279">
        <f>'1 уровень'!G26</f>
        <v>2411.0977899999998</v>
      </c>
      <c r="G249" s="279">
        <f>'1 уровень'!H26</f>
        <v>1004.62</v>
      </c>
      <c r="H249" s="279">
        <f>'1 уровень'!I26</f>
        <v>354.13135999999997</v>
      </c>
      <c r="I249" s="279">
        <f>'1 уровень'!J26</f>
        <v>35.250279707750195</v>
      </c>
      <c r="J249" s="46"/>
      <c r="K249" s="380"/>
      <c r="L249" s="381"/>
    </row>
    <row r="250" spans="1:185" s="18" customFormat="1" ht="27.75" customHeight="1" thickBot="1" x14ac:dyDescent="0.3">
      <c r="A250" s="371" t="s">
        <v>33</v>
      </c>
      <c r="B250" s="370"/>
      <c r="C250" s="370"/>
      <c r="D250" s="370"/>
      <c r="E250" s="370"/>
      <c r="F250" s="370">
        <f>SUM(F20,F35,F49,F61,F74,F88,F101,F114,F126,F140,F152,F166,F180,F193,F205,F217,F229,F241,F249)</f>
        <v>1775401.3892600001</v>
      </c>
      <c r="G250" s="370">
        <f>SUM(G20,G35,G49,G61,G74,G88,G101,G114,G126,G140,G152,G166,G180,G193,G205,G217,G229,G241,G249)</f>
        <v>739750.67999999982</v>
      </c>
      <c r="H250" s="370">
        <f>SUM(H20,H35,H49,H61,H74,H88,H101,H114,H126,H140,H152,H166,H180,H193,H205,H217,H229,H241,H249)</f>
        <v>716018.38084</v>
      </c>
      <c r="I250" s="376">
        <f t="shared" ref="I250:I259" si="0">H250/G250*100</f>
        <v>96.791851660075551</v>
      </c>
      <c r="J250" s="46"/>
      <c r="K250" s="380"/>
      <c r="L250" s="381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F250" s="17"/>
      <c r="AG250" s="17"/>
      <c r="AH250" s="17"/>
      <c r="AI250" s="17"/>
      <c r="AJ250" s="17"/>
      <c r="AK250" s="17"/>
      <c r="AL250" s="17"/>
      <c r="AM250" s="17"/>
      <c r="AN250" s="17"/>
      <c r="AO250" s="17"/>
      <c r="AP250" s="17"/>
      <c r="AQ250" s="17"/>
      <c r="AR250" s="17"/>
      <c r="AS250" s="17"/>
      <c r="AT250" s="17"/>
      <c r="AU250" s="17"/>
      <c r="AV250" s="17"/>
      <c r="AW250" s="17"/>
      <c r="AX250" s="17"/>
      <c r="AY250" s="17"/>
      <c r="AZ250" s="17"/>
      <c r="BA250" s="17"/>
      <c r="BB250" s="17"/>
      <c r="BC250" s="17"/>
      <c r="BD250" s="17"/>
      <c r="BE250" s="17"/>
      <c r="BF250" s="17"/>
      <c r="BG250" s="17"/>
      <c r="BH250" s="17"/>
      <c r="BI250" s="17"/>
      <c r="BJ250" s="17"/>
      <c r="BK250" s="17"/>
      <c r="BL250" s="17"/>
      <c r="BM250" s="17"/>
      <c r="BN250" s="17"/>
      <c r="BO250" s="17"/>
      <c r="BP250" s="17"/>
      <c r="BQ250" s="17"/>
      <c r="BR250" s="17"/>
      <c r="BS250" s="17"/>
      <c r="BT250" s="17"/>
      <c r="BU250" s="17"/>
      <c r="BV250" s="17"/>
      <c r="BW250" s="17"/>
      <c r="BX250" s="17"/>
      <c r="BY250" s="17"/>
      <c r="BZ250" s="17"/>
      <c r="CA250" s="17"/>
      <c r="CB250" s="17"/>
      <c r="CC250" s="17"/>
      <c r="CD250" s="17"/>
      <c r="CE250" s="17"/>
      <c r="CF250" s="17"/>
      <c r="CG250" s="17"/>
      <c r="CH250" s="17"/>
      <c r="CI250" s="17"/>
      <c r="CJ250" s="17"/>
      <c r="CK250" s="17"/>
      <c r="CL250" s="17"/>
      <c r="CM250" s="17"/>
      <c r="CN250" s="17"/>
      <c r="CO250" s="17"/>
      <c r="CP250" s="17"/>
      <c r="CQ250" s="17"/>
      <c r="CR250" s="17"/>
      <c r="CS250" s="17"/>
      <c r="CT250" s="17"/>
      <c r="CU250" s="17"/>
      <c r="CV250" s="17"/>
      <c r="CW250" s="17"/>
      <c r="CX250" s="17"/>
      <c r="CY250" s="17"/>
      <c r="CZ250" s="17"/>
      <c r="DA250" s="17"/>
      <c r="DB250" s="17"/>
      <c r="DC250" s="17"/>
      <c r="DD250" s="17"/>
      <c r="DE250" s="17"/>
      <c r="DF250" s="17"/>
      <c r="DG250" s="17"/>
      <c r="DH250" s="17"/>
      <c r="DI250" s="17"/>
      <c r="DJ250" s="17"/>
      <c r="DK250" s="17"/>
      <c r="DL250" s="17"/>
      <c r="DM250" s="17"/>
      <c r="DN250" s="17"/>
      <c r="DO250" s="17"/>
      <c r="DP250" s="17"/>
      <c r="DQ250" s="17"/>
      <c r="DR250" s="17"/>
      <c r="DS250" s="17"/>
      <c r="DT250" s="17"/>
      <c r="DU250" s="17"/>
      <c r="DV250" s="17"/>
      <c r="DW250" s="17"/>
      <c r="DX250" s="17"/>
      <c r="DY250" s="17"/>
      <c r="DZ250" s="17"/>
      <c r="EA250" s="17"/>
      <c r="EB250" s="17"/>
      <c r="EC250" s="17"/>
      <c r="ED250" s="17"/>
      <c r="EE250" s="17"/>
      <c r="EF250" s="17"/>
      <c r="EG250" s="17"/>
      <c r="EH250" s="17"/>
      <c r="EI250" s="17"/>
      <c r="EJ250" s="17"/>
      <c r="EK250" s="17"/>
      <c r="EL250" s="17"/>
      <c r="EM250" s="17"/>
      <c r="EN250" s="17"/>
      <c r="EO250" s="17"/>
      <c r="EP250" s="17"/>
      <c r="EQ250" s="17"/>
      <c r="ER250" s="17"/>
      <c r="ES250" s="17"/>
      <c r="ET250" s="17"/>
      <c r="EU250" s="17"/>
      <c r="EV250" s="17"/>
      <c r="EW250" s="17"/>
      <c r="EX250" s="17"/>
      <c r="EY250" s="17"/>
      <c r="EZ250" s="17"/>
      <c r="FA250" s="17"/>
      <c r="FB250" s="17"/>
      <c r="FC250" s="17"/>
      <c r="FD250" s="17"/>
      <c r="FE250" s="17"/>
      <c r="FF250" s="17"/>
      <c r="FG250" s="17"/>
      <c r="FH250" s="17"/>
      <c r="FI250" s="17"/>
      <c r="FJ250" s="17"/>
      <c r="FK250" s="17"/>
      <c r="FL250" s="17"/>
      <c r="FM250" s="17"/>
      <c r="FN250" s="17"/>
      <c r="FO250" s="17"/>
      <c r="FP250" s="17"/>
      <c r="FQ250" s="17"/>
      <c r="FR250" s="17"/>
      <c r="FS250" s="17"/>
      <c r="FT250" s="17"/>
      <c r="FU250" s="17"/>
      <c r="FV250" s="17"/>
      <c r="FW250" s="17"/>
      <c r="FX250" s="17"/>
      <c r="FY250" s="17"/>
      <c r="FZ250" s="17"/>
      <c r="GA250" s="17"/>
      <c r="GB250" s="17"/>
      <c r="GC250" s="17"/>
    </row>
    <row r="251" spans="1:185" ht="30" x14ac:dyDescent="0.25">
      <c r="A251" s="153" t="s">
        <v>113</v>
      </c>
      <c r="B251" s="154">
        <f t="shared" ref="B251:D253" si="1">SUM(B243,B231,B219,B207,B195,B182,B168,B154,B142,B128,B116,B103,B90,B76,B63,B51,B37,B23,B8)</f>
        <v>280176</v>
      </c>
      <c r="C251" s="154">
        <f t="shared" si="1"/>
        <v>116748</v>
      </c>
      <c r="D251" s="154">
        <f t="shared" si="1"/>
        <v>116603</v>
      </c>
      <c r="E251" s="154">
        <f>D251/C251*100</f>
        <v>99.875800870250458</v>
      </c>
      <c r="F251" s="354">
        <f t="shared" ref="F251:H253" si="2">SUM(F243,F231,F219,F207,F195,F182,F168,F154,F142,F128,F116,F103,F90,F76,F63,F51,F37,F23,F8)</f>
        <v>429301.75584999996</v>
      </c>
      <c r="G251" s="354">
        <f t="shared" si="2"/>
        <v>178875.77</v>
      </c>
      <c r="H251" s="354">
        <f t="shared" si="2"/>
        <v>183782.95471000002</v>
      </c>
      <c r="I251" s="385">
        <f>H251/G251*100</f>
        <v>102.7433479168252</v>
      </c>
      <c r="J251" s="46"/>
      <c r="K251" s="46"/>
      <c r="L251" s="381"/>
      <c r="M251" s="386"/>
      <c r="N251" s="386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  <c r="BB251" s="18"/>
      <c r="BC251" s="18"/>
      <c r="BD251" s="18"/>
      <c r="BE251" s="18"/>
      <c r="BF251" s="18"/>
      <c r="BG251" s="18"/>
      <c r="BH251" s="18"/>
      <c r="BI251" s="18"/>
      <c r="BJ251" s="18"/>
      <c r="BK251" s="18"/>
      <c r="BL251" s="18"/>
      <c r="BM251" s="18"/>
      <c r="BN251" s="18"/>
      <c r="BO251" s="18"/>
      <c r="BP251" s="18"/>
      <c r="BQ251" s="18"/>
      <c r="BR251" s="18"/>
      <c r="BS251" s="18"/>
      <c r="BT251" s="18"/>
      <c r="BU251" s="18"/>
      <c r="BV251" s="18"/>
      <c r="BW251" s="18"/>
      <c r="BX251" s="18"/>
      <c r="BY251" s="18"/>
      <c r="BZ251" s="18"/>
      <c r="CA251" s="18"/>
      <c r="CB251" s="18"/>
      <c r="CC251" s="18"/>
      <c r="CD251" s="18"/>
      <c r="CE251" s="18"/>
      <c r="CF251" s="18"/>
      <c r="CG251" s="18"/>
      <c r="CH251" s="18"/>
      <c r="CI251" s="18"/>
      <c r="CJ251" s="18"/>
      <c r="CK251" s="18"/>
      <c r="CL251" s="18"/>
      <c r="CM251" s="18"/>
      <c r="CN251" s="18"/>
      <c r="CO251" s="18"/>
      <c r="CP251" s="18"/>
      <c r="CQ251" s="18"/>
      <c r="CR251" s="18"/>
      <c r="CS251" s="18"/>
      <c r="CT251" s="18"/>
      <c r="CU251" s="18"/>
      <c r="CV251" s="18"/>
      <c r="CW251" s="18"/>
      <c r="CX251" s="18"/>
      <c r="CY251" s="18"/>
      <c r="CZ251" s="18"/>
      <c r="DA251" s="18"/>
      <c r="DB251" s="18"/>
      <c r="DC251" s="18"/>
      <c r="DD251" s="18"/>
      <c r="DE251" s="18"/>
      <c r="DF251" s="18"/>
      <c r="DG251" s="18"/>
      <c r="DH251" s="18"/>
      <c r="DI251" s="18"/>
      <c r="DJ251" s="18"/>
      <c r="DK251" s="18"/>
      <c r="DL251" s="18"/>
      <c r="DM251" s="18"/>
      <c r="DN251" s="18"/>
      <c r="DO251" s="18"/>
      <c r="DP251" s="18"/>
      <c r="DQ251" s="18"/>
      <c r="DR251" s="18"/>
      <c r="DS251" s="18"/>
      <c r="DT251" s="18"/>
      <c r="DU251" s="18"/>
      <c r="DV251" s="18"/>
      <c r="DW251" s="18"/>
      <c r="DX251" s="18"/>
      <c r="DY251" s="18"/>
      <c r="DZ251" s="18"/>
      <c r="EA251" s="18"/>
      <c r="EB251" s="18"/>
      <c r="EC251" s="18"/>
      <c r="ED251" s="18"/>
      <c r="EE251" s="18"/>
      <c r="EF251" s="18"/>
      <c r="EG251" s="18"/>
      <c r="EH251" s="18"/>
      <c r="EI251" s="18"/>
      <c r="EJ251" s="18"/>
      <c r="EK251" s="18"/>
      <c r="EL251" s="18"/>
      <c r="EM251" s="18"/>
      <c r="EN251" s="18"/>
      <c r="EO251" s="18"/>
      <c r="EP251" s="18"/>
      <c r="EQ251" s="18"/>
      <c r="ER251" s="18"/>
      <c r="ES251" s="18"/>
      <c r="ET251" s="18"/>
      <c r="EU251" s="18"/>
      <c r="EV251" s="18"/>
      <c r="EW251" s="18"/>
      <c r="EX251" s="18"/>
      <c r="EY251" s="18"/>
      <c r="EZ251" s="18"/>
      <c r="FA251" s="18"/>
      <c r="FB251" s="18"/>
      <c r="FC251" s="18"/>
      <c r="FD251" s="18"/>
      <c r="FE251" s="18"/>
      <c r="FF251" s="18"/>
      <c r="FG251" s="18"/>
      <c r="FH251" s="18"/>
      <c r="FI251" s="18"/>
      <c r="FJ251" s="18"/>
      <c r="FK251" s="18"/>
      <c r="FL251" s="18"/>
      <c r="FM251" s="18"/>
      <c r="FN251" s="18"/>
      <c r="FO251" s="18"/>
      <c r="FP251" s="18"/>
      <c r="FQ251" s="18"/>
      <c r="FR251" s="18"/>
      <c r="FS251" s="18"/>
      <c r="FT251" s="18"/>
      <c r="FU251" s="18"/>
      <c r="FV251" s="18"/>
      <c r="FW251" s="18"/>
      <c r="FX251" s="18"/>
      <c r="FY251" s="18"/>
      <c r="FZ251" s="18"/>
      <c r="GA251" s="18"/>
      <c r="GB251" s="18"/>
      <c r="GC251" s="18"/>
    </row>
    <row r="252" spans="1:185" ht="30" x14ac:dyDescent="0.25">
      <c r="A252" s="9" t="s">
        <v>79</v>
      </c>
      <c r="B252" s="15">
        <f t="shared" si="1"/>
        <v>210843</v>
      </c>
      <c r="C252" s="15">
        <f t="shared" si="1"/>
        <v>87853</v>
      </c>
      <c r="D252" s="15">
        <f t="shared" si="1"/>
        <v>90459</v>
      </c>
      <c r="E252" s="50">
        <f t="shared" ref="E252:E262" si="3">D252/C252*100</f>
        <v>102.96631873698109</v>
      </c>
      <c r="F252" s="355">
        <f t="shared" si="2"/>
        <v>289291.94319999998</v>
      </c>
      <c r="G252" s="355">
        <f t="shared" si="2"/>
        <v>120538.31</v>
      </c>
      <c r="H252" s="366">
        <f t="shared" si="2"/>
        <v>121471.65405000001</v>
      </c>
      <c r="I252" s="15">
        <f t="shared" si="0"/>
        <v>100.77431320382708</v>
      </c>
      <c r="J252" s="46"/>
      <c r="L252" s="381"/>
      <c r="M252" s="386"/>
      <c r="N252" s="386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  <c r="BB252" s="18"/>
      <c r="BC252" s="18"/>
      <c r="BD252" s="18"/>
      <c r="BE252" s="18"/>
      <c r="BF252" s="18"/>
      <c r="BG252" s="18"/>
      <c r="BH252" s="18"/>
      <c r="BI252" s="18"/>
      <c r="BJ252" s="18"/>
      <c r="BK252" s="18"/>
      <c r="BL252" s="18"/>
      <c r="BM252" s="18"/>
      <c r="BN252" s="18"/>
      <c r="BO252" s="18"/>
      <c r="BP252" s="18"/>
      <c r="BQ252" s="18"/>
      <c r="BR252" s="18"/>
      <c r="BS252" s="18"/>
      <c r="BT252" s="18"/>
      <c r="BU252" s="18"/>
      <c r="BV252" s="18"/>
      <c r="BW252" s="18"/>
      <c r="BX252" s="18"/>
      <c r="BY252" s="18"/>
      <c r="BZ252" s="18"/>
      <c r="CA252" s="18"/>
      <c r="CB252" s="18"/>
      <c r="CC252" s="18"/>
      <c r="CD252" s="18"/>
      <c r="CE252" s="18"/>
      <c r="CF252" s="18"/>
      <c r="CG252" s="18"/>
      <c r="CH252" s="18"/>
      <c r="CI252" s="18"/>
      <c r="CJ252" s="18"/>
      <c r="CK252" s="18"/>
      <c r="CL252" s="18"/>
      <c r="CM252" s="18"/>
      <c r="CN252" s="18"/>
      <c r="CO252" s="18"/>
      <c r="CP252" s="18"/>
      <c r="CQ252" s="18"/>
      <c r="CR252" s="18"/>
      <c r="CS252" s="18"/>
      <c r="CT252" s="18"/>
      <c r="CU252" s="18"/>
      <c r="CV252" s="18"/>
      <c r="CW252" s="18"/>
      <c r="CX252" s="18"/>
      <c r="CY252" s="18"/>
      <c r="CZ252" s="18"/>
      <c r="DA252" s="18"/>
      <c r="DB252" s="18"/>
      <c r="DC252" s="18"/>
      <c r="DD252" s="18"/>
      <c r="DE252" s="18"/>
      <c r="DF252" s="18"/>
      <c r="DG252" s="18"/>
      <c r="DH252" s="18"/>
      <c r="DI252" s="18"/>
      <c r="DJ252" s="18"/>
      <c r="DK252" s="18"/>
      <c r="DL252" s="18"/>
      <c r="DM252" s="18"/>
      <c r="DN252" s="18"/>
      <c r="DO252" s="18"/>
      <c r="DP252" s="18"/>
      <c r="DQ252" s="18"/>
      <c r="DR252" s="18"/>
      <c r="DS252" s="18"/>
      <c r="DT252" s="18"/>
      <c r="DU252" s="18"/>
      <c r="DV252" s="18"/>
      <c r="DW252" s="18"/>
      <c r="DX252" s="18"/>
      <c r="DY252" s="18"/>
      <c r="DZ252" s="18"/>
      <c r="EA252" s="18"/>
      <c r="EB252" s="18"/>
      <c r="EC252" s="18"/>
      <c r="ED252" s="18"/>
      <c r="EE252" s="18"/>
      <c r="EF252" s="18"/>
      <c r="EG252" s="18"/>
      <c r="EH252" s="18"/>
      <c r="EI252" s="18"/>
      <c r="EJ252" s="18"/>
      <c r="EK252" s="18"/>
      <c r="EL252" s="18"/>
      <c r="EM252" s="18"/>
      <c r="EN252" s="18"/>
      <c r="EO252" s="18"/>
      <c r="EP252" s="18"/>
      <c r="EQ252" s="18"/>
      <c r="ER252" s="18"/>
      <c r="ES252" s="18"/>
      <c r="ET252" s="18"/>
      <c r="EU252" s="18"/>
      <c r="EV252" s="18"/>
      <c r="EW252" s="18"/>
      <c r="EX252" s="18"/>
      <c r="EY252" s="18"/>
      <c r="EZ252" s="18"/>
      <c r="FA252" s="18"/>
      <c r="FB252" s="18"/>
      <c r="FC252" s="18"/>
      <c r="FD252" s="18"/>
      <c r="FE252" s="18"/>
      <c r="FF252" s="18"/>
      <c r="FG252" s="18"/>
      <c r="FH252" s="18"/>
      <c r="FI252" s="18"/>
      <c r="FJ252" s="18"/>
      <c r="FK252" s="18"/>
      <c r="FL252" s="18"/>
      <c r="FM252" s="18"/>
      <c r="FN252" s="18"/>
      <c r="FO252" s="18"/>
      <c r="FP252" s="18"/>
      <c r="FQ252" s="18"/>
      <c r="FR252" s="18"/>
      <c r="FS252" s="18"/>
      <c r="FT252" s="18"/>
      <c r="FU252" s="18"/>
      <c r="FV252" s="18"/>
      <c r="FW252" s="18"/>
      <c r="FX252" s="18"/>
      <c r="FY252" s="18"/>
      <c r="FZ252" s="18"/>
      <c r="GA252" s="18"/>
      <c r="GB252" s="18"/>
      <c r="GC252" s="18"/>
    </row>
    <row r="253" spans="1:185" ht="30" x14ac:dyDescent="0.25">
      <c r="A253" s="9" t="s">
        <v>80</v>
      </c>
      <c r="B253" s="15">
        <f t="shared" si="1"/>
        <v>63289</v>
      </c>
      <c r="C253" s="15">
        <f t="shared" si="1"/>
        <v>26375</v>
      </c>
      <c r="D253" s="15">
        <f t="shared" si="1"/>
        <v>21414</v>
      </c>
      <c r="E253" s="50">
        <f t="shared" si="3"/>
        <v>81.190521327014224</v>
      </c>
      <c r="F253" s="355">
        <f t="shared" si="2"/>
        <v>103470.04845</v>
      </c>
      <c r="G253" s="355">
        <f t="shared" si="2"/>
        <v>43112.489999999991</v>
      </c>
      <c r="H253" s="366">
        <f t="shared" si="2"/>
        <v>34064.658490000002</v>
      </c>
      <c r="I253" s="15">
        <f t="shared" si="0"/>
        <v>79.013433206943063</v>
      </c>
      <c r="J253" s="46"/>
      <c r="L253" s="381"/>
      <c r="M253" s="386"/>
      <c r="N253" s="386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  <c r="BB253" s="18"/>
      <c r="BC253" s="18"/>
      <c r="BD253" s="18"/>
      <c r="BE253" s="18"/>
      <c r="BF253" s="18"/>
      <c r="BG253" s="18"/>
      <c r="BH253" s="18"/>
      <c r="BI253" s="18"/>
      <c r="BJ253" s="18"/>
      <c r="BK253" s="18"/>
      <c r="BL253" s="18"/>
      <c r="BM253" s="18"/>
      <c r="BN253" s="18"/>
      <c r="BO253" s="18"/>
      <c r="BP253" s="18"/>
      <c r="BQ253" s="18"/>
      <c r="BR253" s="18"/>
      <c r="BS253" s="18"/>
      <c r="BT253" s="18"/>
      <c r="BU253" s="18"/>
      <c r="BV253" s="18"/>
      <c r="BW253" s="18"/>
      <c r="BX253" s="18"/>
      <c r="BY253" s="18"/>
      <c r="BZ253" s="18"/>
      <c r="CA253" s="18"/>
      <c r="CB253" s="18"/>
      <c r="CC253" s="18"/>
      <c r="CD253" s="18"/>
      <c r="CE253" s="18"/>
      <c r="CF253" s="18"/>
      <c r="CG253" s="18"/>
      <c r="CH253" s="18"/>
      <c r="CI253" s="18"/>
      <c r="CJ253" s="18"/>
      <c r="CK253" s="18"/>
      <c r="CL253" s="18"/>
      <c r="CM253" s="18"/>
      <c r="CN253" s="18"/>
      <c r="CO253" s="18"/>
      <c r="CP253" s="18"/>
      <c r="CQ253" s="18"/>
      <c r="CR253" s="18"/>
      <c r="CS253" s="18"/>
      <c r="CT253" s="18"/>
      <c r="CU253" s="18"/>
      <c r="CV253" s="18"/>
      <c r="CW253" s="18"/>
      <c r="CX253" s="18"/>
      <c r="CY253" s="18"/>
      <c r="CZ253" s="18"/>
      <c r="DA253" s="18"/>
      <c r="DB253" s="18"/>
      <c r="DC253" s="18"/>
      <c r="DD253" s="18"/>
      <c r="DE253" s="18"/>
      <c r="DF253" s="18"/>
      <c r="DG253" s="18"/>
      <c r="DH253" s="18"/>
      <c r="DI253" s="18"/>
      <c r="DJ253" s="18"/>
      <c r="DK253" s="18"/>
      <c r="DL253" s="18"/>
      <c r="DM253" s="18"/>
      <c r="DN253" s="18"/>
      <c r="DO253" s="18"/>
      <c r="DP253" s="18"/>
      <c r="DQ253" s="18"/>
      <c r="DR253" s="18"/>
      <c r="DS253" s="18"/>
      <c r="DT253" s="18"/>
      <c r="DU253" s="18"/>
      <c r="DV253" s="18"/>
      <c r="DW253" s="18"/>
      <c r="DX253" s="18"/>
      <c r="DY253" s="18"/>
      <c r="DZ253" s="18"/>
      <c r="EA253" s="18"/>
      <c r="EB253" s="18"/>
      <c r="EC253" s="18"/>
      <c r="ED253" s="18"/>
      <c r="EE253" s="18"/>
      <c r="EF253" s="18"/>
      <c r="EG253" s="18"/>
      <c r="EH253" s="18"/>
      <c r="EI253" s="18"/>
      <c r="EJ253" s="18"/>
      <c r="EK253" s="18"/>
      <c r="EL253" s="18"/>
      <c r="EM253" s="18"/>
      <c r="EN253" s="18"/>
      <c r="EO253" s="18"/>
      <c r="EP253" s="18"/>
      <c r="EQ253" s="18"/>
      <c r="ER253" s="18"/>
      <c r="ES253" s="18"/>
      <c r="ET253" s="18"/>
      <c r="EU253" s="18"/>
      <c r="EV253" s="18"/>
      <c r="EW253" s="18"/>
      <c r="EX253" s="18"/>
      <c r="EY253" s="18"/>
      <c r="EZ253" s="18"/>
      <c r="FA253" s="18"/>
      <c r="FB253" s="18"/>
      <c r="FC253" s="18"/>
      <c r="FD253" s="18"/>
      <c r="FE253" s="18"/>
      <c r="FF253" s="18"/>
      <c r="FG253" s="18"/>
      <c r="FH253" s="18"/>
      <c r="FI253" s="18"/>
      <c r="FJ253" s="18"/>
      <c r="FK253" s="18"/>
      <c r="FL253" s="18"/>
      <c r="FM253" s="18"/>
      <c r="FN253" s="18"/>
      <c r="FO253" s="18"/>
      <c r="FP253" s="18"/>
      <c r="FQ253" s="18"/>
      <c r="FR253" s="18"/>
      <c r="FS253" s="18"/>
      <c r="FT253" s="18"/>
      <c r="FU253" s="18"/>
      <c r="FV253" s="18"/>
      <c r="FW253" s="18"/>
      <c r="FX253" s="18"/>
      <c r="FY253" s="18"/>
      <c r="FZ253" s="18"/>
      <c r="GA253" s="18"/>
      <c r="GB253" s="18"/>
      <c r="GC253" s="18"/>
    </row>
    <row r="254" spans="1:185" ht="45" x14ac:dyDescent="0.25">
      <c r="A254" s="9" t="s">
        <v>110</v>
      </c>
      <c r="B254" s="50">
        <f t="shared" ref="B254:D255" si="4">SUM(B234,B222,B210,B198,B185,B171,B157,B145,B131,B119,B106,B93,B79,B66,B54,B40,B26,B11)</f>
        <v>1990</v>
      </c>
      <c r="C254" s="50">
        <f t="shared" si="4"/>
        <v>830</v>
      </c>
      <c r="D254" s="15">
        <f t="shared" si="4"/>
        <v>1882</v>
      </c>
      <c r="E254" s="50">
        <f t="shared" si="3"/>
        <v>226.74698795180723</v>
      </c>
      <c r="F254" s="355">
        <f t="shared" ref="F254:H255" si="5">SUM(F234,F222,F210,F198,F185,F171,F157,F145,F131,F119,F106,F93,F79,F66,F54,F40,F26,F11)</f>
        <v>11658.15684</v>
      </c>
      <c r="G254" s="355">
        <f t="shared" si="5"/>
        <v>4857.6000000000004</v>
      </c>
      <c r="H254" s="366">
        <f t="shared" si="5"/>
        <v>11062.573199999999</v>
      </c>
      <c r="I254" s="15">
        <f t="shared" si="0"/>
        <v>227.73742588932802</v>
      </c>
      <c r="J254" s="46"/>
      <c r="L254" s="381"/>
      <c r="M254" s="386"/>
      <c r="N254" s="386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  <c r="BB254" s="18"/>
      <c r="BC254" s="18"/>
      <c r="BD254" s="18"/>
      <c r="BE254" s="18"/>
      <c r="BF254" s="18"/>
      <c r="BG254" s="18"/>
      <c r="BH254" s="18"/>
      <c r="BI254" s="18"/>
      <c r="BJ254" s="18"/>
      <c r="BK254" s="18"/>
      <c r="BL254" s="18"/>
      <c r="BM254" s="18"/>
      <c r="BN254" s="18"/>
      <c r="BO254" s="18"/>
      <c r="BP254" s="18"/>
      <c r="BQ254" s="18"/>
      <c r="BR254" s="18"/>
      <c r="BS254" s="18"/>
      <c r="BT254" s="18"/>
      <c r="BU254" s="18"/>
      <c r="BV254" s="18"/>
      <c r="BW254" s="18"/>
      <c r="BX254" s="18"/>
      <c r="BY254" s="18"/>
      <c r="BZ254" s="18"/>
      <c r="CA254" s="18"/>
      <c r="CB254" s="18"/>
      <c r="CC254" s="18"/>
      <c r="CD254" s="18"/>
      <c r="CE254" s="18"/>
      <c r="CF254" s="18"/>
      <c r="CG254" s="18"/>
      <c r="CH254" s="18"/>
      <c r="CI254" s="18"/>
      <c r="CJ254" s="18"/>
      <c r="CK254" s="18"/>
      <c r="CL254" s="18"/>
      <c r="CM254" s="18"/>
      <c r="CN254" s="18"/>
      <c r="CO254" s="18"/>
      <c r="CP254" s="18"/>
      <c r="CQ254" s="18"/>
      <c r="CR254" s="18"/>
      <c r="CS254" s="18"/>
      <c r="CT254" s="18"/>
      <c r="CU254" s="18"/>
      <c r="CV254" s="18"/>
      <c r="CW254" s="18"/>
      <c r="CX254" s="18"/>
      <c r="CY254" s="18"/>
      <c r="CZ254" s="18"/>
      <c r="DA254" s="18"/>
      <c r="DB254" s="18"/>
      <c r="DC254" s="18"/>
      <c r="DD254" s="18"/>
      <c r="DE254" s="18"/>
      <c r="DF254" s="18"/>
      <c r="DG254" s="18"/>
      <c r="DH254" s="18"/>
      <c r="DI254" s="18"/>
      <c r="DJ254" s="18"/>
      <c r="DK254" s="18"/>
      <c r="DL254" s="18"/>
      <c r="DM254" s="18"/>
      <c r="DN254" s="18"/>
      <c r="DO254" s="18"/>
      <c r="DP254" s="18"/>
      <c r="DQ254" s="18"/>
      <c r="DR254" s="18"/>
      <c r="DS254" s="18"/>
      <c r="DT254" s="18"/>
      <c r="DU254" s="18"/>
      <c r="DV254" s="18"/>
      <c r="DW254" s="18"/>
      <c r="DX254" s="18"/>
      <c r="DY254" s="18"/>
      <c r="DZ254" s="18"/>
      <c r="EA254" s="18"/>
      <c r="EB254" s="18"/>
      <c r="EC254" s="18"/>
      <c r="ED254" s="18"/>
      <c r="EE254" s="18"/>
      <c r="EF254" s="18"/>
      <c r="EG254" s="18"/>
      <c r="EH254" s="18"/>
      <c r="EI254" s="18"/>
      <c r="EJ254" s="18"/>
      <c r="EK254" s="18"/>
      <c r="EL254" s="18"/>
      <c r="EM254" s="18"/>
      <c r="EN254" s="18"/>
      <c r="EO254" s="18"/>
      <c r="EP254" s="18"/>
      <c r="EQ254" s="18"/>
      <c r="ER254" s="18"/>
      <c r="ES254" s="18"/>
      <c r="ET254" s="18"/>
      <c r="EU254" s="18"/>
      <c r="EV254" s="18"/>
      <c r="EW254" s="18"/>
      <c r="EX254" s="18"/>
      <c r="EY254" s="18"/>
      <c r="EZ254" s="18"/>
      <c r="FA254" s="18"/>
      <c r="FB254" s="18"/>
      <c r="FC254" s="18"/>
      <c r="FD254" s="18"/>
      <c r="FE254" s="18"/>
      <c r="FF254" s="18"/>
      <c r="FG254" s="18"/>
      <c r="FH254" s="18"/>
      <c r="FI254" s="18"/>
      <c r="FJ254" s="18"/>
      <c r="FK254" s="18"/>
      <c r="FL254" s="18"/>
      <c r="FM254" s="18"/>
      <c r="FN254" s="18"/>
      <c r="FO254" s="18"/>
      <c r="FP254" s="18"/>
      <c r="FQ254" s="18"/>
      <c r="FR254" s="18"/>
      <c r="FS254" s="18"/>
      <c r="FT254" s="18"/>
      <c r="FU254" s="18"/>
      <c r="FV254" s="18"/>
      <c r="FW254" s="18"/>
      <c r="FX254" s="18"/>
      <c r="FY254" s="18"/>
      <c r="FZ254" s="18"/>
      <c r="GA254" s="18"/>
      <c r="GB254" s="18"/>
      <c r="GC254" s="18"/>
    </row>
    <row r="255" spans="1:185" ht="30" x14ac:dyDescent="0.25">
      <c r="A255" s="9" t="s">
        <v>111</v>
      </c>
      <c r="B255" s="50">
        <f t="shared" si="4"/>
        <v>4054</v>
      </c>
      <c r="C255" s="50">
        <f t="shared" si="4"/>
        <v>1690</v>
      </c>
      <c r="D255" s="15">
        <f t="shared" si="4"/>
        <v>2848</v>
      </c>
      <c r="E255" s="50">
        <f t="shared" si="3"/>
        <v>168.52071005917159</v>
      </c>
      <c r="F255" s="355">
        <f t="shared" si="5"/>
        <v>24881.607360000002</v>
      </c>
      <c r="G255" s="355">
        <f t="shared" si="5"/>
        <v>10367.370000000001</v>
      </c>
      <c r="H255" s="366">
        <f t="shared" si="5"/>
        <v>17184.06897</v>
      </c>
      <c r="I255" s="15">
        <f t="shared" si="0"/>
        <v>165.75147766502013</v>
      </c>
      <c r="J255" s="46"/>
      <c r="L255" s="381"/>
      <c r="M255" s="386"/>
      <c r="N255" s="386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  <c r="BB255" s="18"/>
      <c r="BC255" s="18"/>
      <c r="BD255" s="18"/>
      <c r="BE255" s="18"/>
      <c r="BF255" s="18"/>
      <c r="BG255" s="18"/>
      <c r="BH255" s="18"/>
      <c r="BI255" s="18"/>
      <c r="BJ255" s="18"/>
      <c r="BK255" s="18"/>
      <c r="BL255" s="18"/>
      <c r="BM255" s="18"/>
      <c r="BN255" s="18"/>
      <c r="BO255" s="18"/>
      <c r="BP255" s="18"/>
      <c r="BQ255" s="18"/>
      <c r="BR255" s="18"/>
      <c r="BS255" s="18"/>
      <c r="BT255" s="18"/>
      <c r="BU255" s="18"/>
      <c r="BV255" s="18"/>
      <c r="BW255" s="18"/>
      <c r="BX255" s="18"/>
      <c r="BY255" s="18"/>
      <c r="BZ255" s="18"/>
      <c r="CA255" s="18"/>
      <c r="CB255" s="18"/>
      <c r="CC255" s="18"/>
      <c r="CD255" s="18"/>
      <c r="CE255" s="18"/>
      <c r="CF255" s="18"/>
      <c r="CG255" s="18"/>
      <c r="CH255" s="18"/>
      <c r="CI255" s="18"/>
      <c r="CJ255" s="18"/>
      <c r="CK255" s="18"/>
      <c r="CL255" s="18"/>
      <c r="CM255" s="18"/>
      <c r="CN255" s="18"/>
      <c r="CO255" s="18"/>
      <c r="CP255" s="18"/>
      <c r="CQ255" s="18"/>
      <c r="CR255" s="18"/>
      <c r="CS255" s="18"/>
      <c r="CT255" s="18"/>
      <c r="CU255" s="18"/>
      <c r="CV255" s="18"/>
      <c r="CW255" s="18"/>
      <c r="CX255" s="18"/>
      <c r="CY255" s="18"/>
      <c r="CZ255" s="18"/>
      <c r="DA255" s="18"/>
      <c r="DB255" s="18"/>
      <c r="DC255" s="18"/>
      <c r="DD255" s="18"/>
      <c r="DE255" s="18"/>
      <c r="DF255" s="18"/>
      <c r="DG255" s="18"/>
      <c r="DH255" s="18"/>
      <c r="DI255" s="18"/>
      <c r="DJ255" s="18"/>
      <c r="DK255" s="18"/>
      <c r="DL255" s="18"/>
      <c r="DM255" s="18"/>
      <c r="DN255" s="18"/>
      <c r="DO255" s="18"/>
      <c r="DP255" s="18"/>
      <c r="DQ255" s="18"/>
      <c r="DR255" s="18"/>
      <c r="DS255" s="18"/>
      <c r="DT255" s="18"/>
      <c r="DU255" s="18"/>
      <c r="DV255" s="18"/>
      <c r="DW255" s="18"/>
      <c r="DX255" s="18"/>
      <c r="DY255" s="18"/>
      <c r="DZ255" s="18"/>
      <c r="EA255" s="18"/>
      <c r="EB255" s="18"/>
      <c r="EC255" s="18"/>
      <c r="ED255" s="18"/>
      <c r="EE255" s="18"/>
      <c r="EF255" s="18"/>
      <c r="EG255" s="18"/>
      <c r="EH255" s="18"/>
      <c r="EI255" s="18"/>
      <c r="EJ255" s="18"/>
      <c r="EK255" s="18"/>
      <c r="EL255" s="18"/>
      <c r="EM255" s="18"/>
      <c r="EN255" s="18"/>
      <c r="EO255" s="18"/>
      <c r="EP255" s="18"/>
      <c r="EQ255" s="18"/>
      <c r="ER255" s="18"/>
      <c r="ES255" s="18"/>
      <c r="ET255" s="18"/>
      <c r="EU255" s="18"/>
      <c r="EV255" s="18"/>
      <c r="EW255" s="18"/>
      <c r="EX255" s="18"/>
      <c r="EY255" s="18"/>
      <c r="EZ255" s="18"/>
      <c r="FA255" s="18"/>
      <c r="FB255" s="18"/>
      <c r="FC255" s="18"/>
      <c r="FD255" s="18"/>
      <c r="FE255" s="18"/>
      <c r="FF255" s="18"/>
      <c r="FG255" s="18"/>
      <c r="FH255" s="18"/>
      <c r="FI255" s="18"/>
      <c r="FJ255" s="18"/>
      <c r="FK255" s="18"/>
      <c r="FL255" s="18"/>
      <c r="FM255" s="18"/>
      <c r="FN255" s="18"/>
      <c r="FO255" s="18"/>
      <c r="FP255" s="18"/>
      <c r="FQ255" s="18"/>
      <c r="FR255" s="18"/>
      <c r="FS255" s="18"/>
      <c r="FT255" s="18"/>
      <c r="FU255" s="18"/>
      <c r="FV255" s="18"/>
      <c r="FW255" s="18"/>
      <c r="FX255" s="18"/>
      <c r="FY255" s="18"/>
      <c r="FZ255" s="18"/>
      <c r="GA255" s="18"/>
      <c r="GB255" s="18"/>
      <c r="GC255" s="18"/>
    </row>
    <row r="256" spans="1:185" ht="30" x14ac:dyDescent="0.25">
      <c r="A256" s="229" t="s">
        <v>112</v>
      </c>
      <c r="B256" s="282">
        <f t="shared" ref="B256:D257" si="6">SUM(B246,B236,B224,B212,B200,B187,B173,B159,B147,B133,B121,B108,B95,B81,B68,B56,B42,B28,B13)</f>
        <v>369976</v>
      </c>
      <c r="C256" s="282">
        <f t="shared" si="6"/>
        <v>154160</v>
      </c>
      <c r="D256" s="282">
        <f t="shared" si="6"/>
        <v>147668</v>
      </c>
      <c r="E256" s="282">
        <f t="shared" si="3"/>
        <v>95.78879086663207</v>
      </c>
      <c r="F256" s="369">
        <f t="shared" ref="F256:H257" si="7">SUM(F246,F236,F224,F212,F200,F187,F173,F159,F147,F133,F121,F108,F95,F81,F68,F56,F42,F28,F13)</f>
        <v>755628.03685000003</v>
      </c>
      <c r="G256" s="369">
        <f t="shared" si="7"/>
        <v>314845.05999999994</v>
      </c>
      <c r="H256" s="369">
        <f t="shared" si="7"/>
        <v>295469.77334999997</v>
      </c>
      <c r="I256" s="282">
        <f t="shared" si="0"/>
        <v>93.846088406151267</v>
      </c>
      <c r="J256" s="46"/>
      <c r="K256" s="46"/>
      <c r="L256" s="381"/>
      <c r="M256" s="386"/>
      <c r="N256" s="386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  <c r="BB256" s="18"/>
      <c r="BC256" s="18"/>
      <c r="BD256" s="18"/>
      <c r="BE256" s="18"/>
      <c r="BF256" s="18"/>
      <c r="BG256" s="18"/>
      <c r="BH256" s="18"/>
      <c r="BI256" s="18"/>
      <c r="BJ256" s="18"/>
      <c r="BK256" s="18"/>
      <c r="BL256" s="18"/>
      <c r="BM256" s="18"/>
      <c r="BN256" s="18"/>
      <c r="BO256" s="18"/>
      <c r="BP256" s="18"/>
      <c r="BQ256" s="18"/>
      <c r="BR256" s="18"/>
      <c r="BS256" s="18"/>
      <c r="BT256" s="18"/>
      <c r="BU256" s="18"/>
      <c r="BV256" s="18"/>
      <c r="BW256" s="18"/>
      <c r="BX256" s="18"/>
      <c r="BY256" s="18"/>
      <c r="BZ256" s="18"/>
      <c r="CA256" s="18"/>
      <c r="CB256" s="18"/>
      <c r="CC256" s="18"/>
      <c r="CD256" s="18"/>
      <c r="CE256" s="18"/>
      <c r="CF256" s="18"/>
      <c r="CG256" s="18"/>
      <c r="CH256" s="18"/>
      <c r="CI256" s="18"/>
      <c r="CJ256" s="18"/>
      <c r="CK256" s="18"/>
      <c r="CL256" s="18"/>
      <c r="CM256" s="18"/>
      <c r="CN256" s="18"/>
      <c r="CO256" s="18"/>
      <c r="CP256" s="18"/>
      <c r="CQ256" s="18"/>
      <c r="CR256" s="18"/>
      <c r="CS256" s="18"/>
      <c r="CT256" s="18"/>
      <c r="CU256" s="18"/>
      <c r="CV256" s="18"/>
      <c r="CW256" s="18"/>
      <c r="CX256" s="18"/>
      <c r="CY256" s="18"/>
      <c r="CZ256" s="18"/>
      <c r="DA256" s="18"/>
      <c r="DB256" s="18"/>
      <c r="DC256" s="18"/>
      <c r="DD256" s="18"/>
      <c r="DE256" s="18"/>
      <c r="DF256" s="18"/>
      <c r="DG256" s="18"/>
      <c r="DH256" s="18"/>
      <c r="DI256" s="18"/>
      <c r="DJ256" s="18"/>
      <c r="DK256" s="18"/>
      <c r="DL256" s="18"/>
      <c r="DM256" s="18"/>
      <c r="DN256" s="18"/>
      <c r="DO256" s="18"/>
      <c r="DP256" s="18"/>
      <c r="DQ256" s="18"/>
      <c r="DR256" s="18"/>
      <c r="DS256" s="18"/>
      <c r="DT256" s="18"/>
      <c r="DU256" s="18"/>
      <c r="DV256" s="18"/>
      <c r="DW256" s="18"/>
      <c r="DX256" s="18"/>
      <c r="DY256" s="18"/>
      <c r="DZ256" s="18"/>
      <c r="EA256" s="18"/>
      <c r="EB256" s="18"/>
      <c r="EC256" s="18"/>
      <c r="ED256" s="18"/>
      <c r="EE256" s="18"/>
      <c r="EF256" s="18"/>
      <c r="EG256" s="18"/>
      <c r="EH256" s="18"/>
      <c r="EI256" s="18"/>
      <c r="EJ256" s="18"/>
      <c r="EK256" s="18"/>
      <c r="EL256" s="18"/>
      <c r="EM256" s="18"/>
      <c r="EN256" s="18"/>
      <c r="EO256" s="18"/>
      <c r="EP256" s="18"/>
      <c r="EQ256" s="18"/>
      <c r="ER256" s="18"/>
      <c r="ES256" s="18"/>
      <c r="ET256" s="18"/>
      <c r="EU256" s="18"/>
      <c r="EV256" s="18"/>
      <c r="EW256" s="18"/>
      <c r="EX256" s="18"/>
      <c r="EY256" s="18"/>
      <c r="EZ256" s="18"/>
      <c r="FA256" s="18"/>
      <c r="FB256" s="18"/>
      <c r="FC256" s="18"/>
      <c r="FD256" s="18"/>
      <c r="FE256" s="18"/>
      <c r="FF256" s="18"/>
      <c r="FG256" s="18"/>
      <c r="FH256" s="18"/>
      <c r="FI256" s="18"/>
      <c r="FJ256" s="18"/>
      <c r="FK256" s="18"/>
      <c r="FL256" s="18"/>
      <c r="FM256" s="18"/>
      <c r="FN256" s="18"/>
      <c r="FO256" s="18"/>
      <c r="FP256" s="18"/>
      <c r="FQ256" s="18"/>
      <c r="FR256" s="18"/>
      <c r="FS256" s="18"/>
      <c r="FT256" s="18"/>
      <c r="FU256" s="18"/>
      <c r="FV256" s="18"/>
      <c r="FW256" s="18"/>
      <c r="FX256" s="18"/>
      <c r="FY256" s="18"/>
      <c r="FZ256" s="18"/>
      <c r="GA256" s="18"/>
      <c r="GB256" s="18"/>
      <c r="GC256" s="18"/>
    </row>
    <row r="257" spans="1:185" ht="30" x14ac:dyDescent="0.25">
      <c r="A257" s="9" t="s">
        <v>108</v>
      </c>
      <c r="B257" s="50">
        <f t="shared" si="6"/>
        <v>49546</v>
      </c>
      <c r="C257" s="50">
        <f t="shared" si="6"/>
        <v>20645</v>
      </c>
      <c r="D257" s="15">
        <f t="shared" si="6"/>
        <v>19097</v>
      </c>
      <c r="E257" s="50">
        <f t="shared" si="3"/>
        <v>92.50181642044079</v>
      </c>
      <c r="F257" s="355">
        <f t="shared" si="7"/>
        <v>95621.844550000009</v>
      </c>
      <c r="G257" s="355">
        <f t="shared" si="7"/>
        <v>39842.449999999997</v>
      </c>
      <c r="H257" s="366">
        <f t="shared" si="7"/>
        <v>36700.808789999995</v>
      </c>
      <c r="I257" s="15">
        <f t="shared" si="0"/>
        <v>92.114839298286128</v>
      </c>
      <c r="J257" s="46"/>
      <c r="L257" s="381"/>
      <c r="M257" s="386"/>
      <c r="N257" s="386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  <c r="BB257" s="18"/>
      <c r="BC257" s="18"/>
      <c r="BD257" s="18"/>
      <c r="BE257" s="18"/>
      <c r="BF257" s="18"/>
      <c r="BG257" s="18"/>
      <c r="BH257" s="18"/>
      <c r="BI257" s="18"/>
      <c r="BJ257" s="18"/>
      <c r="BK257" s="18"/>
      <c r="BL257" s="18"/>
      <c r="BM257" s="18"/>
      <c r="BN257" s="18"/>
      <c r="BO257" s="18"/>
      <c r="BP257" s="18"/>
      <c r="BQ257" s="18"/>
      <c r="BR257" s="18"/>
      <c r="BS257" s="18"/>
      <c r="BT257" s="18"/>
      <c r="BU257" s="18"/>
      <c r="BV257" s="18"/>
      <c r="BW257" s="18"/>
      <c r="BX257" s="18"/>
      <c r="BY257" s="18"/>
      <c r="BZ257" s="18"/>
      <c r="CA257" s="18"/>
      <c r="CB257" s="18"/>
      <c r="CC257" s="18"/>
      <c r="CD257" s="18"/>
      <c r="CE257" s="18"/>
      <c r="CF257" s="18"/>
      <c r="CG257" s="18"/>
      <c r="CH257" s="18"/>
      <c r="CI257" s="18"/>
      <c r="CJ257" s="18"/>
      <c r="CK257" s="18"/>
      <c r="CL257" s="18"/>
      <c r="CM257" s="18"/>
      <c r="CN257" s="18"/>
      <c r="CO257" s="18"/>
      <c r="CP257" s="18"/>
      <c r="CQ257" s="18"/>
      <c r="CR257" s="18"/>
      <c r="CS257" s="18"/>
      <c r="CT257" s="18"/>
      <c r="CU257" s="18"/>
      <c r="CV257" s="18"/>
      <c r="CW257" s="18"/>
      <c r="CX257" s="18"/>
      <c r="CY257" s="18"/>
      <c r="CZ257" s="18"/>
      <c r="DA257" s="18"/>
      <c r="DB257" s="18"/>
      <c r="DC257" s="18"/>
      <c r="DD257" s="18"/>
      <c r="DE257" s="18"/>
      <c r="DF257" s="18"/>
      <c r="DG257" s="18"/>
      <c r="DH257" s="18"/>
      <c r="DI257" s="18"/>
      <c r="DJ257" s="18"/>
      <c r="DK257" s="18"/>
      <c r="DL257" s="18"/>
      <c r="DM257" s="18"/>
      <c r="DN257" s="18"/>
      <c r="DO257" s="18"/>
      <c r="DP257" s="18"/>
      <c r="DQ257" s="18"/>
      <c r="DR257" s="18"/>
      <c r="DS257" s="18"/>
      <c r="DT257" s="18"/>
      <c r="DU257" s="18"/>
      <c r="DV257" s="18"/>
      <c r="DW257" s="18"/>
      <c r="DX257" s="18"/>
      <c r="DY257" s="18"/>
      <c r="DZ257" s="18"/>
      <c r="EA257" s="18"/>
      <c r="EB257" s="18"/>
      <c r="EC257" s="18"/>
      <c r="ED257" s="18"/>
      <c r="EE257" s="18"/>
      <c r="EF257" s="18"/>
      <c r="EG257" s="18"/>
      <c r="EH257" s="18"/>
      <c r="EI257" s="18"/>
      <c r="EJ257" s="18"/>
      <c r="EK257" s="18"/>
      <c r="EL257" s="18"/>
      <c r="EM257" s="18"/>
      <c r="EN257" s="18"/>
      <c r="EO257" s="18"/>
      <c r="EP257" s="18"/>
      <c r="EQ257" s="18"/>
      <c r="ER257" s="18"/>
      <c r="ES257" s="18"/>
      <c r="ET257" s="18"/>
      <c r="EU257" s="18"/>
      <c r="EV257" s="18"/>
      <c r="EW257" s="18"/>
      <c r="EX257" s="18"/>
      <c r="EY257" s="18"/>
      <c r="EZ257" s="18"/>
      <c r="FA257" s="18"/>
      <c r="FB257" s="18"/>
      <c r="FC257" s="18"/>
      <c r="FD257" s="18"/>
      <c r="FE257" s="18"/>
      <c r="FF257" s="18"/>
      <c r="FG257" s="18"/>
      <c r="FH257" s="18"/>
      <c r="FI257" s="18"/>
      <c r="FJ257" s="18"/>
      <c r="FK257" s="18"/>
      <c r="FL257" s="18"/>
      <c r="FM257" s="18"/>
      <c r="FN257" s="18"/>
      <c r="FO257" s="18"/>
      <c r="FP257" s="18"/>
      <c r="FQ257" s="18"/>
      <c r="FR257" s="18"/>
      <c r="FS257" s="18"/>
      <c r="FT257" s="18"/>
      <c r="FU257" s="18"/>
      <c r="FV257" s="18"/>
      <c r="FW257" s="18"/>
      <c r="FX257" s="18"/>
      <c r="FY257" s="18"/>
      <c r="FZ257" s="18"/>
      <c r="GA257" s="18"/>
      <c r="GB257" s="18"/>
      <c r="GC257" s="18"/>
    </row>
    <row r="258" spans="1:185" ht="60" x14ac:dyDescent="0.25">
      <c r="A258" s="9" t="s">
        <v>81</v>
      </c>
      <c r="B258" s="50">
        <f t="shared" ref="B258:D259" si="8">SUM(B238,B226,B214,B202,B189,B175,B161,B149,B135,B123,B110,B97,B83,B70,B58,B44,B30,B15)</f>
        <v>235265</v>
      </c>
      <c r="C258" s="50">
        <f t="shared" si="8"/>
        <v>98028</v>
      </c>
      <c r="D258" s="15">
        <f t="shared" si="8"/>
        <v>95658</v>
      </c>
      <c r="E258" s="50">
        <f t="shared" si="3"/>
        <v>97.582323417799003</v>
      </c>
      <c r="F258" s="355">
        <f t="shared" ref="F258:H259" si="9">SUM(F238,F226,F214,F202,F189,F175,F161,F149,F135,F123,F110,F97,F83,F70,F58,F44,F30,F15)</f>
        <v>582474.83866000001</v>
      </c>
      <c r="G258" s="355">
        <f t="shared" si="9"/>
        <v>242697.86000000004</v>
      </c>
      <c r="H258" s="366">
        <f t="shared" si="9"/>
        <v>226282.69147000002</v>
      </c>
      <c r="I258" s="15">
        <f t="shared" si="0"/>
        <v>93.236376896771972</v>
      </c>
      <c r="J258" s="46"/>
      <c r="L258" s="381"/>
      <c r="M258" s="386"/>
      <c r="N258" s="386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  <c r="BB258" s="18"/>
      <c r="BC258" s="18"/>
      <c r="BD258" s="18"/>
      <c r="BE258" s="18"/>
      <c r="BF258" s="18"/>
      <c r="BG258" s="18"/>
      <c r="BH258" s="18"/>
      <c r="BI258" s="18"/>
      <c r="BJ258" s="18"/>
      <c r="BK258" s="18"/>
      <c r="BL258" s="18"/>
      <c r="BM258" s="18"/>
      <c r="BN258" s="18"/>
      <c r="BO258" s="18"/>
      <c r="BP258" s="18"/>
      <c r="BQ258" s="18"/>
      <c r="BR258" s="18"/>
      <c r="BS258" s="18"/>
      <c r="BT258" s="18"/>
      <c r="BU258" s="18"/>
      <c r="BV258" s="18"/>
      <c r="BW258" s="18"/>
      <c r="BX258" s="18"/>
      <c r="BY258" s="18"/>
      <c r="BZ258" s="18"/>
      <c r="CA258" s="18"/>
      <c r="CB258" s="18"/>
      <c r="CC258" s="18"/>
      <c r="CD258" s="18"/>
      <c r="CE258" s="18"/>
      <c r="CF258" s="18"/>
      <c r="CG258" s="18"/>
      <c r="CH258" s="18"/>
      <c r="CI258" s="18"/>
      <c r="CJ258" s="18"/>
      <c r="CK258" s="18"/>
      <c r="CL258" s="18"/>
      <c r="CM258" s="18"/>
      <c r="CN258" s="18"/>
      <c r="CO258" s="18"/>
      <c r="CP258" s="18"/>
      <c r="CQ258" s="18"/>
      <c r="CR258" s="18"/>
      <c r="CS258" s="18"/>
      <c r="CT258" s="18"/>
      <c r="CU258" s="18"/>
      <c r="CV258" s="18"/>
      <c r="CW258" s="18"/>
      <c r="CX258" s="18"/>
      <c r="CY258" s="18"/>
      <c r="CZ258" s="18"/>
      <c r="DA258" s="18"/>
      <c r="DB258" s="18"/>
      <c r="DC258" s="18"/>
      <c r="DD258" s="18"/>
      <c r="DE258" s="18"/>
      <c r="DF258" s="18"/>
      <c r="DG258" s="18"/>
      <c r="DH258" s="18"/>
      <c r="DI258" s="18"/>
      <c r="DJ258" s="18"/>
      <c r="DK258" s="18"/>
      <c r="DL258" s="18"/>
      <c r="DM258" s="18"/>
      <c r="DN258" s="18"/>
      <c r="DO258" s="18"/>
      <c r="DP258" s="18"/>
      <c r="DQ258" s="18"/>
      <c r="DR258" s="18"/>
      <c r="DS258" s="18"/>
      <c r="DT258" s="18"/>
      <c r="DU258" s="18"/>
      <c r="DV258" s="18"/>
      <c r="DW258" s="18"/>
      <c r="DX258" s="18"/>
      <c r="DY258" s="18"/>
      <c r="DZ258" s="18"/>
      <c r="EA258" s="18"/>
      <c r="EB258" s="18"/>
      <c r="EC258" s="18"/>
      <c r="ED258" s="18"/>
      <c r="EE258" s="18"/>
      <c r="EF258" s="18"/>
      <c r="EG258" s="18"/>
      <c r="EH258" s="18"/>
      <c r="EI258" s="18"/>
      <c r="EJ258" s="18"/>
      <c r="EK258" s="18"/>
      <c r="EL258" s="18"/>
      <c r="EM258" s="18"/>
      <c r="EN258" s="18"/>
      <c r="EO258" s="18"/>
      <c r="EP258" s="18"/>
      <c r="EQ258" s="18"/>
      <c r="ER258" s="18"/>
      <c r="ES258" s="18"/>
      <c r="ET258" s="18"/>
      <c r="EU258" s="18"/>
      <c r="EV258" s="18"/>
      <c r="EW258" s="18"/>
      <c r="EX258" s="18"/>
      <c r="EY258" s="18"/>
      <c r="EZ258" s="18"/>
      <c r="FA258" s="18"/>
      <c r="FB258" s="18"/>
      <c r="FC258" s="18"/>
      <c r="FD258" s="18"/>
      <c r="FE258" s="18"/>
      <c r="FF258" s="18"/>
      <c r="FG258" s="18"/>
      <c r="FH258" s="18"/>
      <c r="FI258" s="18"/>
      <c r="FJ258" s="18"/>
      <c r="FK258" s="18"/>
      <c r="FL258" s="18"/>
      <c r="FM258" s="18"/>
      <c r="FN258" s="18"/>
      <c r="FO258" s="18"/>
      <c r="FP258" s="18"/>
      <c r="FQ258" s="18"/>
      <c r="FR258" s="18"/>
      <c r="FS258" s="18"/>
      <c r="FT258" s="18"/>
      <c r="FU258" s="18"/>
      <c r="FV258" s="18"/>
      <c r="FW258" s="18"/>
      <c r="FX258" s="18"/>
      <c r="FY258" s="18"/>
      <c r="FZ258" s="18"/>
      <c r="GA258" s="18"/>
      <c r="GB258" s="18"/>
      <c r="GC258" s="18"/>
    </row>
    <row r="259" spans="1:185" ht="45" x14ac:dyDescent="0.25">
      <c r="A259" s="9" t="s">
        <v>109</v>
      </c>
      <c r="B259" s="50">
        <f t="shared" si="8"/>
        <v>85165</v>
      </c>
      <c r="C259" s="50">
        <f t="shared" si="8"/>
        <v>35487</v>
      </c>
      <c r="D259" s="15">
        <f t="shared" si="8"/>
        <v>32913</v>
      </c>
      <c r="E259" s="50">
        <f t="shared" si="3"/>
        <v>92.746639614506719</v>
      </c>
      <c r="F259" s="355">
        <f t="shared" si="9"/>
        <v>77531.353640000001</v>
      </c>
      <c r="G259" s="355">
        <f t="shared" si="9"/>
        <v>32304.75</v>
      </c>
      <c r="H259" s="366">
        <f t="shared" si="9"/>
        <v>32486.273089999999</v>
      </c>
      <c r="I259" s="15">
        <f t="shared" si="0"/>
        <v>100.56190835713015</v>
      </c>
      <c r="J259" s="46"/>
      <c r="L259" s="381"/>
      <c r="M259" s="386"/>
      <c r="N259" s="386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  <c r="BB259" s="18"/>
      <c r="BC259" s="18"/>
      <c r="BD259" s="18"/>
      <c r="BE259" s="18"/>
      <c r="BF259" s="18"/>
      <c r="BG259" s="18"/>
      <c r="BH259" s="18"/>
      <c r="BI259" s="18"/>
      <c r="BJ259" s="18"/>
      <c r="BK259" s="18"/>
      <c r="BL259" s="18"/>
      <c r="BM259" s="18"/>
      <c r="BN259" s="18"/>
      <c r="BO259" s="18"/>
      <c r="BP259" s="18"/>
      <c r="BQ259" s="18"/>
      <c r="BR259" s="18"/>
      <c r="BS259" s="18"/>
      <c r="BT259" s="18"/>
      <c r="BU259" s="18"/>
      <c r="BV259" s="18"/>
      <c r="BW259" s="18"/>
      <c r="BX259" s="18"/>
      <c r="BY259" s="18"/>
      <c r="BZ259" s="18"/>
      <c r="CA259" s="18"/>
      <c r="CB259" s="18"/>
      <c r="CC259" s="18"/>
      <c r="CD259" s="18"/>
      <c r="CE259" s="18"/>
      <c r="CF259" s="18"/>
      <c r="CG259" s="18"/>
      <c r="CH259" s="18"/>
      <c r="CI259" s="18"/>
      <c r="CJ259" s="18"/>
      <c r="CK259" s="18"/>
      <c r="CL259" s="18"/>
      <c r="CM259" s="18"/>
      <c r="CN259" s="18"/>
      <c r="CO259" s="18"/>
      <c r="CP259" s="18"/>
      <c r="CQ259" s="18"/>
      <c r="CR259" s="18"/>
      <c r="CS259" s="18"/>
      <c r="CT259" s="18"/>
      <c r="CU259" s="18"/>
      <c r="CV259" s="18"/>
      <c r="CW259" s="18"/>
      <c r="CX259" s="18"/>
      <c r="CY259" s="18"/>
      <c r="CZ259" s="18"/>
      <c r="DA259" s="18"/>
      <c r="DB259" s="18"/>
      <c r="DC259" s="18"/>
      <c r="DD259" s="18"/>
      <c r="DE259" s="18"/>
      <c r="DF259" s="18"/>
      <c r="DG259" s="18"/>
      <c r="DH259" s="18"/>
      <c r="DI259" s="18"/>
      <c r="DJ259" s="18"/>
      <c r="DK259" s="18"/>
      <c r="DL259" s="18"/>
      <c r="DM259" s="18"/>
      <c r="DN259" s="18"/>
      <c r="DO259" s="18"/>
      <c r="DP259" s="18"/>
      <c r="DQ259" s="18"/>
      <c r="DR259" s="18"/>
      <c r="DS259" s="18"/>
      <c r="DT259" s="18"/>
      <c r="DU259" s="18"/>
      <c r="DV259" s="18"/>
      <c r="DW259" s="18"/>
      <c r="DX259" s="18"/>
      <c r="DY259" s="18"/>
      <c r="DZ259" s="18"/>
      <c r="EA259" s="18"/>
      <c r="EB259" s="18"/>
      <c r="EC259" s="18"/>
      <c r="ED259" s="18"/>
      <c r="EE259" s="18"/>
      <c r="EF259" s="18"/>
      <c r="EG259" s="18"/>
      <c r="EH259" s="18"/>
      <c r="EI259" s="18"/>
      <c r="EJ259" s="18"/>
      <c r="EK259" s="18"/>
      <c r="EL259" s="18"/>
      <c r="EM259" s="18"/>
      <c r="EN259" s="18"/>
      <c r="EO259" s="18"/>
      <c r="EP259" s="18"/>
      <c r="EQ259" s="18"/>
      <c r="ER259" s="18"/>
      <c r="ES259" s="18"/>
      <c r="ET259" s="18"/>
      <c r="EU259" s="18"/>
      <c r="EV259" s="18"/>
      <c r="EW259" s="18"/>
      <c r="EX259" s="18"/>
      <c r="EY259" s="18"/>
      <c r="EZ259" s="18"/>
      <c r="FA259" s="18"/>
      <c r="FB259" s="18"/>
      <c r="FC259" s="18"/>
      <c r="FD259" s="18"/>
      <c r="FE259" s="18"/>
      <c r="FF259" s="18"/>
      <c r="FG259" s="18"/>
      <c r="FH259" s="18"/>
      <c r="FI259" s="18"/>
      <c r="FJ259" s="18"/>
      <c r="FK259" s="18"/>
      <c r="FL259" s="18"/>
      <c r="FM259" s="18"/>
      <c r="FN259" s="18"/>
      <c r="FO259" s="18"/>
      <c r="FP259" s="18"/>
      <c r="FQ259" s="18"/>
      <c r="FR259" s="18"/>
      <c r="FS259" s="18"/>
      <c r="FT259" s="18"/>
      <c r="FU259" s="18"/>
      <c r="FV259" s="18"/>
      <c r="FW259" s="18"/>
      <c r="FX259" s="18"/>
      <c r="FY259" s="18"/>
      <c r="FZ259" s="18"/>
      <c r="GA259" s="18"/>
      <c r="GB259" s="18"/>
      <c r="GC259" s="18"/>
    </row>
    <row r="260" spans="1:185" ht="30" x14ac:dyDescent="0.25">
      <c r="A260" s="351" t="s">
        <v>123</v>
      </c>
      <c r="B260" s="50">
        <f>SUM(B248,B240,B228,B216,B204,B191,B177,B163,B137,B125,B112,B99,B85,B72,B60,B46,B32,B17,B151)</f>
        <v>669692.80000000005</v>
      </c>
      <c r="C260" s="50">
        <f>SUM(C248,C240,C228,C216,C204,C191,C177,C163,C137,C125,C112,C99,C85,C72,C60,C46,C32,C17,C151)</f>
        <v>279042</v>
      </c>
      <c r="D260" s="15">
        <f>SUM(D248,D240,D228,D216,D204,D191,D177,D163,D137,D125,D112,D99,D85,D72,D60,D46,D32,D17,D151)</f>
        <v>270488</v>
      </c>
      <c r="E260" s="50">
        <f t="shared" si="3"/>
        <v>96.934511650575899</v>
      </c>
      <c r="F260" s="366">
        <f t="shared" ref="F260:G260" si="10">SUM(F248,F240,F228,F216,F204,F191,F177,F163,F137,F125,F112,F99,F85,F72,F60,F46,F32,F17,F151)</f>
        <v>590471.59655999998</v>
      </c>
      <c r="G260" s="366">
        <f t="shared" si="10"/>
        <v>246029.84999999998</v>
      </c>
      <c r="H260" s="366">
        <f>SUM(H248,H240,H228,H216,H204,H191,H177,H163,H137,H125,H112,H99,H85,H72,H60,H46,H32,H17,H151)</f>
        <v>236765.65278</v>
      </c>
      <c r="I260" s="15">
        <f>H260/G260*100</f>
        <v>96.234523079211741</v>
      </c>
      <c r="J260" s="46"/>
      <c r="L260" s="381"/>
      <c r="M260" s="386"/>
      <c r="N260" s="386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  <c r="BB260" s="18"/>
      <c r="BC260" s="18"/>
      <c r="BD260" s="18"/>
      <c r="BE260" s="18"/>
      <c r="BF260" s="18"/>
      <c r="BG260" s="18"/>
      <c r="BH260" s="18"/>
      <c r="BI260" s="18"/>
      <c r="BJ260" s="18"/>
      <c r="BK260" s="18"/>
      <c r="BL260" s="18"/>
      <c r="BM260" s="18"/>
      <c r="BN260" s="18"/>
      <c r="BO260" s="18"/>
      <c r="BP260" s="18"/>
      <c r="BQ260" s="18"/>
      <c r="BR260" s="18"/>
      <c r="BS260" s="18"/>
      <c r="BT260" s="18"/>
      <c r="BU260" s="18"/>
      <c r="BV260" s="18"/>
      <c r="BW260" s="18"/>
      <c r="BX260" s="18"/>
      <c r="BY260" s="18"/>
      <c r="BZ260" s="18"/>
      <c r="CA260" s="18"/>
      <c r="CB260" s="18"/>
      <c r="CC260" s="18"/>
      <c r="CD260" s="18"/>
      <c r="CE260" s="18"/>
      <c r="CF260" s="18"/>
      <c r="CG260" s="18"/>
      <c r="CH260" s="18"/>
      <c r="CI260" s="18"/>
      <c r="CJ260" s="18"/>
      <c r="CK260" s="18"/>
      <c r="CL260" s="18"/>
      <c r="CM260" s="18"/>
      <c r="CN260" s="18"/>
      <c r="CO260" s="18"/>
      <c r="CP260" s="18"/>
      <c r="CQ260" s="18"/>
      <c r="CR260" s="18"/>
      <c r="CS260" s="18"/>
      <c r="CT260" s="18"/>
      <c r="CU260" s="18"/>
      <c r="CV260" s="18"/>
      <c r="CW260" s="18"/>
      <c r="CX260" s="18"/>
      <c r="CY260" s="18"/>
      <c r="CZ260" s="18"/>
      <c r="DA260" s="18"/>
      <c r="DB260" s="18"/>
      <c r="DC260" s="18"/>
      <c r="DD260" s="18"/>
      <c r="DE260" s="18"/>
      <c r="DF260" s="18"/>
      <c r="DG260" s="18"/>
      <c r="DH260" s="18"/>
      <c r="DI260" s="18"/>
      <c r="DJ260" s="18"/>
      <c r="DK260" s="18"/>
      <c r="DL260" s="18"/>
      <c r="DM260" s="18"/>
      <c r="DN260" s="18"/>
      <c r="DO260" s="18"/>
      <c r="DP260" s="18"/>
      <c r="DQ260" s="18"/>
      <c r="DR260" s="18"/>
      <c r="DS260" s="18"/>
      <c r="DT260" s="18"/>
      <c r="DU260" s="18"/>
      <c r="DV260" s="18"/>
      <c r="DW260" s="18"/>
      <c r="DX260" s="18"/>
      <c r="DY260" s="18"/>
      <c r="DZ260" s="18"/>
      <c r="EA260" s="18"/>
      <c r="EB260" s="18"/>
      <c r="EC260" s="18"/>
      <c r="ED260" s="18"/>
      <c r="EE260" s="18"/>
      <c r="EF260" s="18"/>
      <c r="EG260" s="18"/>
      <c r="EH260" s="18"/>
      <c r="EI260" s="18"/>
      <c r="EJ260" s="18"/>
      <c r="EK260" s="18"/>
      <c r="EL260" s="18"/>
      <c r="EM260" s="18"/>
      <c r="EN260" s="18"/>
      <c r="EO260" s="18"/>
      <c r="EP260" s="18"/>
      <c r="EQ260" s="18"/>
      <c r="ER260" s="18"/>
      <c r="ES260" s="18"/>
      <c r="ET260" s="18"/>
      <c r="EU260" s="18"/>
      <c r="EV260" s="18"/>
      <c r="EW260" s="18"/>
      <c r="EX260" s="18"/>
      <c r="EY260" s="18"/>
      <c r="EZ260" s="18"/>
      <c r="FA260" s="18"/>
      <c r="FB260" s="18"/>
      <c r="FC260" s="18"/>
      <c r="FD260" s="18"/>
      <c r="FE260" s="18"/>
      <c r="FF260" s="18"/>
      <c r="FG260" s="18"/>
      <c r="FH260" s="18"/>
      <c r="FI260" s="18"/>
      <c r="FJ260" s="18"/>
      <c r="FK260" s="18"/>
      <c r="FL260" s="18"/>
      <c r="FM260" s="18"/>
      <c r="FN260" s="18"/>
      <c r="FO260" s="18"/>
      <c r="FP260" s="18"/>
      <c r="FQ260" s="18"/>
      <c r="FR260" s="18"/>
      <c r="FS260" s="18"/>
      <c r="FT260" s="18"/>
      <c r="FU260" s="18"/>
      <c r="FV260" s="18"/>
      <c r="FW260" s="18"/>
      <c r="FX260" s="18"/>
      <c r="FY260" s="18"/>
      <c r="FZ260" s="18"/>
      <c r="GA260" s="18"/>
      <c r="GB260" s="18"/>
      <c r="GC260" s="18"/>
    </row>
    <row r="261" spans="1:185" ht="30" x14ac:dyDescent="0.25">
      <c r="A261" s="57" t="s">
        <v>124</v>
      </c>
      <c r="B261" s="50">
        <f>SUM(B178,B164,B138,B86,B47,B33,B18)</f>
        <v>53084.4</v>
      </c>
      <c r="C261" s="50">
        <f>SUM(C178,C164,C138,C86,C47,C33,C18)</f>
        <v>22119</v>
      </c>
      <c r="D261" s="15">
        <f>SUM(D178,D164,D138,D86,D47,D33,D18)</f>
        <v>22356</v>
      </c>
      <c r="E261" s="50">
        <f t="shared" si="3"/>
        <v>101.07147701071477</v>
      </c>
      <c r="F261" s="366">
        <f t="shared" ref="F261:G261" si="11">SUM(F178,F164,F138,F86,F47,F33,F18)</f>
        <v>47358.992119373914</v>
      </c>
      <c r="G261" s="366">
        <f t="shared" si="11"/>
        <v>19732.919999999998</v>
      </c>
      <c r="H261" s="366">
        <f>SUM(H178,H164,H138,H86,H47,H33,H18)</f>
        <v>19790.770979999998</v>
      </c>
      <c r="I261" s="15">
        <f>H261/G261*100</f>
        <v>100.29316989072068</v>
      </c>
      <c r="J261" s="46"/>
      <c r="L261" s="381"/>
      <c r="M261" s="386"/>
      <c r="N261" s="386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  <c r="BB261" s="18"/>
      <c r="BC261" s="18"/>
      <c r="BD261" s="18"/>
      <c r="BE261" s="18"/>
      <c r="BF261" s="18"/>
      <c r="BG261" s="18"/>
      <c r="BH261" s="18"/>
      <c r="BI261" s="18"/>
      <c r="BJ261" s="18"/>
      <c r="BK261" s="18"/>
      <c r="BL261" s="18"/>
      <c r="BM261" s="18"/>
      <c r="BN261" s="18"/>
      <c r="BO261" s="18"/>
      <c r="BP261" s="18"/>
      <c r="BQ261" s="18"/>
      <c r="BR261" s="18"/>
      <c r="BS261" s="18"/>
      <c r="BT261" s="18"/>
      <c r="BU261" s="18"/>
      <c r="BV261" s="18"/>
      <c r="BW261" s="18"/>
      <c r="BX261" s="18"/>
      <c r="BY261" s="18"/>
      <c r="BZ261" s="18"/>
      <c r="CA261" s="18"/>
      <c r="CB261" s="18"/>
      <c r="CC261" s="18"/>
      <c r="CD261" s="18"/>
      <c r="CE261" s="18"/>
      <c r="CF261" s="18"/>
      <c r="CG261" s="18"/>
      <c r="CH261" s="18"/>
      <c r="CI261" s="18"/>
      <c r="CJ261" s="18"/>
      <c r="CK261" s="18"/>
      <c r="CL261" s="18"/>
      <c r="CM261" s="18"/>
      <c r="CN261" s="18"/>
      <c r="CO261" s="18"/>
      <c r="CP261" s="18"/>
      <c r="CQ261" s="18"/>
      <c r="CR261" s="18"/>
      <c r="CS261" s="18"/>
      <c r="CT261" s="18"/>
      <c r="CU261" s="18"/>
      <c r="CV261" s="18"/>
      <c r="CW261" s="18"/>
      <c r="CX261" s="18"/>
      <c r="CY261" s="18"/>
      <c r="CZ261" s="18"/>
      <c r="DA261" s="18"/>
      <c r="DB261" s="18"/>
      <c r="DC261" s="18"/>
      <c r="DD261" s="18"/>
      <c r="DE261" s="18"/>
      <c r="DF261" s="18"/>
      <c r="DG261" s="18"/>
      <c r="DH261" s="18"/>
      <c r="DI261" s="18"/>
      <c r="DJ261" s="18"/>
      <c r="DK261" s="18"/>
      <c r="DL261" s="18"/>
      <c r="DM261" s="18"/>
      <c r="DN261" s="18"/>
      <c r="DO261" s="18"/>
      <c r="DP261" s="18"/>
      <c r="DQ261" s="18"/>
      <c r="DR261" s="18"/>
      <c r="DS261" s="18"/>
      <c r="DT261" s="18"/>
      <c r="DU261" s="18"/>
      <c r="DV261" s="18"/>
      <c r="DW261" s="18"/>
      <c r="DX261" s="18"/>
      <c r="DY261" s="18"/>
      <c r="DZ261" s="18"/>
      <c r="EA261" s="18"/>
      <c r="EB261" s="18"/>
      <c r="EC261" s="18"/>
      <c r="ED261" s="18"/>
      <c r="EE261" s="18"/>
      <c r="EF261" s="18"/>
      <c r="EG261" s="18"/>
      <c r="EH261" s="18"/>
      <c r="EI261" s="18"/>
      <c r="EJ261" s="18"/>
      <c r="EK261" s="18"/>
      <c r="EL261" s="18"/>
      <c r="EM261" s="18"/>
      <c r="EN261" s="18"/>
      <c r="EO261" s="18"/>
      <c r="EP261" s="18"/>
      <c r="EQ261" s="18"/>
      <c r="ER261" s="18"/>
      <c r="ES261" s="18"/>
      <c r="ET261" s="18"/>
      <c r="EU261" s="18"/>
      <c r="EV261" s="18"/>
      <c r="EW261" s="18"/>
      <c r="EX261" s="18"/>
      <c r="EY261" s="18"/>
      <c r="EZ261" s="18"/>
      <c r="FA261" s="18"/>
      <c r="FB261" s="18"/>
      <c r="FC261" s="18"/>
      <c r="FD261" s="18"/>
      <c r="FE261" s="18"/>
      <c r="FF261" s="18"/>
      <c r="FG261" s="18"/>
      <c r="FH261" s="18"/>
      <c r="FI261" s="18"/>
      <c r="FJ261" s="18"/>
      <c r="FK261" s="18"/>
      <c r="FL261" s="18"/>
      <c r="FM261" s="18"/>
      <c r="FN261" s="18"/>
      <c r="FO261" s="18"/>
      <c r="FP261" s="18"/>
      <c r="FQ261" s="18"/>
      <c r="FR261" s="18"/>
      <c r="FS261" s="18"/>
      <c r="FT261" s="18"/>
      <c r="FU261" s="18"/>
      <c r="FV261" s="18"/>
      <c r="FW261" s="18"/>
      <c r="FX261" s="18"/>
      <c r="FY261" s="18"/>
      <c r="FZ261" s="18"/>
      <c r="GA261" s="18"/>
      <c r="GB261" s="18"/>
      <c r="GC261" s="18"/>
    </row>
    <row r="262" spans="1:185" ht="30.75" thickBot="1" x14ac:dyDescent="0.3">
      <c r="A262" s="353" t="s">
        <v>125</v>
      </c>
      <c r="B262" s="327">
        <f>SUM(B179,B165,B139,B100,B87,B48,B34,B19,B73,B113,B192)</f>
        <v>37075.599999999999</v>
      </c>
      <c r="C262" s="327">
        <f t="shared" ref="C262" si="12">SUM(C179,C165,C139,C100,C87,C48,C34,C19,C73,C113,C192)</f>
        <v>15449</v>
      </c>
      <c r="D262" s="328">
        <f>SUM(D179,D165,D139,D100,D87,D48,D34,D19,D73,D113,D192)</f>
        <v>18625</v>
      </c>
      <c r="E262" s="327">
        <f t="shared" si="3"/>
        <v>120.5579649168231</v>
      </c>
      <c r="F262" s="367">
        <f t="shared" ref="F262:G262" si="13">SUM(F179,F165,F139,F100,F87,F48,F34,F19,F73,F113,F192)</f>
        <v>33427.291346620885</v>
      </c>
      <c r="G262" s="367">
        <f t="shared" si="13"/>
        <v>13928.04</v>
      </c>
      <c r="H262" s="367">
        <f t="shared" ref="H262" si="14">SUM(H179,H165,H139,H100,H87,H48,H34,H19,H73,H113,H192)</f>
        <v>17096.668450000005</v>
      </c>
      <c r="I262" s="328">
        <f t="shared" ref="I262" si="15">H262/G262*100</f>
        <v>122.7499953331553</v>
      </c>
      <c r="J262" s="46"/>
      <c r="L262" s="381"/>
      <c r="M262" s="386"/>
      <c r="N262" s="386"/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2018-06-28T02:35:03Z</cp:lastPrinted>
  <dcterms:modified xsi:type="dcterms:W3CDTF">2018-06-28T02:35:17Z</dcterms:modified>
</cp:coreProperties>
</file>