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ДС" sheetId="1" r:id="rId1"/>
  </sheets>
  <externalReferences>
    <externalReference r:id="rId2"/>
  </externalReferences>
  <definedNames>
    <definedName name="_xlnm._FilterDatabase" localSheetId="0" hidden="1">ДС!$A$14:$AN$159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</definedNames>
  <calcPr calcId="145621"/>
</workbook>
</file>

<file path=xl/calcChain.xml><?xml version="1.0" encoding="utf-8"?>
<calcChain xmlns="http://schemas.openxmlformats.org/spreadsheetml/2006/main">
  <c r="AL159" i="1" l="1"/>
  <c r="AK159" i="1"/>
  <c r="AG157" i="1"/>
  <c r="AH157" i="1" s="1"/>
  <c r="AG156" i="1"/>
  <c r="AH156" i="1" s="1"/>
  <c r="AG155" i="1"/>
  <c r="AH155" i="1" s="1"/>
  <c r="AH154" i="1" s="1"/>
  <c r="AM154" i="1"/>
  <c r="AJ154" i="1"/>
  <c r="AI154" i="1"/>
  <c r="AE154" i="1"/>
  <c r="AC154" i="1"/>
  <c r="AA154" i="1"/>
  <c r="Y154" i="1"/>
  <c r="W154" i="1"/>
  <c r="U154" i="1"/>
  <c r="S154" i="1"/>
  <c r="Q154" i="1"/>
  <c r="O154" i="1"/>
  <c r="M154" i="1"/>
  <c r="AG153" i="1"/>
  <c r="AH153" i="1" s="1"/>
  <c r="AG152" i="1"/>
  <c r="AH152" i="1" s="1"/>
  <c r="AG151" i="1"/>
  <c r="AH151" i="1" s="1"/>
  <c r="AG150" i="1"/>
  <c r="AE150" i="1"/>
  <c r="AE149" i="1" s="1"/>
  <c r="AC150" i="1"/>
  <c r="AA150" i="1"/>
  <c r="AA149" i="1" s="1"/>
  <c r="AM149" i="1"/>
  <c r="AJ149" i="1"/>
  <c r="AI149" i="1"/>
  <c r="Y149" i="1"/>
  <c r="W149" i="1"/>
  <c r="U149" i="1"/>
  <c r="S149" i="1"/>
  <c r="Q149" i="1"/>
  <c r="O149" i="1"/>
  <c r="M149" i="1"/>
  <c r="AG148" i="1"/>
  <c r="AH148" i="1" s="1"/>
  <c r="AG147" i="1"/>
  <c r="AH147" i="1" s="1"/>
  <c r="AG146" i="1"/>
  <c r="AH146" i="1" s="1"/>
  <c r="AH145" i="1" s="1"/>
  <c r="AM145" i="1"/>
  <c r="AJ145" i="1"/>
  <c r="AI145" i="1"/>
  <c r="AE145" i="1"/>
  <c r="AC145" i="1"/>
  <c r="AA145" i="1"/>
  <c r="Y145" i="1"/>
  <c r="W145" i="1"/>
  <c r="U145" i="1"/>
  <c r="S145" i="1"/>
  <c r="Q145" i="1"/>
  <c r="O145" i="1"/>
  <c r="M145" i="1"/>
  <c r="AG144" i="1"/>
  <c r="AH144" i="1" s="1"/>
  <c r="AH143" i="1" s="1"/>
  <c r="AM143" i="1"/>
  <c r="AJ143" i="1"/>
  <c r="AI143" i="1"/>
  <c r="AE143" i="1"/>
  <c r="AC143" i="1"/>
  <c r="AA143" i="1"/>
  <c r="Y143" i="1"/>
  <c r="W143" i="1"/>
  <c r="U143" i="1"/>
  <c r="S143" i="1"/>
  <c r="Q143" i="1"/>
  <c r="O143" i="1"/>
  <c r="M143" i="1"/>
  <c r="AG142" i="1"/>
  <c r="AH142" i="1" s="1"/>
  <c r="AG141" i="1"/>
  <c r="AH141" i="1" s="1"/>
  <c r="AG140" i="1"/>
  <c r="AH140" i="1" s="1"/>
  <c r="AG139" i="1"/>
  <c r="AH139" i="1" s="1"/>
  <c r="AG138" i="1"/>
  <c r="AH138" i="1" s="1"/>
  <c r="AG137" i="1"/>
  <c r="AH137" i="1" s="1"/>
  <c r="AG136" i="1"/>
  <c r="AH136" i="1" s="1"/>
  <c r="AH135" i="1" s="1"/>
  <c r="AM135" i="1"/>
  <c r="AJ135" i="1"/>
  <c r="AI135" i="1"/>
  <c r="AE135" i="1"/>
  <c r="AC135" i="1"/>
  <c r="AA135" i="1"/>
  <c r="Y135" i="1"/>
  <c r="W135" i="1"/>
  <c r="U135" i="1"/>
  <c r="S135" i="1"/>
  <c r="Q135" i="1"/>
  <c r="O135" i="1"/>
  <c r="M135" i="1"/>
  <c r="AG134" i="1"/>
  <c r="AH134" i="1" s="1"/>
  <c r="AG133" i="1"/>
  <c r="AH133" i="1" s="1"/>
  <c r="AG132" i="1"/>
  <c r="AE132" i="1"/>
  <c r="AG131" i="1"/>
  <c r="AH131" i="1" s="1"/>
  <c r="AG130" i="1"/>
  <c r="AH130" i="1" s="1"/>
  <c r="AH129" i="1" s="1"/>
  <c r="AM129" i="1"/>
  <c r="AJ129" i="1"/>
  <c r="AI129" i="1"/>
  <c r="AC129" i="1"/>
  <c r="AA129" i="1"/>
  <c r="Y129" i="1"/>
  <c r="W129" i="1"/>
  <c r="U129" i="1"/>
  <c r="S129" i="1"/>
  <c r="Q129" i="1"/>
  <c r="O129" i="1"/>
  <c r="M129" i="1"/>
  <c r="AG128" i="1"/>
  <c r="AH128" i="1" s="1"/>
  <c r="AG127" i="1"/>
  <c r="AH127" i="1" s="1"/>
  <c r="AG126" i="1"/>
  <c r="AH126" i="1" s="1"/>
  <c r="AG125" i="1"/>
  <c r="AH125" i="1" s="1"/>
  <c r="AG124" i="1"/>
  <c r="AH124" i="1" s="1"/>
  <c r="AG123" i="1"/>
  <c r="AH123" i="1" s="1"/>
  <c r="AH122" i="1" s="1"/>
  <c r="AM122" i="1"/>
  <c r="AJ122" i="1"/>
  <c r="AI122" i="1"/>
  <c r="AE122" i="1"/>
  <c r="AC122" i="1"/>
  <c r="AA122" i="1"/>
  <c r="Y122" i="1"/>
  <c r="W122" i="1"/>
  <c r="U122" i="1"/>
  <c r="S122" i="1"/>
  <c r="Q122" i="1"/>
  <c r="O122" i="1"/>
  <c r="M122" i="1"/>
  <c r="AG121" i="1"/>
  <c r="AE121" i="1"/>
  <c r="AC121" i="1"/>
  <c r="AA121" i="1"/>
  <c r="AA117" i="1" s="1"/>
  <c r="M121" i="1"/>
  <c r="AG120" i="1"/>
  <c r="AH120" i="1" s="1"/>
  <c r="AG119" i="1"/>
  <c r="AH119" i="1" s="1"/>
  <c r="AG118" i="1"/>
  <c r="AE118" i="1"/>
  <c r="AM117" i="1"/>
  <c r="AJ117" i="1"/>
  <c r="AI117" i="1"/>
  <c r="AC117" i="1"/>
  <c r="Y117" i="1"/>
  <c r="W117" i="1"/>
  <c r="U117" i="1"/>
  <c r="S117" i="1"/>
  <c r="Q117" i="1"/>
  <c r="O117" i="1"/>
  <c r="AG116" i="1"/>
  <c r="AH116" i="1" s="1"/>
  <c r="AH115" i="1" s="1"/>
  <c r="AM115" i="1"/>
  <c r="AJ115" i="1"/>
  <c r="AI115" i="1"/>
  <c r="AE115" i="1"/>
  <c r="AC115" i="1"/>
  <c r="AA115" i="1"/>
  <c r="Y115" i="1"/>
  <c r="W115" i="1"/>
  <c r="U115" i="1"/>
  <c r="S115" i="1"/>
  <c r="Q115" i="1"/>
  <c r="O115" i="1"/>
  <c r="M115" i="1"/>
  <c r="AG114" i="1"/>
  <c r="AG113" i="1" s="1"/>
  <c r="AM113" i="1"/>
  <c r="AJ113" i="1"/>
  <c r="AI113" i="1"/>
  <c r="AE113" i="1"/>
  <c r="AC113" i="1"/>
  <c r="AA113" i="1"/>
  <c r="Y113" i="1"/>
  <c r="W113" i="1"/>
  <c r="U113" i="1"/>
  <c r="S113" i="1"/>
  <c r="Q113" i="1"/>
  <c r="O113" i="1"/>
  <c r="M113" i="1"/>
  <c r="AG112" i="1"/>
  <c r="AH112" i="1" s="1"/>
  <c r="AH111" i="1" s="1"/>
  <c r="AM111" i="1"/>
  <c r="AJ111" i="1"/>
  <c r="AI111" i="1"/>
  <c r="AE111" i="1"/>
  <c r="AC111" i="1"/>
  <c r="AA111" i="1"/>
  <c r="Y111" i="1"/>
  <c r="W111" i="1"/>
  <c r="U111" i="1"/>
  <c r="S111" i="1"/>
  <c r="Q111" i="1"/>
  <c r="O111" i="1"/>
  <c r="M111" i="1"/>
  <c r="AG110" i="1"/>
  <c r="AH110" i="1" s="1"/>
  <c r="AG109" i="1"/>
  <c r="AH109" i="1" s="1"/>
  <c r="AG108" i="1"/>
  <c r="AH108" i="1" s="1"/>
  <c r="AH107" i="1" s="1"/>
  <c r="AM107" i="1"/>
  <c r="AJ107" i="1"/>
  <c r="AI107" i="1"/>
  <c r="AE107" i="1"/>
  <c r="AC107" i="1"/>
  <c r="AA107" i="1"/>
  <c r="Y107" i="1"/>
  <c r="W107" i="1"/>
  <c r="U107" i="1"/>
  <c r="S107" i="1"/>
  <c r="Q107" i="1"/>
  <c r="O107" i="1"/>
  <c r="M107" i="1"/>
  <c r="AG106" i="1"/>
  <c r="AG105" i="1" s="1"/>
  <c r="AE106" i="1"/>
  <c r="AE105" i="1" s="1"/>
  <c r="AA106" i="1"/>
  <c r="AM105" i="1"/>
  <c r="AJ105" i="1"/>
  <c r="AI105" i="1"/>
  <c r="AC105" i="1"/>
  <c r="AA105" i="1"/>
  <c r="Y105" i="1"/>
  <c r="W105" i="1"/>
  <c r="U105" i="1"/>
  <c r="S105" i="1"/>
  <c r="Q105" i="1"/>
  <c r="O105" i="1"/>
  <c r="M105" i="1"/>
  <c r="AM104" i="1"/>
  <c r="AM103" i="1" s="1"/>
  <c r="AG104" i="1"/>
  <c r="AE104" i="1"/>
  <c r="AC104" i="1"/>
  <c r="AC103" i="1" s="1"/>
  <c r="M104" i="1"/>
  <c r="AJ103" i="1"/>
  <c r="AI103" i="1"/>
  <c r="AG103" i="1"/>
  <c r="AE103" i="1"/>
  <c r="AA103" i="1"/>
  <c r="Y103" i="1"/>
  <c r="W103" i="1"/>
  <c r="U103" i="1"/>
  <c r="S103" i="1"/>
  <c r="Q103" i="1"/>
  <c r="O103" i="1"/>
  <c r="AG102" i="1"/>
  <c r="AH102" i="1" s="1"/>
  <c r="AG101" i="1"/>
  <c r="AM100" i="1"/>
  <c r="AJ100" i="1"/>
  <c r="AI100" i="1"/>
  <c r="AE100" i="1"/>
  <c r="AC100" i="1"/>
  <c r="AA100" i="1"/>
  <c r="Y100" i="1"/>
  <c r="W100" i="1"/>
  <c r="U100" i="1"/>
  <c r="S100" i="1"/>
  <c r="Q100" i="1"/>
  <c r="O100" i="1"/>
  <c r="M100" i="1"/>
  <c r="AG99" i="1"/>
  <c r="AH99" i="1" s="1"/>
  <c r="AG98" i="1"/>
  <c r="AH98" i="1" s="1"/>
  <c r="AG97" i="1"/>
  <c r="AG96" i="1"/>
  <c r="AE96" i="1"/>
  <c r="AG95" i="1"/>
  <c r="AE95" i="1"/>
  <c r="AG94" i="1"/>
  <c r="AE94" i="1"/>
  <c r="AE93" i="1" s="1"/>
  <c r="M94" i="1"/>
  <c r="AM93" i="1"/>
  <c r="AJ93" i="1"/>
  <c r="AI93" i="1"/>
  <c r="AC93" i="1"/>
  <c r="AA93" i="1"/>
  <c r="Y93" i="1"/>
  <c r="W93" i="1"/>
  <c r="U93" i="1"/>
  <c r="S93" i="1"/>
  <c r="Q93" i="1"/>
  <c r="O93" i="1"/>
  <c r="AG92" i="1"/>
  <c r="AH92" i="1" s="1"/>
  <c r="AG91" i="1"/>
  <c r="AH91" i="1" s="1"/>
  <c r="AG90" i="1"/>
  <c r="AH90" i="1" s="1"/>
  <c r="AG89" i="1"/>
  <c r="AE89" i="1"/>
  <c r="AG88" i="1"/>
  <c r="AH88" i="1" s="1"/>
  <c r="AG87" i="1"/>
  <c r="AE87" i="1"/>
  <c r="AM86" i="1"/>
  <c r="AJ86" i="1"/>
  <c r="AI86" i="1"/>
  <c r="AC86" i="1"/>
  <c r="AA86" i="1"/>
  <c r="Y86" i="1"/>
  <c r="W86" i="1"/>
  <c r="U86" i="1"/>
  <c r="S86" i="1"/>
  <c r="Q86" i="1"/>
  <c r="O86" i="1"/>
  <c r="M86" i="1"/>
  <c r="AG85" i="1"/>
  <c r="AH85" i="1" s="1"/>
  <c r="AG84" i="1"/>
  <c r="AH84" i="1" s="1"/>
  <c r="AG83" i="1"/>
  <c r="AH83" i="1" s="1"/>
  <c r="AG82" i="1"/>
  <c r="AH82" i="1" s="1"/>
  <c r="AG81" i="1"/>
  <c r="AH81" i="1" s="1"/>
  <c r="AG80" i="1"/>
  <c r="AH80" i="1" s="1"/>
  <c r="AG79" i="1"/>
  <c r="AH79" i="1" s="1"/>
  <c r="AG78" i="1"/>
  <c r="AH78" i="1" s="1"/>
  <c r="AG77" i="1"/>
  <c r="AH77" i="1" s="1"/>
  <c r="AG76" i="1"/>
  <c r="AH76" i="1" s="1"/>
  <c r="AG75" i="1"/>
  <c r="AH75" i="1" s="1"/>
  <c r="AH74" i="1" s="1"/>
  <c r="AM74" i="1"/>
  <c r="AJ74" i="1"/>
  <c r="AI74" i="1"/>
  <c r="AE74" i="1"/>
  <c r="AC74" i="1"/>
  <c r="AA74" i="1"/>
  <c r="Y74" i="1"/>
  <c r="W74" i="1"/>
  <c r="U74" i="1"/>
  <c r="S74" i="1"/>
  <c r="Q74" i="1"/>
  <c r="O74" i="1"/>
  <c r="M74" i="1"/>
  <c r="AG73" i="1"/>
  <c r="AE73" i="1"/>
  <c r="AG72" i="1"/>
  <c r="AH72" i="1" s="1"/>
  <c r="AG71" i="1"/>
  <c r="AH71" i="1" s="1"/>
  <c r="AM70" i="1"/>
  <c r="AG70" i="1"/>
  <c r="AE70" i="1"/>
  <c r="AM69" i="1"/>
  <c r="AJ69" i="1"/>
  <c r="AI69" i="1"/>
  <c r="AC69" i="1"/>
  <c r="AA69" i="1"/>
  <c r="Y69" i="1"/>
  <c r="W69" i="1"/>
  <c r="U69" i="1"/>
  <c r="S69" i="1"/>
  <c r="Q69" i="1"/>
  <c r="O69" i="1"/>
  <c r="M69" i="1"/>
  <c r="AG68" i="1"/>
  <c r="AE68" i="1"/>
  <c r="AM67" i="1"/>
  <c r="AJ67" i="1"/>
  <c r="AI67" i="1"/>
  <c r="AE67" i="1"/>
  <c r="AC67" i="1"/>
  <c r="AA67" i="1"/>
  <c r="Y67" i="1"/>
  <c r="W67" i="1"/>
  <c r="U67" i="1"/>
  <c r="S67" i="1"/>
  <c r="Q67" i="1"/>
  <c r="O67" i="1"/>
  <c r="M67" i="1"/>
  <c r="AG66" i="1"/>
  <c r="AH66" i="1" s="1"/>
  <c r="AG65" i="1"/>
  <c r="AE65" i="1"/>
  <c r="AE64" i="1" s="1"/>
  <c r="AC65" i="1"/>
  <c r="AA65" i="1"/>
  <c r="AA64" i="1" s="1"/>
  <c r="M65" i="1"/>
  <c r="AM64" i="1"/>
  <c r="AJ64" i="1"/>
  <c r="AI64" i="1"/>
  <c r="AC64" i="1"/>
  <c r="Y64" i="1"/>
  <c r="W64" i="1"/>
  <c r="U64" i="1"/>
  <c r="S64" i="1"/>
  <c r="Q64" i="1"/>
  <c r="O64" i="1"/>
  <c r="AG63" i="1"/>
  <c r="AH63" i="1" s="1"/>
  <c r="AG62" i="1"/>
  <c r="AH62" i="1" s="1"/>
  <c r="AG61" i="1"/>
  <c r="AE61" i="1"/>
  <c r="AC61" i="1"/>
  <c r="M61" i="1"/>
  <c r="AM60" i="1"/>
  <c r="AJ60" i="1"/>
  <c r="AI60" i="1"/>
  <c r="AE60" i="1"/>
  <c r="AC60" i="1"/>
  <c r="AA60" i="1"/>
  <c r="Y60" i="1"/>
  <c r="W60" i="1"/>
  <c r="U60" i="1"/>
  <c r="S60" i="1"/>
  <c r="Q60" i="1"/>
  <c r="O60" i="1"/>
  <c r="M60" i="1"/>
  <c r="AG59" i="1"/>
  <c r="AH59" i="1" s="1"/>
  <c r="AG58" i="1"/>
  <c r="AH58" i="1" s="1"/>
  <c r="AH57" i="1" s="1"/>
  <c r="AM57" i="1"/>
  <c r="AJ57" i="1"/>
  <c r="AI57" i="1"/>
  <c r="AE57" i="1"/>
  <c r="AC57" i="1"/>
  <c r="AA57" i="1"/>
  <c r="Y57" i="1"/>
  <c r="W57" i="1"/>
  <c r="U57" i="1"/>
  <c r="S57" i="1"/>
  <c r="Q57" i="1"/>
  <c r="O57" i="1"/>
  <c r="M57" i="1"/>
  <c r="AN56" i="1"/>
  <c r="AG56" i="1"/>
  <c r="AH56" i="1" s="1"/>
  <c r="AF56" i="1"/>
  <c r="AD56" i="1"/>
  <c r="AB56" i="1"/>
  <c r="Z56" i="1"/>
  <c r="X56" i="1"/>
  <c r="V56" i="1"/>
  <c r="T56" i="1"/>
  <c r="R56" i="1"/>
  <c r="P56" i="1"/>
  <c r="N56" i="1"/>
  <c r="AG55" i="1"/>
  <c r="AG54" i="1" s="1"/>
  <c r="AE55" i="1"/>
  <c r="AC55" i="1"/>
  <c r="AC54" i="1" s="1"/>
  <c r="AM54" i="1"/>
  <c r="AJ54" i="1"/>
  <c r="AI54" i="1"/>
  <c r="AE54" i="1"/>
  <c r="AA54" i="1"/>
  <c r="Y54" i="1"/>
  <c r="W54" i="1"/>
  <c r="U54" i="1"/>
  <c r="S54" i="1"/>
  <c r="Q54" i="1"/>
  <c r="O54" i="1"/>
  <c r="M54" i="1"/>
  <c r="AG53" i="1"/>
  <c r="AH53" i="1" s="1"/>
  <c r="M53" i="1"/>
  <c r="AG52" i="1"/>
  <c r="AH52" i="1" s="1"/>
  <c r="AM51" i="1"/>
  <c r="AG51" i="1"/>
  <c r="AH51" i="1" s="1"/>
  <c r="M51" i="1"/>
  <c r="AM50" i="1"/>
  <c r="AG50" i="1"/>
  <c r="AH50" i="1" s="1"/>
  <c r="AG49" i="1"/>
  <c r="AE49" i="1"/>
  <c r="AC49" i="1"/>
  <c r="AA49" i="1"/>
  <c r="AN48" i="1"/>
  <c r="AG48" i="1"/>
  <c r="AH48" i="1" s="1"/>
  <c r="AF48" i="1"/>
  <c r="AD48" i="1"/>
  <c r="AB48" i="1"/>
  <c r="Z48" i="1"/>
  <c r="X48" i="1"/>
  <c r="V48" i="1"/>
  <c r="T48" i="1"/>
  <c r="R48" i="1"/>
  <c r="P48" i="1"/>
  <c r="N48" i="1"/>
  <c r="AG47" i="1"/>
  <c r="AH47" i="1" s="1"/>
  <c r="AG46" i="1"/>
  <c r="AH46" i="1" s="1"/>
  <c r="AG45" i="1"/>
  <c r="AH45" i="1" s="1"/>
  <c r="AH44" i="1" s="1"/>
  <c r="AJ44" i="1"/>
  <c r="AI44" i="1"/>
  <c r="AE44" i="1"/>
  <c r="AC44" i="1"/>
  <c r="AA44" i="1"/>
  <c r="Y44" i="1"/>
  <c r="W44" i="1"/>
  <c r="U44" i="1"/>
  <c r="S44" i="1"/>
  <c r="Q44" i="1"/>
  <c r="O44" i="1"/>
  <c r="AG43" i="1"/>
  <c r="AH43" i="1" s="1"/>
  <c r="M43" i="1"/>
  <c r="AG42" i="1"/>
  <c r="AH42" i="1" s="1"/>
  <c r="AH41" i="1" s="1"/>
  <c r="M42" i="1"/>
  <c r="AM41" i="1"/>
  <c r="AJ41" i="1"/>
  <c r="AI41" i="1"/>
  <c r="AE41" i="1"/>
  <c r="AC41" i="1"/>
  <c r="AA41" i="1"/>
  <c r="Y41" i="1"/>
  <c r="W41" i="1"/>
  <c r="U41" i="1"/>
  <c r="S41" i="1"/>
  <c r="Q41" i="1"/>
  <c r="O41" i="1"/>
  <c r="AG40" i="1"/>
  <c r="AH40" i="1" s="1"/>
  <c r="AH39" i="1" s="1"/>
  <c r="M40" i="1"/>
  <c r="M39" i="1" s="1"/>
  <c r="AM39" i="1"/>
  <c r="AJ39" i="1"/>
  <c r="AI39" i="1"/>
  <c r="AE39" i="1"/>
  <c r="AC39" i="1"/>
  <c r="AA39" i="1"/>
  <c r="Y39" i="1"/>
  <c r="W39" i="1"/>
  <c r="U39" i="1"/>
  <c r="S39" i="1"/>
  <c r="Q39" i="1"/>
  <c r="O39" i="1"/>
  <c r="AG38" i="1"/>
  <c r="AH38" i="1" s="1"/>
  <c r="AG37" i="1"/>
  <c r="AH37" i="1" s="1"/>
  <c r="M37" i="1"/>
  <c r="AM36" i="1"/>
  <c r="AJ36" i="1"/>
  <c r="AI36" i="1"/>
  <c r="AE36" i="1"/>
  <c r="AC36" i="1"/>
  <c r="AA36" i="1"/>
  <c r="Y36" i="1"/>
  <c r="W36" i="1"/>
  <c r="U36" i="1"/>
  <c r="S36" i="1"/>
  <c r="Q36" i="1"/>
  <c r="O36" i="1"/>
  <c r="M36" i="1"/>
  <c r="AG35" i="1"/>
  <c r="AH35" i="1" s="1"/>
  <c r="AG34" i="1"/>
  <c r="AH34" i="1" s="1"/>
  <c r="AG33" i="1"/>
  <c r="AH33" i="1" s="1"/>
  <c r="AH32" i="1" s="1"/>
  <c r="AM32" i="1"/>
  <c r="AJ32" i="1"/>
  <c r="AI32" i="1"/>
  <c r="AE32" i="1"/>
  <c r="AC32" i="1"/>
  <c r="AA32" i="1"/>
  <c r="Y32" i="1"/>
  <c r="W32" i="1"/>
  <c r="U32" i="1"/>
  <c r="S32" i="1"/>
  <c r="Q32" i="1"/>
  <c r="O32" i="1"/>
  <c r="M32" i="1"/>
  <c r="AG31" i="1"/>
  <c r="AH31" i="1" s="1"/>
  <c r="AH30" i="1" s="1"/>
  <c r="M31" i="1"/>
  <c r="AM30" i="1"/>
  <c r="AJ30" i="1"/>
  <c r="AI30" i="1"/>
  <c r="AG30" i="1"/>
  <c r="AE30" i="1"/>
  <c r="AC30" i="1"/>
  <c r="AA30" i="1"/>
  <c r="Y30" i="1"/>
  <c r="W30" i="1"/>
  <c r="U30" i="1"/>
  <c r="S30" i="1"/>
  <c r="Q30" i="1"/>
  <c r="O30" i="1"/>
  <c r="AG29" i="1"/>
  <c r="AG28" i="1" s="1"/>
  <c r="AE29" i="1"/>
  <c r="AC29" i="1"/>
  <c r="AA29" i="1"/>
  <c r="AM28" i="1"/>
  <c r="AJ28" i="1"/>
  <c r="AI28" i="1"/>
  <c r="AE28" i="1"/>
  <c r="AA28" i="1"/>
  <c r="Y28" i="1"/>
  <c r="W28" i="1"/>
  <c r="U28" i="1"/>
  <c r="S28" i="1"/>
  <c r="Q28" i="1"/>
  <c r="O28" i="1"/>
  <c r="M28" i="1"/>
  <c r="AM27" i="1"/>
  <c r="AG27" i="1"/>
  <c r="AC27" i="1"/>
  <c r="AC26" i="1" s="1"/>
  <c r="AJ26" i="1"/>
  <c r="AI26" i="1"/>
  <c r="AE26" i="1"/>
  <c r="AA26" i="1"/>
  <c r="Y26" i="1"/>
  <c r="W26" i="1"/>
  <c r="U26" i="1"/>
  <c r="S26" i="1"/>
  <c r="Q26" i="1"/>
  <c r="O26" i="1"/>
  <c r="M26" i="1"/>
  <c r="AM25" i="1"/>
  <c r="AG25" i="1"/>
  <c r="AE25" i="1"/>
  <c r="AA25" i="1"/>
  <c r="AM24" i="1"/>
  <c r="AJ24" i="1"/>
  <c r="AI24" i="1"/>
  <c r="AC24" i="1"/>
  <c r="Y24" i="1"/>
  <c r="W24" i="1"/>
  <c r="U24" i="1"/>
  <c r="S24" i="1"/>
  <c r="Q24" i="1"/>
  <c r="O24" i="1"/>
  <c r="M24" i="1"/>
  <c r="AG23" i="1"/>
  <c r="AM22" i="1"/>
  <c r="AJ22" i="1"/>
  <c r="AI22" i="1"/>
  <c r="AH22" i="1"/>
  <c r="AG22" i="1"/>
  <c r="AE22" i="1"/>
  <c r="AC22" i="1"/>
  <c r="AA22" i="1"/>
  <c r="Y22" i="1"/>
  <c r="W22" i="1"/>
  <c r="U22" i="1"/>
  <c r="S22" i="1"/>
  <c r="Q22" i="1"/>
  <c r="O22" i="1"/>
  <c r="M22" i="1"/>
  <c r="AG21" i="1"/>
  <c r="AG20" i="1"/>
  <c r="AG19" i="1"/>
  <c r="AG18" i="1"/>
  <c r="AE18" i="1"/>
  <c r="AG17" i="1"/>
  <c r="AE17" i="1"/>
  <c r="D17" i="1"/>
  <c r="AN16" i="1"/>
  <c r="AF16" i="1"/>
  <c r="AD16" i="1"/>
  <c r="AB16" i="1"/>
  <c r="Z16" i="1"/>
  <c r="X16" i="1"/>
  <c r="V16" i="1"/>
  <c r="T16" i="1"/>
  <c r="R16" i="1"/>
  <c r="P16" i="1"/>
  <c r="N16" i="1"/>
  <c r="AM15" i="1"/>
  <c r="AJ15" i="1"/>
  <c r="AI15" i="1"/>
  <c r="AG15" i="1"/>
  <c r="AC15" i="1"/>
  <c r="AA15" i="1"/>
  <c r="Y15" i="1"/>
  <c r="W15" i="1"/>
  <c r="U15" i="1"/>
  <c r="S15" i="1"/>
  <c r="Q15" i="1"/>
  <c r="O15" i="1"/>
  <c r="M15" i="1"/>
  <c r="AH95" i="1" l="1"/>
  <c r="AG111" i="1"/>
  <c r="AH132" i="1"/>
  <c r="AH68" i="1"/>
  <c r="AH67" i="1" s="1"/>
  <c r="AH121" i="1"/>
  <c r="Y159" i="1"/>
  <c r="AG100" i="1"/>
  <c r="AH70" i="1"/>
  <c r="AH69" i="1" s="1"/>
  <c r="AG143" i="1"/>
  <c r="AH87" i="1"/>
  <c r="AH86" i="1" s="1"/>
  <c r="AH94" i="1"/>
  <c r="AH104" i="1"/>
  <c r="AH103" i="1" s="1"/>
  <c r="AG67" i="1"/>
  <c r="AE24" i="1"/>
  <c r="AH25" i="1"/>
  <c r="AH24" i="1" s="1"/>
  <c r="AE15" i="1"/>
  <c r="AH73" i="1"/>
  <c r="AH49" i="1"/>
  <c r="AG60" i="1"/>
  <c r="AH17" i="1"/>
  <c r="M44" i="1"/>
  <c r="AH96" i="1"/>
  <c r="Z17" i="1"/>
  <c r="Q159" i="1"/>
  <c r="N17" i="1"/>
  <c r="AH18" i="1"/>
  <c r="AJ159" i="1"/>
  <c r="AH29" i="1"/>
  <c r="AH28" i="1" s="1"/>
  <c r="M41" i="1"/>
  <c r="AH55" i="1"/>
  <c r="AH54" i="1" s="1"/>
  <c r="AH61" i="1"/>
  <c r="AH60" i="1" s="1"/>
  <c r="AE69" i="1"/>
  <c r="AG93" i="1"/>
  <c r="AG115" i="1"/>
  <c r="AD17" i="1"/>
  <c r="AH36" i="1"/>
  <c r="AH65" i="1"/>
  <c r="AH64" i="1" s="1"/>
  <c r="AH89" i="1"/>
  <c r="AE129" i="1"/>
  <c r="O159" i="1"/>
  <c r="S159" i="1"/>
  <c r="U159" i="1"/>
  <c r="W159" i="1"/>
  <c r="R17" i="1"/>
  <c r="D18" i="1"/>
  <c r="D19" i="1" s="1"/>
  <c r="D20" i="1" s="1"/>
  <c r="AG107" i="1"/>
  <c r="AG129" i="1"/>
  <c r="AH150" i="1"/>
  <c r="AH149" i="1" s="1"/>
  <c r="P17" i="1"/>
  <c r="T17" i="1"/>
  <c r="V17" i="1"/>
  <c r="X17" i="1"/>
  <c r="AB17" i="1"/>
  <c r="AN17" i="1"/>
  <c r="AI159" i="1"/>
  <c r="AA24" i="1"/>
  <c r="AA159" i="1" s="1"/>
  <c r="M30" i="1"/>
  <c r="AM26" i="1"/>
  <c r="AF17" i="1"/>
  <c r="AG24" i="1"/>
  <c r="AH27" i="1"/>
  <c r="AH26" i="1" s="1"/>
  <c r="AG26" i="1"/>
  <c r="AC28" i="1"/>
  <c r="AG32" i="1"/>
  <c r="AG36" i="1"/>
  <c r="AG39" i="1"/>
  <c r="AG44" i="1"/>
  <c r="AM44" i="1"/>
  <c r="AG41" i="1"/>
  <c r="AG57" i="1"/>
  <c r="M64" i="1"/>
  <c r="AG69" i="1"/>
  <c r="AG64" i="1"/>
  <c r="AE86" i="1"/>
  <c r="M93" i="1"/>
  <c r="AG74" i="1"/>
  <c r="AG86" i="1"/>
  <c r="AH97" i="1"/>
  <c r="AH101" i="1"/>
  <c r="AH100" i="1" s="1"/>
  <c r="AH106" i="1"/>
  <c r="AH105" i="1" s="1"/>
  <c r="M103" i="1"/>
  <c r="AH118" i="1"/>
  <c r="AH117" i="1" s="1"/>
  <c r="AG117" i="1"/>
  <c r="AH114" i="1"/>
  <c r="AH113" i="1" s="1"/>
  <c r="AE117" i="1"/>
  <c r="M117" i="1"/>
  <c r="AG122" i="1"/>
  <c r="AG135" i="1"/>
  <c r="AG145" i="1"/>
  <c r="AG154" i="1"/>
  <c r="AC149" i="1"/>
  <c r="AG149" i="1"/>
  <c r="AH15" i="1" l="1"/>
  <c r="AH93" i="1"/>
  <c r="T18" i="1"/>
  <c r="Z19" i="1"/>
  <c r="N19" i="1"/>
  <c r="X19" i="1"/>
  <c r="N18" i="1"/>
  <c r="AF19" i="1"/>
  <c r="AE159" i="1"/>
  <c r="AM159" i="1"/>
  <c r="AN18" i="1"/>
  <c r="P18" i="1"/>
  <c r="P19" i="1"/>
  <c r="AD19" i="1"/>
  <c r="R19" i="1"/>
  <c r="AN19" i="1"/>
  <c r="M159" i="1"/>
  <c r="AD18" i="1"/>
  <c r="X18" i="1"/>
  <c r="T19" i="1"/>
  <c r="AC159" i="1"/>
  <c r="Z18" i="1"/>
  <c r="AB18" i="1"/>
  <c r="V18" i="1"/>
  <c r="AF18" i="1"/>
  <c r="R18" i="1"/>
  <c r="V19" i="1"/>
  <c r="AB19" i="1"/>
  <c r="D21" i="1"/>
  <c r="AN20" i="1"/>
  <c r="AF20" i="1"/>
  <c r="R20" i="1"/>
  <c r="N20" i="1"/>
  <c r="AD20" i="1"/>
  <c r="Z20" i="1"/>
  <c r="AB20" i="1"/>
  <c r="X20" i="1"/>
  <c r="V20" i="1"/>
  <c r="T20" i="1"/>
  <c r="P20" i="1"/>
  <c r="D22" i="1" l="1"/>
  <c r="D23" i="1" s="1"/>
  <c r="AN21" i="1"/>
  <c r="AN15" i="1" s="1"/>
  <c r="AF21" i="1"/>
  <c r="AF15" i="1" s="1"/>
  <c r="R21" i="1"/>
  <c r="R15" i="1" s="1"/>
  <c r="N21" i="1"/>
  <c r="N15" i="1" s="1"/>
  <c r="AD21" i="1"/>
  <c r="AD15" i="1" s="1"/>
  <c r="Z21" i="1"/>
  <c r="Z15" i="1" s="1"/>
  <c r="AB21" i="1"/>
  <c r="AB15" i="1" s="1"/>
  <c r="X21" i="1"/>
  <c r="X15" i="1" s="1"/>
  <c r="V21" i="1"/>
  <c r="V15" i="1" s="1"/>
  <c r="T21" i="1"/>
  <c r="T15" i="1" s="1"/>
  <c r="P21" i="1"/>
  <c r="P15" i="1" s="1"/>
  <c r="AN23" i="1" l="1"/>
  <c r="AN22" i="1" s="1"/>
  <c r="AF23" i="1"/>
  <c r="AF22" i="1" s="1"/>
  <c r="R23" i="1"/>
  <c r="R22" i="1" s="1"/>
  <c r="N23" i="1"/>
  <c r="N22" i="1" s="1"/>
  <c r="AD23" i="1"/>
  <c r="AD22" i="1" s="1"/>
  <c r="Z23" i="1"/>
  <c r="Z22" i="1" s="1"/>
  <c r="AB23" i="1"/>
  <c r="AB22" i="1" s="1"/>
  <c r="X23" i="1"/>
  <c r="X22" i="1" s="1"/>
  <c r="V23" i="1"/>
  <c r="V22" i="1" s="1"/>
  <c r="T23" i="1"/>
  <c r="T22" i="1" s="1"/>
  <c r="P23" i="1"/>
  <c r="P22" i="1" s="1"/>
  <c r="D24" i="1"/>
  <c r="D25" i="1" s="1"/>
  <c r="AD25" i="1" l="1"/>
  <c r="AD24" i="1" s="1"/>
  <c r="R25" i="1"/>
  <c r="R24" i="1" s="1"/>
  <c r="N25" i="1"/>
  <c r="N24" i="1" s="1"/>
  <c r="T25" i="1"/>
  <c r="T24" i="1" s="1"/>
  <c r="V25" i="1"/>
  <c r="V24" i="1" s="1"/>
  <c r="X25" i="1"/>
  <c r="X24" i="1" s="1"/>
  <c r="D26" i="1"/>
  <c r="D27" i="1" s="1"/>
  <c r="Z25" i="1"/>
  <c r="Z24" i="1" s="1"/>
  <c r="P25" i="1"/>
  <c r="P24" i="1" s="1"/>
  <c r="AN25" i="1"/>
  <c r="AN24" i="1" s="1"/>
  <c r="AB25" i="1"/>
  <c r="AB24" i="1" s="1"/>
  <c r="AF25" i="1"/>
  <c r="AF24" i="1" s="1"/>
  <c r="Z27" i="1" l="1"/>
  <c r="Z26" i="1" s="1"/>
  <c r="X27" i="1"/>
  <c r="X26" i="1" s="1"/>
  <c r="R27" i="1"/>
  <c r="R26" i="1" s="1"/>
  <c r="D28" i="1"/>
  <c r="D29" i="1" s="1"/>
  <c r="AF27" i="1"/>
  <c r="AF26" i="1" s="1"/>
  <c r="AD27" i="1"/>
  <c r="AD26" i="1" s="1"/>
  <c r="P27" i="1"/>
  <c r="P26" i="1" s="1"/>
  <c r="T27" i="1"/>
  <c r="T26" i="1" s="1"/>
  <c r="AB27" i="1"/>
  <c r="AB26" i="1" s="1"/>
  <c r="V27" i="1"/>
  <c r="V26" i="1" s="1"/>
  <c r="N27" i="1"/>
  <c r="N26" i="1" s="1"/>
  <c r="AN27" i="1"/>
  <c r="AN26" i="1" s="1"/>
  <c r="Z29" i="1" l="1"/>
  <c r="Z28" i="1" s="1"/>
  <c r="T29" i="1"/>
  <c r="T28" i="1" s="1"/>
  <c r="AN29" i="1"/>
  <c r="AN28" i="1" s="1"/>
  <c r="V29" i="1"/>
  <c r="V28" i="1" s="1"/>
  <c r="N29" i="1"/>
  <c r="N28" i="1" s="1"/>
  <c r="X29" i="1"/>
  <c r="X28" i="1" s="1"/>
  <c r="R29" i="1"/>
  <c r="R28" i="1" s="1"/>
  <c r="D30" i="1"/>
  <c r="D31" i="1" s="1"/>
  <c r="P29" i="1"/>
  <c r="P28" i="1" s="1"/>
  <c r="AD29" i="1"/>
  <c r="AD28" i="1" s="1"/>
  <c r="AF29" i="1"/>
  <c r="AF28" i="1" s="1"/>
  <c r="AB29" i="1"/>
  <c r="AB28" i="1" s="1"/>
  <c r="AF31" i="1" l="1"/>
  <c r="AF30" i="1" s="1"/>
  <c r="R31" i="1"/>
  <c r="R30" i="1" s="1"/>
  <c r="AD31" i="1"/>
  <c r="AD30" i="1" s="1"/>
  <c r="Z31" i="1"/>
  <c r="Z30" i="1" s="1"/>
  <c r="D32" i="1"/>
  <c r="D33" i="1" s="1"/>
  <c r="AB31" i="1"/>
  <c r="AB30" i="1" s="1"/>
  <c r="X31" i="1"/>
  <c r="X30" i="1" s="1"/>
  <c r="V31" i="1"/>
  <c r="V30" i="1" s="1"/>
  <c r="T31" i="1"/>
  <c r="T30" i="1" s="1"/>
  <c r="P31" i="1"/>
  <c r="P30" i="1" s="1"/>
  <c r="AN31" i="1"/>
  <c r="AN30" i="1" s="1"/>
  <c r="N31" i="1"/>
  <c r="N30" i="1" s="1"/>
  <c r="D34" i="1" l="1"/>
  <c r="AB33" i="1"/>
  <c r="X33" i="1"/>
  <c r="V33" i="1"/>
  <c r="T33" i="1"/>
  <c r="P33" i="1"/>
  <c r="AN33" i="1"/>
  <c r="AF33" i="1"/>
  <c r="R33" i="1"/>
  <c r="N33" i="1"/>
  <c r="AD33" i="1"/>
  <c r="Z33" i="1"/>
  <c r="AN34" i="1" l="1"/>
  <c r="AF34" i="1"/>
  <c r="R34" i="1"/>
  <c r="N34" i="1"/>
  <c r="AD34" i="1"/>
  <c r="Z34" i="1"/>
  <c r="D35" i="1"/>
  <c r="AB34" i="1"/>
  <c r="X34" i="1"/>
  <c r="V34" i="1"/>
  <c r="T34" i="1"/>
  <c r="P34" i="1"/>
  <c r="AF35" i="1" l="1"/>
  <c r="AF32" i="1" s="1"/>
  <c r="R35" i="1"/>
  <c r="R32" i="1" s="1"/>
  <c r="N35" i="1"/>
  <c r="N32" i="1" s="1"/>
  <c r="AD35" i="1"/>
  <c r="AD32" i="1" s="1"/>
  <c r="Z35" i="1"/>
  <c r="Z32" i="1" s="1"/>
  <c r="D36" i="1"/>
  <c r="D37" i="1" s="1"/>
  <c r="AB35" i="1"/>
  <c r="AB32" i="1" s="1"/>
  <c r="X35" i="1"/>
  <c r="X32" i="1" s="1"/>
  <c r="V35" i="1"/>
  <c r="V32" i="1" s="1"/>
  <c r="T35" i="1"/>
  <c r="T32" i="1" s="1"/>
  <c r="P35" i="1"/>
  <c r="P32" i="1" s="1"/>
  <c r="AN35" i="1"/>
  <c r="AN32" i="1" s="1"/>
  <c r="AN37" i="1" l="1"/>
  <c r="AF37" i="1"/>
  <c r="R37" i="1"/>
  <c r="N37" i="1"/>
  <c r="AD37" i="1"/>
  <c r="Z37" i="1"/>
  <c r="D38" i="1"/>
  <c r="AB37" i="1"/>
  <c r="X37" i="1"/>
  <c r="V37" i="1"/>
  <c r="T37" i="1"/>
  <c r="P37" i="1"/>
  <c r="AF38" i="1" l="1"/>
  <c r="AF36" i="1" s="1"/>
  <c r="R38" i="1"/>
  <c r="R36" i="1" s="1"/>
  <c r="N38" i="1"/>
  <c r="N36" i="1" s="1"/>
  <c r="AD38" i="1"/>
  <c r="AD36" i="1" s="1"/>
  <c r="Z38" i="1"/>
  <c r="Z36" i="1" s="1"/>
  <c r="D39" i="1"/>
  <c r="D40" i="1" s="1"/>
  <c r="AB38" i="1"/>
  <c r="AB36" i="1" s="1"/>
  <c r="X38" i="1"/>
  <c r="X36" i="1" s="1"/>
  <c r="V38" i="1"/>
  <c r="V36" i="1" s="1"/>
  <c r="T38" i="1"/>
  <c r="T36" i="1" s="1"/>
  <c r="P38" i="1"/>
  <c r="P36" i="1" s="1"/>
  <c r="AN38" i="1"/>
  <c r="AN36" i="1" s="1"/>
  <c r="AN40" i="1" l="1"/>
  <c r="AN39" i="1" s="1"/>
  <c r="AF40" i="1"/>
  <c r="AF39" i="1" s="1"/>
  <c r="R40" i="1"/>
  <c r="R39" i="1" s="1"/>
  <c r="N40" i="1"/>
  <c r="N39" i="1" s="1"/>
  <c r="AD40" i="1"/>
  <c r="AD39" i="1" s="1"/>
  <c r="Z40" i="1"/>
  <c r="Z39" i="1" s="1"/>
  <c r="D41" i="1"/>
  <c r="D42" i="1" s="1"/>
  <c r="AB40" i="1"/>
  <c r="AB39" i="1" s="1"/>
  <c r="X40" i="1"/>
  <c r="X39" i="1" s="1"/>
  <c r="V40" i="1"/>
  <c r="V39" i="1" s="1"/>
  <c r="T40" i="1"/>
  <c r="T39" i="1" s="1"/>
  <c r="P40" i="1"/>
  <c r="P39" i="1" s="1"/>
  <c r="D43" i="1" l="1"/>
  <c r="AB42" i="1"/>
  <c r="X42" i="1"/>
  <c r="V42" i="1"/>
  <c r="T42" i="1"/>
  <c r="P42" i="1"/>
  <c r="AN42" i="1"/>
  <c r="AF42" i="1"/>
  <c r="R42" i="1"/>
  <c r="N42" i="1"/>
  <c r="AD42" i="1"/>
  <c r="Z42" i="1"/>
  <c r="AF43" i="1" l="1"/>
  <c r="AF41" i="1" s="1"/>
  <c r="R43" i="1"/>
  <c r="R41" i="1" s="1"/>
  <c r="AD43" i="1"/>
  <c r="AD41" i="1" s="1"/>
  <c r="Z43" i="1"/>
  <c r="Z41" i="1" s="1"/>
  <c r="D44" i="1"/>
  <c r="D46" i="1" s="1"/>
  <c r="AB43" i="1"/>
  <c r="AB41" i="1" s="1"/>
  <c r="X43" i="1"/>
  <c r="X41" i="1" s="1"/>
  <c r="V43" i="1"/>
  <c r="V41" i="1" s="1"/>
  <c r="T43" i="1"/>
  <c r="T41" i="1" s="1"/>
  <c r="P43" i="1"/>
  <c r="P41" i="1" s="1"/>
  <c r="AN43" i="1"/>
  <c r="AN41" i="1" s="1"/>
  <c r="N43" i="1"/>
  <c r="N41" i="1" s="1"/>
  <c r="AN46" i="1" l="1"/>
  <c r="AF46" i="1"/>
  <c r="R46" i="1"/>
  <c r="N46" i="1"/>
  <c r="AD46" i="1"/>
  <c r="Z46" i="1"/>
  <c r="D47" i="1"/>
  <c r="AB46" i="1"/>
  <c r="X46" i="1"/>
  <c r="V46" i="1"/>
  <c r="T46" i="1"/>
  <c r="P46" i="1"/>
  <c r="AF47" i="1" l="1"/>
  <c r="R47" i="1"/>
  <c r="N47" i="1"/>
  <c r="AD47" i="1"/>
  <c r="Z47" i="1"/>
  <c r="D49" i="1"/>
  <c r="AB47" i="1"/>
  <c r="X47" i="1"/>
  <c r="V47" i="1"/>
  <c r="T47" i="1"/>
  <c r="P47" i="1"/>
  <c r="AN47" i="1"/>
  <c r="X49" i="1" l="1"/>
  <c r="V49" i="1"/>
  <c r="T49" i="1"/>
  <c r="P49" i="1"/>
  <c r="AN49" i="1"/>
  <c r="R49" i="1"/>
  <c r="AF49" i="1"/>
  <c r="AD49" i="1"/>
  <c r="N49" i="1"/>
  <c r="Z49" i="1"/>
  <c r="D50" i="1"/>
  <c r="AB49" i="1"/>
  <c r="AB50" i="1" l="1"/>
  <c r="X50" i="1"/>
  <c r="V50" i="1"/>
  <c r="T50" i="1"/>
  <c r="P50" i="1"/>
  <c r="AF50" i="1"/>
  <c r="R50" i="1"/>
  <c r="N50" i="1"/>
  <c r="Z50" i="1"/>
  <c r="D51" i="1"/>
  <c r="AD50" i="1"/>
  <c r="AN50" i="1"/>
  <c r="D52" i="1" l="1"/>
  <c r="AD51" i="1"/>
  <c r="Z51" i="1"/>
  <c r="AN51" i="1"/>
  <c r="AB51" i="1"/>
  <c r="V51" i="1"/>
  <c r="P51" i="1"/>
  <c r="AF51" i="1"/>
  <c r="N51" i="1"/>
  <c r="X51" i="1"/>
  <c r="T51" i="1"/>
  <c r="R51" i="1"/>
  <c r="D53" i="1" l="1"/>
  <c r="AB52" i="1"/>
  <c r="X52" i="1"/>
  <c r="V52" i="1"/>
  <c r="T52" i="1"/>
  <c r="P52" i="1"/>
  <c r="AN52" i="1"/>
  <c r="AF52" i="1"/>
  <c r="R52" i="1"/>
  <c r="AD52" i="1"/>
  <c r="Z52" i="1"/>
  <c r="N52" i="1"/>
  <c r="AF53" i="1" l="1"/>
  <c r="R53" i="1"/>
  <c r="N53" i="1"/>
  <c r="AD53" i="1"/>
  <c r="Z53" i="1"/>
  <c r="D54" i="1"/>
  <c r="D55" i="1" s="1"/>
  <c r="AB53" i="1"/>
  <c r="X53" i="1"/>
  <c r="V53" i="1"/>
  <c r="T53" i="1"/>
  <c r="P53" i="1"/>
  <c r="AN53" i="1"/>
  <c r="AF55" i="1" l="1"/>
  <c r="AF54" i="1" s="1"/>
  <c r="AB55" i="1"/>
  <c r="AB54" i="1" s="1"/>
  <c r="X55" i="1"/>
  <c r="X54" i="1" s="1"/>
  <c r="V55" i="1"/>
  <c r="V54" i="1" s="1"/>
  <c r="T55" i="1"/>
  <c r="T54" i="1" s="1"/>
  <c r="P55" i="1"/>
  <c r="P54" i="1" s="1"/>
  <c r="D57" i="1"/>
  <c r="D58" i="1" s="1"/>
  <c r="AD55" i="1"/>
  <c r="AD54" i="1" s="1"/>
  <c r="R55" i="1"/>
  <c r="R54" i="1" s="1"/>
  <c r="N55" i="1"/>
  <c r="N54" i="1" s="1"/>
  <c r="AN55" i="1"/>
  <c r="AN54" i="1" s="1"/>
  <c r="Z55" i="1"/>
  <c r="Z54" i="1" s="1"/>
  <c r="D59" i="1" l="1"/>
  <c r="AB58" i="1"/>
  <c r="X58" i="1"/>
  <c r="V58" i="1"/>
  <c r="T58" i="1"/>
  <c r="P58" i="1"/>
  <c r="AN58" i="1"/>
  <c r="AF58" i="1"/>
  <c r="R58" i="1"/>
  <c r="N58" i="1"/>
  <c r="AD58" i="1"/>
  <c r="Z58" i="1"/>
  <c r="AN59" i="1" l="1"/>
  <c r="AN57" i="1" s="1"/>
  <c r="AF59" i="1"/>
  <c r="AF57" i="1" s="1"/>
  <c r="R59" i="1"/>
  <c r="R57" i="1" s="1"/>
  <c r="N59" i="1"/>
  <c r="N57" i="1" s="1"/>
  <c r="AD59" i="1"/>
  <c r="AD57" i="1" s="1"/>
  <c r="Z59" i="1"/>
  <c r="Z57" i="1" s="1"/>
  <c r="D60" i="1"/>
  <c r="D61" i="1" s="1"/>
  <c r="AB59" i="1"/>
  <c r="AB57" i="1" s="1"/>
  <c r="X59" i="1"/>
  <c r="X57" i="1" s="1"/>
  <c r="V59" i="1"/>
  <c r="V57" i="1" s="1"/>
  <c r="T59" i="1"/>
  <c r="T57" i="1" s="1"/>
  <c r="P59" i="1"/>
  <c r="P57" i="1" s="1"/>
  <c r="AF61" i="1" l="1"/>
  <c r="AB61" i="1"/>
  <c r="X61" i="1"/>
  <c r="V61" i="1"/>
  <c r="T61" i="1"/>
  <c r="P61" i="1"/>
  <c r="D62" i="1"/>
  <c r="AD61" i="1"/>
  <c r="R61" i="1"/>
  <c r="N61" i="1"/>
  <c r="AN61" i="1"/>
  <c r="Z61" i="1"/>
  <c r="AD62" i="1" l="1"/>
  <c r="Z62" i="1"/>
  <c r="D63" i="1"/>
  <c r="AB62" i="1"/>
  <c r="X62" i="1"/>
  <c r="V62" i="1"/>
  <c r="T62" i="1"/>
  <c r="P62" i="1"/>
  <c r="AN62" i="1"/>
  <c r="AF62" i="1"/>
  <c r="R62" i="1"/>
  <c r="N62" i="1"/>
  <c r="D64" i="1" l="1"/>
  <c r="D65" i="1" s="1"/>
  <c r="AB63" i="1"/>
  <c r="AB60" i="1" s="1"/>
  <c r="X63" i="1"/>
  <c r="X60" i="1" s="1"/>
  <c r="V63" i="1"/>
  <c r="V60" i="1" s="1"/>
  <c r="T63" i="1"/>
  <c r="T60" i="1" s="1"/>
  <c r="P63" i="1"/>
  <c r="P60" i="1" s="1"/>
  <c r="AN63" i="1"/>
  <c r="AN60" i="1" s="1"/>
  <c r="AF63" i="1"/>
  <c r="AF60" i="1" s="1"/>
  <c r="R63" i="1"/>
  <c r="R60" i="1" s="1"/>
  <c r="N63" i="1"/>
  <c r="N60" i="1" s="1"/>
  <c r="AD63" i="1"/>
  <c r="AD60" i="1" s="1"/>
  <c r="Z63" i="1"/>
  <c r="Z60" i="1" s="1"/>
  <c r="AF65" i="1" l="1"/>
  <c r="AB65" i="1"/>
  <c r="Z65" i="1"/>
  <c r="X65" i="1"/>
  <c r="V65" i="1"/>
  <c r="T65" i="1"/>
  <c r="P65" i="1"/>
  <c r="D66" i="1"/>
  <c r="AD65" i="1"/>
  <c r="AN65" i="1"/>
  <c r="R65" i="1"/>
  <c r="N65" i="1"/>
  <c r="AD66" i="1" l="1"/>
  <c r="AD64" i="1" s="1"/>
  <c r="Z66" i="1"/>
  <c r="Z64" i="1" s="1"/>
  <c r="D67" i="1"/>
  <c r="D68" i="1" s="1"/>
  <c r="AB66" i="1"/>
  <c r="AB64" i="1" s="1"/>
  <c r="X66" i="1"/>
  <c r="X64" i="1" s="1"/>
  <c r="V66" i="1"/>
  <c r="V64" i="1" s="1"/>
  <c r="T66" i="1"/>
  <c r="P66" i="1"/>
  <c r="P64" i="1" s="1"/>
  <c r="AN66" i="1"/>
  <c r="AN64" i="1" s="1"/>
  <c r="AF66" i="1"/>
  <c r="AF64" i="1" s="1"/>
  <c r="R66" i="1"/>
  <c r="R64" i="1" s="1"/>
  <c r="N66" i="1"/>
  <c r="N64" i="1" s="1"/>
  <c r="T64" i="1"/>
  <c r="AF68" i="1" l="1"/>
  <c r="AF67" i="1" s="1"/>
  <c r="R68" i="1"/>
  <c r="R67" i="1" s="1"/>
  <c r="N68" i="1"/>
  <c r="N67" i="1" s="1"/>
  <c r="D69" i="1"/>
  <c r="D70" i="1" s="1"/>
  <c r="AD68" i="1"/>
  <c r="AD67" i="1" s="1"/>
  <c r="Z68" i="1"/>
  <c r="Z67" i="1" s="1"/>
  <c r="AN68" i="1"/>
  <c r="AN67" i="1" s="1"/>
  <c r="AB68" i="1"/>
  <c r="AB67" i="1" s="1"/>
  <c r="X68" i="1"/>
  <c r="X67" i="1" s="1"/>
  <c r="V68" i="1"/>
  <c r="V67" i="1" s="1"/>
  <c r="T68" i="1"/>
  <c r="T67" i="1" s="1"/>
  <c r="P68" i="1"/>
  <c r="P67" i="1" s="1"/>
  <c r="AB70" i="1" l="1"/>
  <c r="V70" i="1"/>
  <c r="T70" i="1"/>
  <c r="P70" i="1"/>
  <c r="X70" i="1"/>
  <c r="AN70" i="1"/>
  <c r="Z70" i="1"/>
  <c r="R70" i="1"/>
  <c r="N70" i="1"/>
  <c r="D71" i="1"/>
  <c r="AD70" i="1"/>
  <c r="AF70" i="1"/>
  <c r="AF71" i="1" l="1"/>
  <c r="R71" i="1"/>
  <c r="N71" i="1"/>
  <c r="D72" i="1"/>
  <c r="AB71" i="1"/>
  <c r="X71" i="1"/>
  <c r="V71" i="1"/>
  <c r="T71" i="1"/>
  <c r="P71" i="1"/>
  <c r="Z71" i="1"/>
  <c r="AN71" i="1"/>
  <c r="AD71" i="1"/>
  <c r="AD72" i="1" l="1"/>
  <c r="Z72" i="1"/>
  <c r="AN72" i="1"/>
  <c r="D73" i="1"/>
  <c r="R72" i="1"/>
  <c r="AB72" i="1"/>
  <c r="V72" i="1"/>
  <c r="P72" i="1"/>
  <c r="AF72" i="1"/>
  <c r="N72" i="1"/>
  <c r="X72" i="1"/>
  <c r="T72" i="1"/>
  <c r="D74" i="1" l="1"/>
  <c r="D75" i="1" s="1"/>
  <c r="AN73" i="1"/>
  <c r="AB73" i="1"/>
  <c r="AB69" i="1" s="1"/>
  <c r="X73" i="1"/>
  <c r="V73" i="1"/>
  <c r="T73" i="1"/>
  <c r="T69" i="1" s="1"/>
  <c r="P73" i="1"/>
  <c r="R73" i="1"/>
  <c r="R69" i="1" s="1"/>
  <c r="N73" i="1"/>
  <c r="Z73" i="1"/>
  <c r="AF73" i="1"/>
  <c r="AF69" i="1" s="1"/>
  <c r="AD73" i="1"/>
  <c r="AD69" i="1" s="1"/>
  <c r="P69" i="1"/>
  <c r="X69" i="1"/>
  <c r="N69" i="1"/>
  <c r="V69" i="1"/>
  <c r="AN69" i="1"/>
  <c r="Z69" i="1"/>
  <c r="AF75" i="1" l="1"/>
  <c r="R75" i="1"/>
  <c r="N75" i="1"/>
  <c r="AD75" i="1"/>
  <c r="Z75" i="1"/>
  <c r="D76" i="1"/>
  <c r="AB75" i="1"/>
  <c r="AN75" i="1"/>
  <c r="T75" i="1"/>
  <c r="P75" i="1"/>
  <c r="X75" i="1"/>
  <c r="V75" i="1"/>
  <c r="AD76" i="1" l="1"/>
  <c r="Z76" i="1"/>
  <c r="D77" i="1"/>
  <c r="AB76" i="1"/>
  <c r="X76" i="1"/>
  <c r="V76" i="1"/>
  <c r="T76" i="1"/>
  <c r="P76" i="1"/>
  <c r="AN76" i="1"/>
  <c r="AF76" i="1"/>
  <c r="R76" i="1"/>
  <c r="N76" i="1"/>
  <c r="D78" i="1" l="1"/>
  <c r="AB77" i="1"/>
  <c r="X77" i="1"/>
  <c r="V77" i="1"/>
  <c r="T77" i="1"/>
  <c r="P77" i="1"/>
  <c r="AN77" i="1"/>
  <c r="AF77" i="1"/>
  <c r="R77" i="1"/>
  <c r="N77" i="1"/>
  <c r="AD77" i="1"/>
  <c r="Z77" i="1"/>
  <c r="AN78" i="1" l="1"/>
  <c r="AF78" i="1"/>
  <c r="R78" i="1"/>
  <c r="N78" i="1"/>
  <c r="AD78" i="1"/>
  <c r="Z78" i="1"/>
  <c r="D79" i="1"/>
  <c r="AB78" i="1"/>
  <c r="X78" i="1"/>
  <c r="V78" i="1"/>
  <c r="T78" i="1"/>
  <c r="P78" i="1"/>
  <c r="AF79" i="1" l="1"/>
  <c r="R79" i="1"/>
  <c r="N79" i="1"/>
  <c r="AD79" i="1"/>
  <c r="Z79" i="1"/>
  <c r="D80" i="1"/>
  <c r="AB79" i="1"/>
  <c r="X79" i="1"/>
  <c r="V79" i="1"/>
  <c r="T79" i="1"/>
  <c r="P79" i="1"/>
  <c r="AN79" i="1"/>
  <c r="AD80" i="1" l="1"/>
  <c r="Z80" i="1"/>
  <c r="D81" i="1"/>
  <c r="AB80" i="1"/>
  <c r="X80" i="1"/>
  <c r="V80" i="1"/>
  <c r="T80" i="1"/>
  <c r="P80" i="1"/>
  <c r="AN80" i="1"/>
  <c r="AF80" i="1"/>
  <c r="R80" i="1"/>
  <c r="N80" i="1"/>
  <c r="D82" i="1" l="1"/>
  <c r="AB81" i="1"/>
  <c r="X81" i="1"/>
  <c r="V81" i="1"/>
  <c r="T81" i="1"/>
  <c r="P81" i="1"/>
  <c r="AN81" i="1"/>
  <c r="AF81" i="1"/>
  <c r="R81" i="1"/>
  <c r="N81" i="1"/>
  <c r="AD81" i="1"/>
  <c r="Z81" i="1"/>
  <c r="AN82" i="1" l="1"/>
  <c r="AF82" i="1"/>
  <c r="R82" i="1"/>
  <c r="N82" i="1"/>
  <c r="AD82" i="1"/>
  <c r="Z82" i="1"/>
  <c r="D83" i="1"/>
  <c r="AB82" i="1"/>
  <c r="X82" i="1"/>
  <c r="V82" i="1"/>
  <c r="T82" i="1"/>
  <c r="P82" i="1"/>
  <c r="AF83" i="1" l="1"/>
  <c r="R83" i="1"/>
  <c r="N83" i="1"/>
  <c r="AD83" i="1"/>
  <c r="Z83" i="1"/>
  <c r="D84" i="1"/>
  <c r="AB83" i="1"/>
  <c r="X83" i="1"/>
  <c r="V83" i="1"/>
  <c r="T83" i="1"/>
  <c r="P83" i="1"/>
  <c r="AN83" i="1"/>
  <c r="AD84" i="1" l="1"/>
  <c r="Z84" i="1"/>
  <c r="D85" i="1"/>
  <c r="AB84" i="1"/>
  <c r="X84" i="1"/>
  <c r="V84" i="1"/>
  <c r="T84" i="1"/>
  <c r="P84" i="1"/>
  <c r="AN84" i="1"/>
  <c r="AF84" i="1"/>
  <c r="R84" i="1"/>
  <c r="N84" i="1"/>
  <c r="D86" i="1" l="1"/>
  <c r="D87" i="1" s="1"/>
  <c r="AB85" i="1"/>
  <c r="AB74" i="1" s="1"/>
  <c r="X85" i="1"/>
  <c r="X74" i="1" s="1"/>
  <c r="V85" i="1"/>
  <c r="V74" i="1" s="1"/>
  <c r="T85" i="1"/>
  <c r="T74" i="1" s="1"/>
  <c r="P85" i="1"/>
  <c r="P74" i="1" s="1"/>
  <c r="AN85" i="1"/>
  <c r="AN74" i="1" s="1"/>
  <c r="AF85" i="1"/>
  <c r="AF74" i="1" s="1"/>
  <c r="R85" i="1"/>
  <c r="R74" i="1" s="1"/>
  <c r="N85" i="1"/>
  <c r="N74" i="1" s="1"/>
  <c r="AD85" i="1"/>
  <c r="AD74" i="1" s="1"/>
  <c r="Z85" i="1"/>
  <c r="Z74" i="1" s="1"/>
  <c r="R87" i="1" l="1"/>
  <c r="N87" i="1"/>
  <c r="D88" i="1"/>
  <c r="AD87" i="1"/>
  <c r="Z87" i="1"/>
  <c r="AN87" i="1"/>
  <c r="AB87" i="1"/>
  <c r="X87" i="1"/>
  <c r="V87" i="1"/>
  <c r="T87" i="1"/>
  <c r="P87" i="1"/>
  <c r="AF87" i="1"/>
  <c r="D89" i="1" l="1"/>
  <c r="AB88" i="1"/>
  <c r="X88" i="1"/>
  <c r="V88" i="1"/>
  <c r="T88" i="1"/>
  <c r="P88" i="1"/>
  <c r="AN88" i="1"/>
  <c r="AF88" i="1"/>
  <c r="R88" i="1"/>
  <c r="N88" i="1"/>
  <c r="AD88" i="1"/>
  <c r="Z88" i="1"/>
  <c r="AF89" i="1" l="1"/>
  <c r="R89" i="1"/>
  <c r="N89" i="1"/>
  <c r="AD89" i="1"/>
  <c r="Z89" i="1"/>
  <c r="D90" i="1"/>
  <c r="AN89" i="1"/>
  <c r="AB89" i="1"/>
  <c r="X89" i="1"/>
  <c r="V89" i="1"/>
  <c r="T89" i="1"/>
  <c r="P89" i="1"/>
  <c r="AD90" i="1" l="1"/>
  <c r="Z90" i="1"/>
  <c r="P90" i="1"/>
  <c r="T90" i="1"/>
  <c r="AN90" i="1"/>
  <c r="AF90" i="1"/>
  <c r="AB90" i="1"/>
  <c r="V90" i="1"/>
  <c r="N90" i="1"/>
  <c r="D91" i="1"/>
  <c r="X90" i="1"/>
  <c r="R90" i="1"/>
  <c r="D92" i="1" l="1"/>
  <c r="AB91" i="1"/>
  <c r="X91" i="1"/>
  <c r="V91" i="1"/>
  <c r="T91" i="1"/>
  <c r="P91" i="1"/>
  <c r="AF91" i="1"/>
  <c r="R91" i="1"/>
  <c r="N91" i="1"/>
  <c r="Z91" i="1"/>
  <c r="AN91" i="1"/>
  <c r="AD91" i="1"/>
  <c r="AN92" i="1" l="1"/>
  <c r="AN86" i="1" s="1"/>
  <c r="AD92" i="1"/>
  <c r="AD86" i="1" s="1"/>
  <c r="Z92" i="1"/>
  <c r="Z86" i="1" s="1"/>
  <c r="D93" i="1"/>
  <c r="D94" i="1" s="1"/>
  <c r="R92" i="1"/>
  <c r="R86" i="1" s="1"/>
  <c r="AB92" i="1"/>
  <c r="AB86" i="1" s="1"/>
  <c r="V92" i="1"/>
  <c r="V86" i="1" s="1"/>
  <c r="P92" i="1"/>
  <c r="P86" i="1" s="1"/>
  <c r="AF92" i="1"/>
  <c r="AF86" i="1" s="1"/>
  <c r="N92" i="1"/>
  <c r="N86" i="1" s="1"/>
  <c r="X92" i="1"/>
  <c r="X86" i="1" s="1"/>
  <c r="T92" i="1"/>
  <c r="T86" i="1" s="1"/>
  <c r="AN94" i="1" l="1"/>
  <c r="AB94" i="1"/>
  <c r="X94" i="1"/>
  <c r="V94" i="1"/>
  <c r="T94" i="1"/>
  <c r="P94" i="1"/>
  <c r="R94" i="1"/>
  <c r="AF94" i="1"/>
  <c r="AD94" i="1"/>
  <c r="D95" i="1"/>
  <c r="Z94" i="1"/>
  <c r="N94" i="1"/>
  <c r="AF95" i="1" l="1"/>
  <c r="R95" i="1"/>
  <c r="N95" i="1"/>
  <c r="D96" i="1"/>
  <c r="AD95" i="1"/>
  <c r="Z95" i="1"/>
  <c r="AN95" i="1"/>
  <c r="AB95" i="1"/>
  <c r="X95" i="1"/>
  <c r="V95" i="1"/>
  <c r="T95" i="1"/>
  <c r="P95" i="1"/>
  <c r="D97" i="1" l="1"/>
  <c r="AD96" i="1"/>
  <c r="Z96" i="1"/>
  <c r="AN96" i="1"/>
  <c r="AB96" i="1"/>
  <c r="X96" i="1"/>
  <c r="V96" i="1"/>
  <c r="T96" i="1"/>
  <c r="P96" i="1"/>
  <c r="AF96" i="1"/>
  <c r="R96" i="1"/>
  <c r="N96" i="1"/>
  <c r="AN97" i="1" l="1"/>
  <c r="AF97" i="1"/>
  <c r="R97" i="1"/>
  <c r="N97" i="1"/>
  <c r="AD97" i="1"/>
  <c r="Z97" i="1"/>
  <c r="D98" i="1"/>
  <c r="AB97" i="1"/>
  <c r="X97" i="1"/>
  <c r="V97" i="1"/>
  <c r="T97" i="1"/>
  <c r="P97" i="1"/>
  <c r="AF98" i="1" l="1"/>
  <c r="R98" i="1"/>
  <c r="N98" i="1"/>
  <c r="AD98" i="1"/>
  <c r="Z98" i="1"/>
  <c r="D99" i="1"/>
  <c r="AB98" i="1"/>
  <c r="X98" i="1"/>
  <c r="V98" i="1"/>
  <c r="T98" i="1"/>
  <c r="P98" i="1"/>
  <c r="AN98" i="1"/>
  <c r="AD99" i="1" l="1"/>
  <c r="AD93" i="1" s="1"/>
  <c r="Z99" i="1"/>
  <c r="Z93" i="1" s="1"/>
  <c r="D100" i="1"/>
  <c r="D101" i="1" s="1"/>
  <c r="AB99" i="1"/>
  <c r="AB93" i="1" s="1"/>
  <c r="X99" i="1"/>
  <c r="X93" i="1" s="1"/>
  <c r="V99" i="1"/>
  <c r="V93" i="1" s="1"/>
  <c r="T99" i="1"/>
  <c r="T93" i="1" s="1"/>
  <c r="P99" i="1"/>
  <c r="P93" i="1" s="1"/>
  <c r="AN99" i="1"/>
  <c r="AN93" i="1" s="1"/>
  <c r="AF99" i="1"/>
  <c r="AF93" i="1" s="1"/>
  <c r="R99" i="1"/>
  <c r="R93" i="1" s="1"/>
  <c r="N99" i="1"/>
  <c r="N93" i="1" s="1"/>
  <c r="AN101" i="1" l="1"/>
  <c r="AF101" i="1"/>
  <c r="R101" i="1"/>
  <c r="N101" i="1"/>
  <c r="AD101" i="1"/>
  <c r="Z101" i="1"/>
  <c r="D102" i="1"/>
  <c r="AB101" i="1"/>
  <c r="X101" i="1"/>
  <c r="V101" i="1"/>
  <c r="T101" i="1"/>
  <c r="P101" i="1"/>
  <c r="AF102" i="1" l="1"/>
  <c r="R102" i="1"/>
  <c r="R100" i="1" s="1"/>
  <c r="N102" i="1"/>
  <c r="AD102" i="1"/>
  <c r="Z102" i="1"/>
  <c r="D103" i="1"/>
  <c r="D104" i="1" s="1"/>
  <c r="AB102" i="1"/>
  <c r="X102" i="1"/>
  <c r="X100" i="1" s="1"/>
  <c r="V102" i="1"/>
  <c r="T102" i="1"/>
  <c r="T100" i="1" s="1"/>
  <c r="P102" i="1"/>
  <c r="P100" i="1" s="1"/>
  <c r="AN102" i="1"/>
  <c r="AN100" i="1" s="1"/>
  <c r="Z100" i="1"/>
  <c r="V100" i="1"/>
  <c r="AB100" i="1"/>
  <c r="AD100" i="1"/>
  <c r="N100" i="1"/>
  <c r="AF100" i="1"/>
  <c r="D105" i="1" l="1"/>
  <c r="D106" i="1" s="1"/>
  <c r="T104" i="1"/>
  <c r="T103" i="1" s="1"/>
  <c r="AB104" i="1"/>
  <c r="AB103" i="1" s="1"/>
  <c r="V104" i="1"/>
  <c r="V103" i="1" s="1"/>
  <c r="R104" i="1"/>
  <c r="R103" i="1" s="1"/>
  <c r="AN104" i="1"/>
  <c r="AN103" i="1" s="1"/>
  <c r="X104" i="1"/>
  <c r="X103" i="1" s="1"/>
  <c r="AF104" i="1"/>
  <c r="AF103" i="1" s="1"/>
  <c r="AD104" i="1"/>
  <c r="AD103" i="1" s="1"/>
  <c r="Z104" i="1"/>
  <c r="Z103" i="1" s="1"/>
  <c r="P104" i="1"/>
  <c r="P103" i="1" s="1"/>
  <c r="N104" i="1"/>
  <c r="N103" i="1" s="1"/>
  <c r="D107" i="1" l="1"/>
  <c r="D108" i="1" s="1"/>
  <c r="AD106" i="1"/>
  <c r="AD105" i="1" s="1"/>
  <c r="R106" i="1"/>
  <c r="R105" i="1" s="1"/>
  <c r="N106" i="1"/>
  <c r="N105" i="1" s="1"/>
  <c r="X106" i="1"/>
  <c r="X105" i="1" s="1"/>
  <c r="V106" i="1"/>
  <c r="V105" i="1" s="1"/>
  <c r="T106" i="1"/>
  <c r="T105" i="1" s="1"/>
  <c r="P106" i="1"/>
  <c r="P105" i="1" s="1"/>
  <c r="AN106" i="1"/>
  <c r="AN105" i="1" s="1"/>
  <c r="Z106" i="1"/>
  <c r="Z105" i="1" s="1"/>
  <c r="AB106" i="1"/>
  <c r="AB105" i="1" s="1"/>
  <c r="AF106" i="1"/>
  <c r="AF105" i="1" s="1"/>
  <c r="AN108" i="1" l="1"/>
  <c r="AF108" i="1"/>
  <c r="R108" i="1"/>
  <c r="N108" i="1"/>
  <c r="D109" i="1"/>
  <c r="AB108" i="1"/>
  <c r="X108" i="1"/>
  <c r="V108" i="1"/>
  <c r="T108" i="1"/>
  <c r="P108" i="1"/>
  <c r="AD108" i="1"/>
  <c r="Z108" i="1"/>
  <c r="AF109" i="1" l="1"/>
  <c r="R109" i="1"/>
  <c r="N109" i="1"/>
  <c r="AD109" i="1"/>
  <c r="Z109" i="1"/>
  <c r="AN109" i="1"/>
  <c r="D110" i="1"/>
  <c r="P109" i="1"/>
  <c r="X109" i="1"/>
  <c r="AB109" i="1"/>
  <c r="V109" i="1"/>
  <c r="T109" i="1"/>
  <c r="AD110" i="1" l="1"/>
  <c r="AD107" i="1" s="1"/>
  <c r="Z110" i="1"/>
  <c r="Z107" i="1" s="1"/>
  <c r="D111" i="1"/>
  <c r="D112" i="1" s="1"/>
  <c r="AB110" i="1"/>
  <c r="AB107" i="1" s="1"/>
  <c r="X110" i="1"/>
  <c r="X107" i="1" s="1"/>
  <c r="V110" i="1"/>
  <c r="V107" i="1" s="1"/>
  <c r="T110" i="1"/>
  <c r="T107" i="1" s="1"/>
  <c r="P110" i="1"/>
  <c r="P107" i="1" s="1"/>
  <c r="AN110" i="1"/>
  <c r="AN107" i="1" s="1"/>
  <c r="AF110" i="1"/>
  <c r="AF107" i="1" s="1"/>
  <c r="R110" i="1"/>
  <c r="R107" i="1" s="1"/>
  <c r="N110" i="1"/>
  <c r="N107" i="1" s="1"/>
  <c r="AN112" i="1" l="1"/>
  <c r="AN111" i="1" s="1"/>
  <c r="AF112" i="1"/>
  <c r="AF111" i="1" s="1"/>
  <c r="R112" i="1"/>
  <c r="R111" i="1" s="1"/>
  <c r="N112" i="1"/>
  <c r="N111" i="1" s="1"/>
  <c r="AD112" i="1"/>
  <c r="AD111" i="1" s="1"/>
  <c r="Z112" i="1"/>
  <c r="Z111" i="1" s="1"/>
  <c r="D113" i="1"/>
  <c r="D114" i="1" s="1"/>
  <c r="AB112" i="1"/>
  <c r="AB111" i="1" s="1"/>
  <c r="X112" i="1"/>
  <c r="X111" i="1" s="1"/>
  <c r="V112" i="1"/>
  <c r="V111" i="1" s="1"/>
  <c r="T112" i="1"/>
  <c r="T111" i="1" s="1"/>
  <c r="P112" i="1"/>
  <c r="P111" i="1" s="1"/>
  <c r="AD114" i="1" l="1"/>
  <c r="AD113" i="1" s="1"/>
  <c r="Z114" i="1"/>
  <c r="Z113" i="1" s="1"/>
  <c r="D115" i="1"/>
  <c r="D116" i="1" s="1"/>
  <c r="AB114" i="1"/>
  <c r="AB113" i="1" s="1"/>
  <c r="X114" i="1"/>
  <c r="X113" i="1" s="1"/>
  <c r="V114" i="1"/>
  <c r="V113" i="1" s="1"/>
  <c r="T114" i="1"/>
  <c r="T113" i="1" s="1"/>
  <c r="P114" i="1"/>
  <c r="P113" i="1" s="1"/>
  <c r="AN114" i="1"/>
  <c r="AN113" i="1" s="1"/>
  <c r="AF114" i="1"/>
  <c r="AF113" i="1" s="1"/>
  <c r="R114" i="1"/>
  <c r="R113" i="1" s="1"/>
  <c r="N114" i="1"/>
  <c r="N113" i="1" s="1"/>
  <c r="AD116" i="1" l="1"/>
  <c r="AD115" i="1" s="1"/>
  <c r="D117" i="1"/>
  <c r="D118" i="1" s="1"/>
  <c r="R116" i="1"/>
  <c r="R115" i="1" s="1"/>
  <c r="N116" i="1"/>
  <c r="N115" i="1" s="1"/>
  <c r="Z116" i="1"/>
  <c r="Z115" i="1" s="1"/>
  <c r="AN116" i="1"/>
  <c r="AN115" i="1" s="1"/>
  <c r="AF116" i="1"/>
  <c r="AF115" i="1" s="1"/>
  <c r="AB116" i="1"/>
  <c r="AB115" i="1" s="1"/>
  <c r="X116" i="1"/>
  <c r="X115" i="1" s="1"/>
  <c r="V116" i="1"/>
  <c r="V115" i="1" s="1"/>
  <c r="T116" i="1"/>
  <c r="T115" i="1" s="1"/>
  <c r="P116" i="1"/>
  <c r="P115" i="1" s="1"/>
  <c r="D119" i="1" l="1"/>
  <c r="AD118" i="1"/>
  <c r="Z118" i="1"/>
  <c r="N118" i="1"/>
  <c r="AN118" i="1"/>
  <c r="X118" i="1"/>
  <c r="T118" i="1"/>
  <c r="R118" i="1"/>
  <c r="AB118" i="1"/>
  <c r="V118" i="1"/>
  <c r="P118" i="1"/>
  <c r="AF118" i="1"/>
  <c r="AN119" i="1" l="1"/>
  <c r="AD119" i="1"/>
  <c r="Z119" i="1"/>
  <c r="X119" i="1"/>
  <c r="T119" i="1"/>
  <c r="D120" i="1"/>
  <c r="R119" i="1"/>
  <c r="AB119" i="1"/>
  <c r="V119" i="1"/>
  <c r="P119" i="1"/>
  <c r="AF119" i="1"/>
  <c r="N119" i="1"/>
  <c r="AF120" i="1" l="1"/>
  <c r="R120" i="1"/>
  <c r="N120" i="1"/>
  <c r="D121" i="1"/>
  <c r="AB120" i="1"/>
  <c r="X120" i="1"/>
  <c r="V120" i="1"/>
  <c r="T120" i="1"/>
  <c r="P120" i="1"/>
  <c r="AD120" i="1"/>
  <c r="Z120" i="1"/>
  <c r="AN120" i="1"/>
  <c r="X121" i="1" l="1"/>
  <c r="X117" i="1" s="1"/>
  <c r="V121" i="1"/>
  <c r="V117" i="1" s="1"/>
  <c r="T121" i="1"/>
  <c r="T117" i="1" s="1"/>
  <c r="P121" i="1"/>
  <c r="P117" i="1" s="1"/>
  <c r="AN121" i="1"/>
  <c r="AN117" i="1" s="1"/>
  <c r="R121" i="1"/>
  <c r="R117" i="1" s="1"/>
  <c r="Z121" i="1"/>
  <c r="Z117" i="1" s="1"/>
  <c r="D122" i="1"/>
  <c r="D123" i="1" s="1"/>
  <c r="AB121" i="1"/>
  <c r="AB117" i="1" s="1"/>
  <c r="AF121" i="1"/>
  <c r="AF117" i="1" s="1"/>
  <c r="AD121" i="1"/>
  <c r="AD117" i="1" s="1"/>
  <c r="N121" i="1"/>
  <c r="N117" i="1" s="1"/>
  <c r="D124" i="1" l="1"/>
  <c r="AB123" i="1"/>
  <c r="X123" i="1"/>
  <c r="V123" i="1"/>
  <c r="T123" i="1"/>
  <c r="P123" i="1"/>
  <c r="AN123" i="1"/>
  <c r="AF123" i="1"/>
  <c r="R123" i="1"/>
  <c r="N123" i="1"/>
  <c r="AD123" i="1"/>
  <c r="Z123" i="1"/>
  <c r="AN124" i="1" l="1"/>
  <c r="AF124" i="1"/>
  <c r="R124" i="1"/>
  <c r="N124" i="1"/>
  <c r="AD124" i="1"/>
  <c r="Z124" i="1"/>
  <c r="D125" i="1"/>
  <c r="AB124" i="1"/>
  <c r="X124" i="1"/>
  <c r="V124" i="1"/>
  <c r="T124" i="1"/>
  <c r="P124" i="1"/>
  <c r="AF125" i="1" l="1"/>
  <c r="R125" i="1"/>
  <c r="N125" i="1"/>
  <c r="AD125" i="1"/>
  <c r="Z125" i="1"/>
  <c r="D126" i="1"/>
  <c r="AB125" i="1"/>
  <c r="X125" i="1"/>
  <c r="V125" i="1"/>
  <c r="T125" i="1"/>
  <c r="P125" i="1"/>
  <c r="AN125" i="1"/>
  <c r="AD126" i="1" l="1"/>
  <c r="Z126" i="1"/>
  <c r="D127" i="1"/>
  <c r="AB126" i="1"/>
  <c r="X126" i="1"/>
  <c r="V126" i="1"/>
  <c r="T126" i="1"/>
  <c r="P126" i="1"/>
  <c r="AN126" i="1"/>
  <c r="AF126" i="1"/>
  <c r="R126" i="1"/>
  <c r="N126" i="1"/>
  <c r="D128" i="1" l="1"/>
  <c r="AB127" i="1"/>
  <c r="X127" i="1"/>
  <c r="V127" i="1"/>
  <c r="T127" i="1"/>
  <c r="P127" i="1"/>
  <c r="AN127" i="1"/>
  <c r="AF127" i="1"/>
  <c r="R127" i="1"/>
  <c r="N127" i="1"/>
  <c r="AD127" i="1"/>
  <c r="Z127" i="1"/>
  <c r="AN128" i="1" l="1"/>
  <c r="AN122" i="1" s="1"/>
  <c r="AF128" i="1"/>
  <c r="AF122" i="1" s="1"/>
  <c r="R128" i="1"/>
  <c r="R122" i="1" s="1"/>
  <c r="N128" i="1"/>
  <c r="N122" i="1" s="1"/>
  <c r="AD128" i="1"/>
  <c r="AD122" i="1" s="1"/>
  <c r="Z128" i="1"/>
  <c r="Z122" i="1" s="1"/>
  <c r="D129" i="1"/>
  <c r="D130" i="1" s="1"/>
  <c r="AB128" i="1"/>
  <c r="AB122" i="1" s="1"/>
  <c r="X128" i="1"/>
  <c r="X122" i="1" s="1"/>
  <c r="V128" i="1"/>
  <c r="V122" i="1" s="1"/>
  <c r="T128" i="1"/>
  <c r="T122" i="1" s="1"/>
  <c r="P128" i="1"/>
  <c r="P122" i="1" s="1"/>
  <c r="AF130" i="1" l="1"/>
  <c r="R130" i="1"/>
  <c r="D131" i="1"/>
  <c r="AB130" i="1"/>
  <c r="X130" i="1"/>
  <c r="V130" i="1"/>
  <c r="T130" i="1"/>
  <c r="P130" i="1"/>
  <c r="AD130" i="1"/>
  <c r="N130" i="1"/>
  <c r="Z130" i="1"/>
  <c r="AN130" i="1"/>
  <c r="AD131" i="1" l="1"/>
  <c r="Z131" i="1"/>
  <c r="AN131" i="1"/>
  <c r="AF131" i="1"/>
  <c r="N131" i="1"/>
  <c r="X131" i="1"/>
  <c r="T131" i="1"/>
  <c r="D132" i="1"/>
  <c r="R131" i="1"/>
  <c r="AB131" i="1"/>
  <c r="V131" i="1"/>
  <c r="P131" i="1"/>
  <c r="AN132" i="1" l="1"/>
  <c r="AB132" i="1"/>
  <c r="X132" i="1"/>
  <c r="V132" i="1"/>
  <c r="T132" i="1"/>
  <c r="P132" i="1"/>
  <c r="R132" i="1"/>
  <c r="N132" i="1"/>
  <c r="AF132" i="1"/>
  <c r="AD132" i="1"/>
  <c r="D133" i="1"/>
  <c r="Z132" i="1"/>
  <c r="AF133" i="1" l="1"/>
  <c r="R133" i="1"/>
  <c r="N133" i="1"/>
  <c r="D134" i="1"/>
  <c r="AB133" i="1"/>
  <c r="X133" i="1"/>
  <c r="V133" i="1"/>
  <c r="T133" i="1"/>
  <c r="P133" i="1"/>
  <c r="Z133" i="1"/>
  <c r="AN133" i="1"/>
  <c r="AD133" i="1"/>
  <c r="AD134" i="1" l="1"/>
  <c r="AD129" i="1" s="1"/>
  <c r="Z134" i="1"/>
  <c r="Z129" i="1" s="1"/>
  <c r="AN134" i="1"/>
  <c r="AN129" i="1" s="1"/>
  <c r="D135" i="1"/>
  <c r="D136" i="1" s="1"/>
  <c r="R134" i="1"/>
  <c r="R129" i="1" s="1"/>
  <c r="AB134" i="1"/>
  <c r="AB129" i="1" s="1"/>
  <c r="V134" i="1"/>
  <c r="V129" i="1" s="1"/>
  <c r="P134" i="1"/>
  <c r="P129" i="1" s="1"/>
  <c r="AF134" i="1"/>
  <c r="AF129" i="1" s="1"/>
  <c r="N134" i="1"/>
  <c r="N129" i="1" s="1"/>
  <c r="X134" i="1"/>
  <c r="X129" i="1" s="1"/>
  <c r="T134" i="1"/>
  <c r="T129" i="1" s="1"/>
  <c r="D137" i="1" l="1"/>
  <c r="AB136" i="1"/>
  <c r="X136" i="1"/>
  <c r="V136" i="1"/>
  <c r="T136" i="1"/>
  <c r="P136" i="1"/>
  <c r="AN136" i="1"/>
  <c r="AF136" i="1"/>
  <c r="R136" i="1"/>
  <c r="N136" i="1"/>
  <c r="AD136" i="1"/>
  <c r="Z136" i="1"/>
  <c r="AN137" i="1" l="1"/>
  <c r="AF137" i="1"/>
  <c r="R137" i="1"/>
  <c r="N137" i="1"/>
  <c r="AD137" i="1"/>
  <c r="Z137" i="1"/>
  <c r="D138" i="1"/>
  <c r="AB137" i="1"/>
  <c r="X137" i="1"/>
  <c r="V137" i="1"/>
  <c r="T137" i="1"/>
  <c r="P137" i="1"/>
  <c r="D139" i="1" l="1"/>
  <c r="AB138" i="1"/>
  <c r="X138" i="1"/>
  <c r="V138" i="1"/>
  <c r="T138" i="1"/>
  <c r="P138" i="1"/>
  <c r="AF138" i="1"/>
  <c r="AN138" i="1"/>
  <c r="N138" i="1"/>
  <c r="AD138" i="1"/>
  <c r="R138" i="1"/>
  <c r="Z138" i="1"/>
  <c r="AN139" i="1" l="1"/>
  <c r="AD139" i="1"/>
  <c r="Z139" i="1"/>
  <c r="AB139" i="1"/>
  <c r="V139" i="1"/>
  <c r="P139" i="1"/>
  <c r="AF139" i="1"/>
  <c r="N139" i="1"/>
  <c r="X139" i="1"/>
  <c r="T139" i="1"/>
  <c r="D140" i="1"/>
  <c r="R139" i="1"/>
  <c r="AF140" i="1" l="1"/>
  <c r="R140" i="1"/>
  <c r="N140" i="1"/>
  <c r="D141" i="1"/>
  <c r="AB140" i="1"/>
  <c r="X140" i="1"/>
  <c r="V140" i="1"/>
  <c r="T140" i="1"/>
  <c r="P140" i="1"/>
  <c r="Z140" i="1"/>
  <c r="AN140" i="1"/>
  <c r="AD140" i="1"/>
  <c r="AD141" i="1" l="1"/>
  <c r="Z141" i="1"/>
  <c r="AN141" i="1"/>
  <c r="D142" i="1"/>
  <c r="R141" i="1"/>
  <c r="AB141" i="1"/>
  <c r="V141" i="1"/>
  <c r="P141" i="1"/>
  <c r="AF141" i="1"/>
  <c r="N141" i="1"/>
  <c r="X141" i="1"/>
  <c r="T141" i="1"/>
  <c r="AD142" i="1" l="1"/>
  <c r="AD135" i="1" s="1"/>
  <c r="Z142" i="1"/>
  <c r="Z135" i="1" s="1"/>
  <c r="D143" i="1"/>
  <c r="D144" i="1" s="1"/>
  <c r="AB142" i="1"/>
  <c r="AB135" i="1" s="1"/>
  <c r="X142" i="1"/>
  <c r="X135" i="1" s="1"/>
  <c r="V142" i="1"/>
  <c r="V135" i="1" s="1"/>
  <c r="T142" i="1"/>
  <c r="T135" i="1" s="1"/>
  <c r="P142" i="1"/>
  <c r="P135" i="1" s="1"/>
  <c r="AF142" i="1"/>
  <c r="AF135" i="1" s="1"/>
  <c r="R142" i="1"/>
  <c r="R135" i="1" s="1"/>
  <c r="N142" i="1"/>
  <c r="N135" i="1" s="1"/>
  <c r="AN142" i="1"/>
  <c r="AN135" i="1" s="1"/>
  <c r="D145" i="1" l="1"/>
  <c r="D146" i="1" s="1"/>
  <c r="AN144" i="1"/>
  <c r="AN143" i="1" s="1"/>
  <c r="AF144" i="1"/>
  <c r="AF143" i="1" s="1"/>
  <c r="R144" i="1"/>
  <c r="R143" i="1" s="1"/>
  <c r="N144" i="1"/>
  <c r="N143" i="1" s="1"/>
  <c r="AD144" i="1"/>
  <c r="AD143" i="1" s="1"/>
  <c r="Z144" i="1"/>
  <c r="Z143" i="1" s="1"/>
  <c r="AB144" i="1"/>
  <c r="AB143" i="1" s="1"/>
  <c r="X144" i="1"/>
  <c r="X143" i="1" s="1"/>
  <c r="V144" i="1"/>
  <c r="V143" i="1" s="1"/>
  <c r="T144" i="1"/>
  <c r="T143" i="1" s="1"/>
  <c r="P144" i="1"/>
  <c r="P143" i="1" s="1"/>
  <c r="D147" i="1" l="1"/>
  <c r="AB146" i="1"/>
  <c r="X146" i="1"/>
  <c r="V146" i="1"/>
  <c r="T146" i="1"/>
  <c r="P146" i="1"/>
  <c r="Z146" i="1"/>
  <c r="AN146" i="1"/>
  <c r="AF146" i="1"/>
  <c r="AD146" i="1"/>
  <c r="N146" i="1"/>
  <c r="R146" i="1"/>
  <c r="AN147" i="1" l="1"/>
  <c r="D148" i="1"/>
  <c r="AF147" i="1"/>
  <c r="AD147" i="1"/>
  <c r="T147" i="1"/>
  <c r="N147" i="1"/>
  <c r="AB147" i="1"/>
  <c r="V147" i="1"/>
  <c r="R147" i="1"/>
  <c r="X147" i="1"/>
  <c r="Z147" i="1"/>
  <c r="P147" i="1"/>
  <c r="AD148" i="1" l="1"/>
  <c r="AD145" i="1" s="1"/>
  <c r="Z148" i="1"/>
  <c r="Z145" i="1" s="1"/>
  <c r="AF148" i="1"/>
  <c r="AF145" i="1" s="1"/>
  <c r="R148" i="1"/>
  <c r="R145" i="1" s="1"/>
  <c r="N148" i="1"/>
  <c r="N145" i="1" s="1"/>
  <c r="X148" i="1"/>
  <c r="X145" i="1" s="1"/>
  <c r="D149" i="1"/>
  <c r="D150" i="1" s="1"/>
  <c r="AN148" i="1"/>
  <c r="AN145" i="1" s="1"/>
  <c r="P148" i="1"/>
  <c r="P145" i="1" s="1"/>
  <c r="AB148" i="1"/>
  <c r="AB145" i="1" s="1"/>
  <c r="T148" i="1"/>
  <c r="T145" i="1" s="1"/>
  <c r="V148" i="1"/>
  <c r="V145" i="1" s="1"/>
  <c r="D151" i="1" l="1"/>
  <c r="AN150" i="1"/>
  <c r="R150" i="1"/>
  <c r="N150" i="1"/>
  <c r="AF150" i="1"/>
  <c r="AB150" i="1"/>
  <c r="Z150" i="1"/>
  <c r="X150" i="1"/>
  <c r="V150" i="1"/>
  <c r="T150" i="1"/>
  <c r="P150" i="1"/>
  <c r="AD150" i="1"/>
  <c r="AF151" i="1" l="1"/>
  <c r="R151" i="1"/>
  <c r="D152" i="1"/>
  <c r="AD151" i="1"/>
  <c r="T151" i="1"/>
  <c r="AN151" i="1"/>
  <c r="AB151" i="1"/>
  <c r="V151" i="1"/>
  <c r="N151" i="1"/>
  <c r="X151" i="1"/>
  <c r="Z151" i="1"/>
  <c r="P151" i="1"/>
  <c r="AD152" i="1" l="1"/>
  <c r="Z152" i="1"/>
  <c r="X152" i="1"/>
  <c r="R152" i="1"/>
  <c r="P152" i="1"/>
  <c r="T152" i="1"/>
  <c r="D153" i="1"/>
  <c r="AN152" i="1"/>
  <c r="AF152" i="1"/>
  <c r="AB152" i="1"/>
  <c r="V152" i="1"/>
  <c r="N152" i="1"/>
  <c r="D154" i="1" l="1"/>
  <c r="AB153" i="1"/>
  <c r="AB149" i="1" s="1"/>
  <c r="X153" i="1"/>
  <c r="X149" i="1" s="1"/>
  <c r="V153" i="1"/>
  <c r="V149" i="1" s="1"/>
  <c r="T153" i="1"/>
  <c r="T149" i="1" s="1"/>
  <c r="P153" i="1"/>
  <c r="P149" i="1" s="1"/>
  <c r="Z153" i="1"/>
  <c r="Z149" i="1" s="1"/>
  <c r="AN153" i="1"/>
  <c r="AN149" i="1" s="1"/>
  <c r="AF153" i="1"/>
  <c r="AF149" i="1" s="1"/>
  <c r="AD153" i="1"/>
  <c r="AD149" i="1" s="1"/>
  <c r="N153" i="1"/>
  <c r="N149" i="1" s="1"/>
  <c r="R153" i="1"/>
  <c r="R149" i="1" s="1"/>
  <c r="D155" i="1" l="1"/>
  <c r="D45" i="1"/>
  <c r="AF155" i="1" l="1"/>
  <c r="R155" i="1"/>
  <c r="N155" i="1"/>
  <c r="AB155" i="1"/>
  <c r="V155" i="1"/>
  <c r="X155" i="1"/>
  <c r="D156" i="1"/>
  <c r="AN155" i="1"/>
  <c r="Z155" i="1"/>
  <c r="P155" i="1"/>
  <c r="AD155" i="1"/>
  <c r="T155" i="1"/>
  <c r="AB45" i="1"/>
  <c r="AB44" i="1" s="1"/>
  <c r="X45" i="1"/>
  <c r="X44" i="1" s="1"/>
  <c r="V45" i="1"/>
  <c r="V44" i="1" s="1"/>
  <c r="T45" i="1"/>
  <c r="T44" i="1" s="1"/>
  <c r="P45" i="1"/>
  <c r="P44" i="1" s="1"/>
  <c r="AN45" i="1"/>
  <c r="AN44" i="1" s="1"/>
  <c r="AF45" i="1"/>
  <c r="AF44" i="1" s="1"/>
  <c r="R45" i="1"/>
  <c r="R44" i="1" s="1"/>
  <c r="N45" i="1"/>
  <c r="N44" i="1" s="1"/>
  <c r="AD45" i="1"/>
  <c r="AD44" i="1" s="1"/>
  <c r="Z45" i="1"/>
  <c r="Z44" i="1" s="1"/>
  <c r="AF156" i="1" l="1"/>
  <c r="AB156" i="1"/>
  <c r="X156" i="1"/>
  <c r="V156" i="1"/>
  <c r="T156" i="1"/>
  <c r="P156" i="1"/>
  <c r="AN156" i="1"/>
  <c r="AD156" i="1"/>
  <c r="Z156" i="1"/>
  <c r="D157" i="1"/>
  <c r="R156" i="1"/>
  <c r="N156" i="1"/>
  <c r="AD157" i="1" l="1"/>
  <c r="Z157" i="1"/>
  <c r="T157" i="1"/>
  <c r="D158" i="1"/>
  <c r="AN157" i="1"/>
  <c r="AF157" i="1"/>
  <c r="AB157" i="1"/>
  <c r="V157" i="1"/>
  <c r="N157" i="1"/>
  <c r="X157" i="1"/>
  <c r="P157" i="1"/>
  <c r="R157" i="1"/>
  <c r="AB158" i="1" l="1"/>
  <c r="AB154" i="1" s="1"/>
  <c r="AB159" i="1" s="1"/>
  <c r="X158" i="1"/>
  <c r="X154" i="1" s="1"/>
  <c r="X159" i="1" s="1"/>
  <c r="V158" i="1"/>
  <c r="V154" i="1" s="1"/>
  <c r="V159" i="1" s="1"/>
  <c r="T158" i="1"/>
  <c r="T154" i="1" s="1"/>
  <c r="T159" i="1" s="1"/>
  <c r="P158" i="1"/>
  <c r="P154" i="1" s="1"/>
  <c r="P159" i="1" s="1"/>
  <c r="AF158" i="1"/>
  <c r="AF154" i="1" s="1"/>
  <c r="AF159" i="1" s="1"/>
  <c r="AD158" i="1"/>
  <c r="AD154" i="1" s="1"/>
  <c r="AD159" i="1" s="1"/>
  <c r="N158" i="1"/>
  <c r="N154" i="1" s="1"/>
  <c r="N159" i="1" s="1"/>
  <c r="R158" i="1"/>
  <c r="R154" i="1" s="1"/>
  <c r="R159" i="1" s="1"/>
  <c r="AN158" i="1"/>
  <c r="AN154" i="1" s="1"/>
  <c r="AN159" i="1" s="1"/>
  <c r="Z158" i="1"/>
  <c r="Z154" i="1" s="1"/>
  <c r="Z159" i="1" s="1"/>
</calcChain>
</file>

<file path=xl/sharedStrings.xml><?xml version="1.0" encoding="utf-8"?>
<sst xmlns="http://schemas.openxmlformats.org/spreadsheetml/2006/main" count="229" uniqueCount="199">
  <si>
    <t>Код профиля 2016</t>
  </si>
  <si>
    <t>Код КСГ 2016</t>
  </si>
  <si>
    <t>КПГ / КСГ</t>
  </si>
  <si>
    <t>базовая ставка с 01.01.2016</t>
  </si>
  <si>
    <t>базовая ставка с 01.02.2016</t>
  </si>
  <si>
    <t>коэффициент относительной затратоемкости</t>
  </si>
  <si>
    <t>управленческий коэффициент</t>
  </si>
  <si>
    <t>районный коэффициент</t>
  </si>
  <si>
    <t>КГБУЗ "Детская городская больница" МЗ ХК</t>
  </si>
  <si>
    <t>КГБУЗ "Детская городская клиническая больница N 9" МЗ Хабаровского края</t>
  </si>
  <si>
    <t>КГБУЗ "Городская  клиническая поликлиника № 3" МЗ Хабаровского края</t>
  </si>
  <si>
    <t>КГБУЗ "Детская городская   поликлиника № 24" МЗ Хабаровского края</t>
  </si>
  <si>
    <t>КГБУЗ "Советско-Гаванская центральная 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</si>
  <si>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</si>
  <si>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"Городская поликлиника № 11" МЗ Хабаровского края</t>
  </si>
  <si>
    <t>КГБУЗ "Ванинская центральная районная больница" министерства здравоохранения Хабаровского края</t>
  </si>
  <si>
    <t>КГБУЗ "Бикинская центральная районная больница" МЗ Хабаровского края</t>
  </si>
  <si>
    <t>КГБУЗ "Районная больница района имени Лазо" МЗ Хабаровского края</t>
  </si>
  <si>
    <t>КГБУЗ ""Ульчская районная больница"</t>
  </si>
  <si>
    <t>КГБУЗ "Тугуро-Чумиканская районная больница"МЗ Хабаровского края</t>
  </si>
  <si>
    <t>3241001</t>
  </si>
  <si>
    <t>2241009</t>
  </si>
  <si>
    <t>2101003</t>
  </si>
  <si>
    <t>2201024</t>
  </si>
  <si>
    <t>1340007</t>
  </si>
  <si>
    <t>1340010</t>
  </si>
  <si>
    <t>1340006</t>
  </si>
  <si>
    <t>1343001</t>
  </si>
  <si>
    <t>1343303</t>
  </si>
  <si>
    <t>факт</t>
  </si>
  <si>
    <t>4 месяца</t>
  </si>
  <si>
    <t>1343171</t>
  </si>
  <si>
    <t>1340003</t>
  </si>
  <si>
    <t>с 01.01.2016</t>
  </si>
  <si>
    <t>с 01.02.16</t>
  </si>
  <si>
    <t>подуровень 2.1</t>
  </si>
  <si>
    <t>подуровень 1.2</t>
  </si>
  <si>
    <t>подуровень 1.3</t>
  </si>
  <si>
    <t>подуровень 1.4</t>
  </si>
  <si>
    <t>подуровень 1.5</t>
  </si>
  <si>
    <t>1 районная группа</t>
  </si>
  <si>
    <t>2 районная группа</t>
  </si>
  <si>
    <t>3 районная группа</t>
  </si>
  <si>
    <t>4 районная группа</t>
  </si>
  <si>
    <t>4 районная группа с 01.02.16</t>
  </si>
  <si>
    <t>количество больных</t>
  </si>
  <si>
    <t>стоимость</t>
  </si>
  <si>
    <t>№</t>
  </si>
  <si>
    <t>КУСмо на 01.01.2016</t>
  </si>
  <si>
    <t>КУСмо на 01.02.2016</t>
  </si>
  <si>
    <t>КУСмо на 01.06.2016</t>
  </si>
  <si>
    <t>Акушерское дело</t>
  </si>
  <si>
    <t>Акушерство и гинекология</t>
  </si>
  <si>
    <t>Осложнения беременности, родов, послеродового периода</t>
  </si>
  <si>
    <t>Болезни женских половых органов</t>
  </si>
  <si>
    <t>Операции на женских половых органах (уровень 1)</t>
  </si>
  <si>
    <t>Операции на женских половых органах (уровень 2)</t>
  </si>
  <si>
    <t>Искусственное прерывание беременности (аборт)</t>
  </si>
  <si>
    <t>Аборт медикаментозный</t>
  </si>
  <si>
    <t>Аллергология и иммунология</t>
  </si>
  <si>
    <t>Нарушения с вовлечением иммунного механизма</t>
  </si>
  <si>
    <t>Гастроэнтерология</t>
  </si>
  <si>
    <t>Болезни органов пищеварения, взрослые</t>
  </si>
  <si>
    <t>Гематология</t>
  </si>
  <si>
    <t>Болезни крови</t>
  </si>
  <si>
    <t>Дерматология</t>
  </si>
  <si>
    <t>Дерматозы</t>
  </si>
  <si>
    <t>Детская кардиология</t>
  </si>
  <si>
    <t>Болезни системы кровообращения, дети</t>
  </si>
  <si>
    <t>Детская онкология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</si>
  <si>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</si>
  <si>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</si>
  <si>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ЗНО других локализаций (кроме лимфоидной и кроветворной тканей), дети</t>
  </si>
  <si>
    <t>Детская урология-андрология</t>
  </si>
  <si>
    <t xml:space="preserve">Операции на мужских половых органах, дети </t>
  </si>
  <si>
    <t>Операции на почке и мочевыделительной системе, дети</t>
  </si>
  <si>
    <t>Детская хирургия</t>
  </si>
  <si>
    <t xml:space="preserve">Операции по поводу грыж, дети </t>
  </si>
  <si>
    <t>Детская эндокринология</t>
  </si>
  <si>
    <t>Сахарный диабет, дети</t>
  </si>
  <si>
    <t>Другие болезни эндокринной системы, дети</t>
  </si>
  <si>
    <t>Инфекционные болезни</t>
  </si>
  <si>
    <t>Вирусный гепатит В хронический, лекарственная терапия</t>
  </si>
  <si>
    <t>Вирусный гепатит С хронический, лекарственная терапия при инфицировании вирусом генотипа 2, 3</t>
  </si>
  <si>
    <t>Вирусный гепатит С хронический на стадии цирроза печени, лекарственная терапия при инфицировании вирусом генотипа 2, 3</t>
  </si>
  <si>
    <t>Вирусный гепатит С хронический на стадии цирроза печени, лекарственная терапия при инфицировании вирусом генотипа 1, 4</t>
  </si>
  <si>
    <t>Другие вирусные гепатиты</t>
  </si>
  <si>
    <t>Другие инфекционные и паразитарные болезни, взрослые</t>
  </si>
  <si>
    <t>Другие инфекционные и паразитарные болезни, дети</t>
  </si>
  <si>
    <t>Респираторные инфекции верхних дыхательных путей, взрослые</t>
  </si>
  <si>
    <t>Респираторные инфекции верхних дыхательных путей, дети</t>
  </si>
  <si>
    <t>Кардиология</t>
  </si>
  <si>
    <t>Болезни системы кровообращения, взрослые</t>
  </si>
  <si>
    <t>Болезни системы кровообращения с применением инвазивных методов</t>
  </si>
  <si>
    <t>Колопроктология</t>
  </si>
  <si>
    <t>Операции на кишечнике и анальной области  (уровень 1)</t>
  </si>
  <si>
    <t>Операции на кишечнике и анальной области  (уровень 2)</t>
  </si>
  <si>
    <t>Неврология</t>
  </si>
  <si>
    <t>Болезни нервной системы, хромосомные аномалии</t>
  </si>
  <si>
    <t>Неврологические заболевания, лечение с применением ботулотоксина</t>
  </si>
  <si>
    <t>Комплексное лечение заболеваний нервной системы с применением иммуноглобулина</t>
  </si>
  <si>
    <t>Нейрохирургия</t>
  </si>
  <si>
    <t>Болезни и травмы позвоночника, спинного мозга, последствия внутричерепной травмы, сотрясение головного мозга</t>
  </si>
  <si>
    <t xml:space="preserve">Операции на периферической нервной системе </t>
  </si>
  <si>
    <t>Неонатология</t>
  </si>
  <si>
    <t>Нарушения, возникшие в перинатальном периоде</t>
  </si>
  <si>
    <t>Нефрология (без диализа)</t>
  </si>
  <si>
    <t>Гломерулярные болезни, почечная недостаточность (без диализа)</t>
  </si>
  <si>
    <t xml:space="preserve">Лекарственная терапия у больных, получающих диализ </t>
  </si>
  <si>
    <t>Формирование, имплантация, удаление, смена доступа для диализа</t>
  </si>
  <si>
    <t>Другие болезни почек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</si>
  <si>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</si>
  <si>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</si>
  <si>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</si>
  <si>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</si>
  <si>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</si>
  <si>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</si>
  <si>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Злокачественое новообразование не классифицированное без специального противоопухолевого лечения</t>
  </si>
  <si>
    <t>Лекарственная терапия при остром лейкозе, взрослые</t>
  </si>
  <si>
    <t>Лекарственная терапия при других ЗНО лимфоидной и кроветворной тканей, взрослые</t>
  </si>
  <si>
    <t>Лекарственная терапия при ЗНО других локализаций (кроме ЗНО лимфоидной и кроветворной тканей), взрослые (уровень 1)</t>
  </si>
  <si>
    <t>Лекарственная терапия при ЗНО других локализаций (кроме ЗНО лимфоидной и кроветворной тканей), взрослые (уровень 2)</t>
  </si>
  <si>
    <t>Лекарственная терапия злокачественных новообразований с применением моноклональных антител, ингибиторов протеинкиназы</t>
  </si>
  <si>
    <t>Оториноларингология</t>
  </si>
  <si>
    <r>
      <t>Болезни</t>
    </r>
    <r>
      <rPr>
        <b/>
        <sz val="12"/>
        <rFont val="Times New Roman"/>
        <family val="1"/>
        <charset val="204"/>
      </rPr>
      <t xml:space="preserve"> уха,</t>
    </r>
    <r>
      <rPr>
        <sz val="11"/>
        <rFont val="Times New Roman"/>
        <family val="1"/>
        <charset val="204"/>
      </rPr>
      <t xml:space="preserve"> горла, носа</t>
    </r>
  </si>
  <si>
    <t>Операции на органе слуха, придаточных пазухах носа  и верхних дыхательных путях (уровень 1)</t>
  </si>
  <si>
    <t>Операции на органе слуха, придаточных пазухах носа  и верхних дыхательных путях (уровень 2)</t>
  </si>
  <si>
    <t>Операции на органе слуха, придаточных пазухах носа  и верхних дыхательных путях (уровень 3)</t>
  </si>
  <si>
    <t>Операции на органе слуха, придаточных пазухах носа  и верхних дыхательных путях (уровень 4)</t>
  </si>
  <si>
    <t>Ремонт и замена речевого процессора</t>
  </si>
  <si>
    <t>Офтальмология</t>
  </si>
  <si>
    <t>Болезни и травмы глаза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</si>
  <si>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</si>
  <si>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</si>
  <si>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</si>
  <si>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</si>
  <si>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</si>
  <si>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</si>
  <si>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Системные поражения соединительной ткани, артропатии, спондилопатии, дети</t>
  </si>
  <si>
    <t>Другие болезни органов пищеварения, дети</t>
  </si>
  <si>
    <t>Пульмонология</t>
  </si>
  <si>
    <t>Болезни органов дыхания</t>
  </si>
  <si>
    <t>Ревматология</t>
  </si>
  <si>
    <t>Системные поражения соединительной ткани, артропатии, спондилопатии, взрослые</t>
  </si>
  <si>
    <t>Сердечно-сосудистая хирургия</t>
  </si>
  <si>
    <t>Диагностическое обследование при болезнях системы кровообращения</t>
  </si>
  <si>
    <t>Операции на сосудах (уровень 1)</t>
  </si>
  <si>
    <t>Операции на сосудах (уровень 2)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</si>
  <si>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</si>
  <si>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</si>
  <si>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</si>
  <si>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</si>
  <si>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</si>
  <si>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 xml:space="preserve">Операции на нижних дыхательных путях и легочной ткани, органах средостения </t>
  </si>
  <si>
    <t>Травматология и ортопедия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</si>
  <si>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</si>
  <si>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</si>
  <si>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</si>
  <si>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Заболевания опорно-двигательного аппарата, травмы</t>
  </si>
  <si>
    <t>Урология</t>
  </si>
  <si>
    <t>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</si>
  <si>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</si>
  <si>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</si>
  <si>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</si>
  <si>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</si>
  <si>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</si>
  <si>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Хирургия</t>
  </si>
  <si>
    <t xml:space="preserve">Болезни , новообразования молочной железы 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</si>
  <si>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</si>
  <si>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</si>
  <si>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органах кроветворения и иммунной системы</t>
  </si>
  <si>
    <t xml:space="preserve">Операции на молочной железе </t>
  </si>
  <si>
    <t>Хирургия (абдоминальная)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</si>
  <si>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</si>
  <si>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</si>
  <si>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</si>
  <si>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</si>
  <si>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</si>
  <si>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</si>
  <si>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</si>
  <si>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Хирургия (комбустиология)</t>
  </si>
  <si>
    <t xml:space="preserve">Ожоги и отморожения 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</si>
  <si>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</si>
  <si>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</si>
  <si>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 полости рта (уровень 1)</t>
  </si>
  <si>
    <t>Операции на органах  полости рта (уровень 2)</t>
  </si>
  <si>
    <t>Эндокринология</t>
  </si>
  <si>
    <t>Сахарный диабет, взрослые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</si>
  <si>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</si>
  <si>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Кистозный фиброз</t>
  </si>
  <si>
    <t>Лечение кистозного фиброза с применением ингаляционной антибактериальной терапии</t>
  </si>
  <si>
    <t>Прочее</t>
  </si>
  <si>
    <t>Факторы, влияющие на состояние здоровья  населения и обращения в учреждения здравоохранения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</si>
  <si>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</si>
  <si>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Лечение с применением генно-инженерных биологических препаратов</t>
  </si>
  <si>
    <t>Отторжение, отмирание трансплантата органов и тканей</t>
  </si>
  <si>
    <t>Итого</t>
  </si>
  <si>
    <t xml:space="preserve">Объемы медицинской помощи за счет средств  обязательного медицинского страхования на 2016 год в условиях дневных стационаров при поликлинике в разрезе  клинико -статистических групп заболеваний </t>
  </si>
  <si>
    <t>Приложение № 4 
к Решению Комиссии по разработке ТП ОМС от 29.06.2016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</si>
</sst>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р_._-;\-* #,##0_р_._-;_-* &quot;-&quot;_р_._-;_-@_-"/>
    <numFmt numFmtId="43" formatCode="_-* #,##0.00_р_._-;\-* #,##0.00_р_._-;_-* &quot;-&quot;??_р_._-;_-@_-"/>
    <numFmt numFmtId="164" formatCode="#,##0.0"/>
    <numFmt numFmtId="165" formatCode="0.000"/>
    <numFmt numFmtId="166" formatCode="_-* #,##0.0_р_._-;\-* #,##0.0_р_._-;_-* &quot;-&quot;_р_._-;_-@_-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name val="Calibri"/>
      <family val="2"/>
      <charset val="204"/>
      <scheme val="minor"/>
    </font>
    <font>
      <i/>
      <sz val="9"/>
      <name val="Times New Roman"/>
      <family val="2"/>
      <charset val="204"/>
    </font>
    <font>
      <i/>
      <sz val="11"/>
      <name val="Times New Roman"/>
      <family val="2"/>
      <charset val="204"/>
    </font>
    <font>
      <sz val="11"/>
      <name val="Times New Roman"/>
      <family val="2"/>
      <charset val="204"/>
    </font>
    <font>
      <sz val="8"/>
      <name val="Times New Roman"/>
      <family val="2"/>
      <charset val="204"/>
    </font>
    <font>
      <b/>
      <i/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9"/>
      <name val="Times New Roman"/>
      <family val="2"/>
      <charset val="204"/>
    </font>
    <font>
      <i/>
      <sz val="11"/>
      <color theme="0"/>
      <name val="Calibri"/>
      <family val="2"/>
      <charset val="204"/>
      <scheme val="minor"/>
    </font>
    <font>
      <sz val="12"/>
      <name val="Times New Roman Cyr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3">
    <xf numFmtId="0" fontId="0" fillId="0" borderId="0"/>
    <xf numFmtId="0" fontId="3" fillId="0" borderId="0"/>
    <xf numFmtId="0" fontId="21" fillId="0" borderId="0"/>
    <xf numFmtId="0" fontId="22" fillId="0" borderId="0"/>
    <xf numFmtId="0" fontId="3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 applyFill="0" applyBorder="0" applyProtection="0">
      <alignment wrapText="1"/>
      <protection locked="0"/>
    </xf>
    <xf numFmtId="0" fontId="24" fillId="0" borderId="0"/>
    <xf numFmtId="9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</cellStyleXfs>
  <cellXfs count="71">
    <xf numFmtId="0" fontId="0" fillId="0" borderId="0" xfId="0"/>
    <xf numFmtId="0" fontId="2" fillId="0" borderId="0" xfId="0" applyFont="1" applyFill="1"/>
    <xf numFmtId="1" fontId="10" fillId="0" borderId="3" xfId="1" applyNumberFormat="1" applyFont="1" applyFill="1" applyBorder="1" applyAlignment="1">
      <alignment horizontal="center" vertical="center" wrapText="1"/>
    </xf>
    <xf numFmtId="49" fontId="11" fillId="0" borderId="3" xfId="1" applyNumberFormat="1" applyFont="1" applyFill="1" applyBorder="1" applyAlignment="1">
      <alignment horizontal="center" vertical="center" wrapText="1"/>
    </xf>
    <xf numFmtId="1" fontId="10" fillId="0" borderId="2" xfId="1" applyNumberFormat="1" applyFont="1" applyFill="1" applyBorder="1" applyAlignment="1">
      <alignment horizontal="center" vertical="center" wrapText="1"/>
    </xf>
    <xf numFmtId="1" fontId="10" fillId="0" borderId="6" xfId="1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/>
    </xf>
    <xf numFmtId="0" fontId="17" fillId="0" borderId="6" xfId="1" applyFont="1" applyFill="1" applyBorder="1" applyAlignment="1">
      <alignment horizontal="center" vertical="center" wrapText="1"/>
    </xf>
    <xf numFmtId="165" fontId="10" fillId="0" borderId="2" xfId="1" applyNumberFormat="1" applyFont="1" applyFill="1" applyBorder="1" applyAlignment="1">
      <alignment horizontal="center" vertical="center" wrapText="1"/>
    </xf>
    <xf numFmtId="165" fontId="10" fillId="0" borderId="6" xfId="1" applyNumberFormat="1" applyFont="1" applyFill="1" applyBorder="1" applyAlignment="1">
      <alignment horizontal="center" vertical="center" wrapText="1"/>
    </xf>
    <xf numFmtId="164" fontId="17" fillId="0" borderId="6" xfId="1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5" fontId="14" fillId="0" borderId="2" xfId="1" applyNumberFormat="1" applyFont="1" applyFill="1" applyBorder="1" applyAlignment="1">
      <alignment horizontal="center" vertical="center" wrapText="1"/>
    </xf>
    <xf numFmtId="41" fontId="6" fillId="0" borderId="4" xfId="1" applyNumberFormat="1" applyFont="1" applyFill="1" applyBorder="1" applyAlignment="1">
      <alignment vertical="center" wrapText="1"/>
    </xf>
    <xf numFmtId="4" fontId="5" fillId="0" borderId="4" xfId="1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" fontId="5" fillId="0" borderId="3" xfId="1" applyNumberFormat="1" applyFont="1" applyFill="1" applyBorder="1" applyAlignment="1">
      <alignment horizontal="center" vertical="center" wrapText="1"/>
    </xf>
    <xf numFmtId="41" fontId="7" fillId="0" borderId="6" xfId="1" applyNumberFormat="1" applyFont="1" applyFill="1" applyBorder="1" applyAlignment="1">
      <alignment horizontal="center" vertical="center" wrapText="1"/>
    </xf>
    <xf numFmtId="41" fontId="6" fillId="0" borderId="6" xfId="1" applyNumberFormat="1" applyFont="1" applyFill="1" applyBorder="1" applyAlignment="1">
      <alignment horizontal="center" vertical="center" wrapText="1"/>
    </xf>
    <xf numFmtId="166" fontId="6" fillId="0" borderId="6" xfId="1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2" fontId="5" fillId="0" borderId="6" xfId="0" applyNumberFormat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vertical="center" wrapText="1"/>
    </xf>
    <xf numFmtId="41" fontId="7" fillId="0" borderId="4" xfId="1" applyNumberFormat="1" applyFont="1" applyFill="1" applyBorder="1" applyAlignment="1">
      <alignment horizontal="center" vertical="center" wrapText="1"/>
    </xf>
    <xf numFmtId="41" fontId="4" fillId="0" borderId="6" xfId="1" applyNumberFormat="1" applyFont="1" applyFill="1" applyBorder="1" applyAlignment="1">
      <alignment horizontal="center" vertical="center" wrapText="1"/>
    </xf>
    <xf numFmtId="0" fontId="2" fillId="0" borderId="6" xfId="0" applyFont="1" applyFill="1" applyBorder="1"/>
    <xf numFmtId="41" fontId="19" fillId="0" borderId="6" xfId="1" applyNumberFormat="1" applyFont="1" applyFill="1" applyBorder="1" applyAlignment="1">
      <alignment horizontal="center" vertical="center" wrapText="1"/>
    </xf>
    <xf numFmtId="41" fontId="4" fillId="0" borderId="4" xfId="1" applyNumberFormat="1" applyFont="1" applyFill="1" applyBorder="1" applyAlignment="1">
      <alignment vertical="center"/>
    </xf>
    <xf numFmtId="41" fontId="7" fillId="0" borderId="4" xfId="1" applyNumberFormat="1" applyFont="1" applyFill="1" applyBorder="1" applyAlignment="1">
      <alignment vertical="center"/>
    </xf>
    <xf numFmtId="165" fontId="14" fillId="0" borderId="6" xfId="1" applyNumberFormat="1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/>
    </xf>
    <xf numFmtId="41" fontId="17" fillId="0" borderId="4" xfId="1" applyNumberFormat="1" applyFont="1" applyFill="1" applyBorder="1" applyAlignment="1">
      <alignment vertical="center" wrapText="1"/>
    </xf>
    <xf numFmtId="4" fontId="19" fillId="0" borderId="4" xfId="1" applyNumberFormat="1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2" fontId="19" fillId="0" borderId="6" xfId="0" applyNumberFormat="1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41" fontId="4" fillId="0" borderId="4" xfId="1" applyNumberFormat="1" applyFont="1" applyFill="1" applyBorder="1" applyAlignment="1">
      <alignment horizontal="center" vertical="center" wrapText="1"/>
    </xf>
    <xf numFmtId="0" fontId="17" fillId="0" borderId="4" xfId="1" applyFont="1" applyFill="1" applyBorder="1" applyAlignment="1">
      <alignment vertical="center" wrapText="1"/>
    </xf>
    <xf numFmtId="41" fontId="17" fillId="0" borderId="4" xfId="1" applyNumberFormat="1" applyFont="1" applyFill="1" applyBorder="1" applyAlignment="1">
      <alignment horizontal="left" vertical="center" wrapText="1"/>
    </xf>
    <xf numFmtId="0" fontId="18" fillId="0" borderId="6" xfId="0" applyFont="1" applyFill="1" applyBorder="1"/>
    <xf numFmtId="0" fontId="18" fillId="0" borderId="0" xfId="0" applyFont="1" applyFill="1"/>
    <xf numFmtId="0" fontId="2" fillId="0" borderId="1" xfId="0" applyFont="1" applyFill="1" applyBorder="1"/>
    <xf numFmtId="0" fontId="4" fillId="0" borderId="6" xfId="0" applyFont="1" applyFill="1" applyBorder="1"/>
    <xf numFmtId="0" fontId="16" fillId="0" borderId="6" xfId="1" applyFont="1" applyFill="1" applyBorder="1" applyAlignment="1">
      <alignment horizontal="center" vertical="center" wrapText="1"/>
    </xf>
    <xf numFmtId="14" fontId="2" fillId="0" borderId="6" xfId="0" applyNumberFormat="1" applyFont="1" applyFill="1" applyBorder="1" applyAlignment="1"/>
    <xf numFmtId="164" fontId="7" fillId="0" borderId="5" xfId="1" applyNumberFormat="1" applyFont="1" applyFill="1" applyBorder="1" applyAlignment="1">
      <alignment vertical="center" wrapText="1"/>
    </xf>
    <xf numFmtId="164" fontId="15" fillId="0" borderId="5" xfId="1" applyNumberFormat="1" applyFont="1" applyFill="1" applyBorder="1" applyAlignment="1">
      <alignment vertical="center" wrapText="1"/>
    </xf>
    <xf numFmtId="0" fontId="20" fillId="0" borderId="0" xfId="0" applyFont="1" applyBorder="1" applyAlignment="1">
      <alignment vertical="center" wrapText="1"/>
    </xf>
    <xf numFmtId="0" fontId="26" fillId="0" borderId="0" xfId="0" applyFont="1" applyFill="1"/>
    <xf numFmtId="0" fontId="12" fillId="0" borderId="6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164" fontId="7" fillId="0" borderId="6" xfId="1" applyNumberFormat="1" applyFont="1" applyFill="1" applyBorder="1" applyAlignment="1">
      <alignment horizontal="center" vertical="center" wrapText="1"/>
    </xf>
    <xf numFmtId="164" fontId="15" fillId="0" borderId="6" xfId="1" applyNumberFormat="1" applyFont="1" applyFill="1" applyBorder="1" applyAlignment="1">
      <alignment horizontal="center" vertical="center" wrapText="1"/>
    </xf>
    <xf numFmtId="1" fontId="10" fillId="0" borderId="2" xfId="1" applyNumberFormat="1" applyFont="1" applyFill="1" applyBorder="1" applyAlignment="1">
      <alignment horizontal="center" vertical="center" wrapText="1"/>
    </xf>
    <xf numFmtId="1" fontId="10" fillId="0" borderId="4" xfId="1" applyNumberFormat="1" applyFont="1" applyFill="1" applyBorder="1" applyAlignment="1">
      <alignment horizontal="center" vertical="center" wrapText="1"/>
    </xf>
    <xf numFmtId="1" fontId="10" fillId="0" borderId="6" xfId="1" applyNumberFormat="1" applyFont="1" applyFill="1" applyBorder="1" applyAlignment="1">
      <alignment horizontal="center" vertical="center" wrapText="1"/>
    </xf>
    <xf numFmtId="41" fontId="8" fillId="0" borderId="2" xfId="1" applyNumberFormat="1" applyFont="1" applyFill="1" applyBorder="1" applyAlignment="1">
      <alignment horizontal="center" vertical="center" wrapText="1"/>
    </xf>
    <xf numFmtId="41" fontId="8" fillId="0" borderId="4" xfId="1" applyNumberFormat="1" applyFont="1" applyFill="1" applyBorder="1" applyAlignment="1">
      <alignment horizontal="center" vertical="center" wrapText="1"/>
    </xf>
    <xf numFmtId="41" fontId="8" fillId="0" borderId="6" xfId="1" applyNumberFormat="1" applyFont="1" applyFill="1" applyBorder="1" applyAlignment="1">
      <alignment horizontal="center" vertical="center" wrapText="1"/>
    </xf>
    <xf numFmtId="49" fontId="11" fillId="0" borderId="2" xfId="1" applyNumberFormat="1" applyFont="1" applyFill="1" applyBorder="1" applyAlignment="1">
      <alignment horizontal="center" vertical="center" wrapText="1"/>
    </xf>
    <xf numFmtId="49" fontId="11" fillId="0" borderId="4" xfId="1" applyNumberFormat="1" applyFont="1" applyFill="1" applyBorder="1" applyAlignment="1">
      <alignment horizontal="center" vertical="center" wrapText="1"/>
    </xf>
    <xf numFmtId="49" fontId="11" fillId="0" borderId="6" xfId="1" applyNumberFormat="1" applyFont="1" applyFill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27" fillId="0" borderId="0" xfId="16" applyFont="1" applyFill="1" applyBorder="1" applyAlignment="1">
      <alignment horizontal="left" wrapText="1"/>
    </xf>
    <xf numFmtId="0" fontId="25" fillId="0" borderId="6" xfId="1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</cellXfs>
  <cellStyles count="53">
    <cellStyle name="Normal_КСГ" xfId="2"/>
    <cellStyle name="Обычный" xfId="0" builtinId="0"/>
    <cellStyle name="Обычный 2" xfId="1"/>
    <cellStyle name="Обычный 2 2" xfId="3"/>
    <cellStyle name="Обычный 2 3" xfId="4"/>
    <cellStyle name="Обычный 3" xfId="5"/>
    <cellStyle name="Обычный 3 2" xfId="6"/>
    <cellStyle name="Обычный 3 2 2" xfId="7"/>
    <cellStyle name="Обычный 3 3" xfId="8"/>
    <cellStyle name="Обычный 3 3 2" xfId="9"/>
    <cellStyle name="Обычный 3 4" xfId="10"/>
    <cellStyle name="Обычный 3 5" xfId="11"/>
    <cellStyle name="Обычный 4" xfId="12"/>
    <cellStyle name="Обычный 4 2" xfId="13"/>
    <cellStyle name="Обычный 5" xfId="14"/>
    <cellStyle name="Обычный Лена" xfId="15"/>
    <cellStyle name="Обычный_Таблицы Мун.заказ Стационар" xfId="16"/>
    <cellStyle name="Процентный 2" xfId="17"/>
    <cellStyle name="Финансовый 10" xfId="18"/>
    <cellStyle name="Финансовый 11" xfId="19"/>
    <cellStyle name="Финансовый 12" xfId="20"/>
    <cellStyle name="Финансовый 13" xfId="21"/>
    <cellStyle name="Финансовый 14" xfId="22"/>
    <cellStyle name="Финансовый 15" xfId="23"/>
    <cellStyle name="Финансовый 16" xfId="24"/>
    <cellStyle name="Финансовый 17" xfId="25"/>
    <cellStyle name="Финансовый 18" xfId="26"/>
    <cellStyle name="Финансовый 19" xfId="27"/>
    <cellStyle name="Финансовый 2" xfId="28"/>
    <cellStyle name="Финансовый 2 2" xfId="29"/>
    <cellStyle name="Финансовый 20" xfId="30"/>
    <cellStyle name="Финансовый 21" xfId="31"/>
    <cellStyle name="Финансовый 22" xfId="32"/>
    <cellStyle name="Финансовый 23" xfId="33"/>
    <cellStyle name="Финансовый 24" xfId="34"/>
    <cellStyle name="Финансовый 25" xfId="35"/>
    <cellStyle name="Финансовый 26" xfId="36"/>
    <cellStyle name="Финансовый 27" xfId="37"/>
    <cellStyle name="Финансовый 28" xfId="38"/>
    <cellStyle name="Финансовый 29" xfId="39"/>
    <cellStyle name="Финансовый 3" xfId="40"/>
    <cellStyle name="Финансовый 3 2" xfId="41"/>
    <cellStyle name="Финансовый 3 3" xfId="42"/>
    <cellStyle name="Финансовый 30" xfId="43"/>
    <cellStyle name="Финансовый 31" xfId="44"/>
    <cellStyle name="Финансовый 32" xfId="45"/>
    <cellStyle name="Финансовый 33" xfId="46"/>
    <cellStyle name="Финансовый 4" xfId="47"/>
    <cellStyle name="Финансовый 5" xfId="48"/>
    <cellStyle name="Финансовый 6" xfId="49"/>
    <cellStyle name="Финансовый 7" xfId="50"/>
    <cellStyle name="Финансовый 8" xfId="51"/>
    <cellStyle name="Финансовый 9" xfId="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AN159"/>
  <sheetViews>
    <sheetView tabSelected="1" view="pageBreakPreview" zoomScale="90" zoomScaleNormal="80" zoomScaleSheetLayoutView="90" workbookViewId="0">
      <pane xSplit="12" ySplit="13" topLeftCell="O14" activePane="bottomRight" state="frozen"/>
      <selection pane="topRight" activeCell="M1" sqref="M1"/>
      <selection pane="bottomLeft" activeCell="A10" sqref="A10"/>
      <selection pane="bottomRight" activeCell="S21" sqref="S21"/>
    </sheetView>
  </sheetViews>
  <sheetFormatPr defaultRowHeight="15" x14ac:dyDescent="0.25"/>
  <cols>
    <col min="1" max="1" width="8.140625" style="1" customWidth="1"/>
    <col min="2" max="2" width="7.140625" style="1" customWidth="1"/>
    <col min="3" max="3" width="36.28515625" style="1" customWidth="1"/>
    <col min="4" max="4" width="9.42578125" style="1" customWidth="1"/>
    <col min="5" max="5" width="9.7109375" style="1" customWidth="1"/>
    <col min="6" max="6" width="5.28515625" style="1" customWidth="1"/>
    <col min="7" max="7" width="6.7109375" style="1" customWidth="1"/>
    <col min="8" max="8" width="7.7109375" style="1" customWidth="1"/>
    <col min="9" max="9" width="7.42578125" style="1" customWidth="1"/>
    <col min="10" max="10" width="7.7109375" style="1" customWidth="1"/>
    <col min="11" max="11" width="9" style="1" customWidth="1"/>
    <col min="12" max="12" width="8.85546875" style="1" customWidth="1"/>
    <col min="13" max="13" width="11.5703125" style="1" customWidth="1"/>
    <col min="14" max="14" width="14.42578125" style="1" customWidth="1"/>
    <col min="15" max="15" width="11.7109375" style="1" customWidth="1"/>
    <col min="16" max="16" width="13" style="1" customWidth="1"/>
    <col min="17" max="17" width="14" style="1" customWidth="1"/>
    <col min="18" max="18" width="13.28515625" style="1" customWidth="1"/>
    <col min="19" max="20" width="14" style="1" customWidth="1"/>
    <col min="21" max="21" width="12.28515625" style="1" customWidth="1"/>
    <col min="22" max="22" width="14.140625" style="1" customWidth="1"/>
    <col min="23" max="23" width="11.7109375" style="1" customWidth="1"/>
    <col min="24" max="24" width="14.28515625" style="1" customWidth="1"/>
    <col min="25" max="25" width="14" style="1" customWidth="1"/>
    <col min="26" max="26" width="15" style="1" customWidth="1"/>
    <col min="27" max="27" width="12.85546875" style="1" customWidth="1"/>
    <col min="28" max="28" width="16.85546875" style="1" customWidth="1"/>
    <col min="29" max="30" width="13.28515625" style="1" customWidth="1"/>
    <col min="31" max="31" width="12.28515625" style="1" customWidth="1"/>
    <col min="32" max="32" width="14.5703125" style="1" customWidth="1"/>
    <col min="33" max="34" width="14.5703125" style="1" hidden="1" customWidth="1"/>
    <col min="35" max="35" width="10" style="1" hidden="1" customWidth="1"/>
    <col min="36" max="36" width="14.5703125" style="1" hidden="1" customWidth="1"/>
    <col min="37" max="38" width="14.140625" style="1" customWidth="1"/>
    <col min="39" max="39" width="12.28515625" style="1" customWidth="1"/>
    <col min="40" max="40" width="16.5703125" style="1" customWidth="1"/>
    <col min="41" max="16384" width="9.140625" style="1"/>
  </cols>
  <sheetData>
    <row r="1" spans="1:40" x14ac:dyDescent="0.25">
      <c r="P1" s="65" t="s">
        <v>198</v>
      </c>
      <c r="Q1" s="65"/>
      <c r="R1" s="65"/>
    </row>
    <row r="2" spans="1:40" x14ac:dyDescent="0.25">
      <c r="P2" s="65"/>
      <c r="Q2" s="65"/>
      <c r="R2" s="65"/>
    </row>
    <row r="3" spans="1:40" x14ac:dyDescent="0.25">
      <c r="P3" s="65"/>
      <c r="Q3" s="65"/>
      <c r="R3" s="65"/>
    </row>
    <row r="4" spans="1:40" ht="39.75" customHeight="1" x14ac:dyDescent="0.25">
      <c r="A4" s="64" t="s">
        <v>197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48"/>
      <c r="T4" s="48"/>
    </row>
    <row r="5" spans="1:40" x14ac:dyDescent="0.25">
      <c r="A5" s="49">
        <v>10</v>
      </c>
    </row>
    <row r="6" spans="1:40" ht="56.25" customHeight="1" x14ac:dyDescent="0.25">
      <c r="A6" s="66" t="s">
        <v>0</v>
      </c>
      <c r="B6" s="66" t="s">
        <v>1</v>
      </c>
      <c r="C6" s="68" t="s">
        <v>2</v>
      </c>
      <c r="D6" s="69" t="s">
        <v>3</v>
      </c>
      <c r="E6" s="70" t="s">
        <v>4</v>
      </c>
      <c r="F6" s="53" t="s">
        <v>5</v>
      </c>
      <c r="G6" s="53" t="s">
        <v>6</v>
      </c>
      <c r="H6" s="53" t="s">
        <v>7</v>
      </c>
      <c r="I6" s="53"/>
      <c r="J6" s="53"/>
      <c r="K6" s="53"/>
      <c r="L6" s="53"/>
      <c r="M6" s="58" t="s">
        <v>8</v>
      </c>
      <c r="N6" s="59"/>
      <c r="O6" s="58" t="s">
        <v>9</v>
      </c>
      <c r="P6" s="59"/>
      <c r="Q6" s="58" t="s">
        <v>10</v>
      </c>
      <c r="R6" s="59"/>
      <c r="S6" s="58" t="s">
        <v>11</v>
      </c>
      <c r="T6" s="59"/>
      <c r="U6" s="58" t="s">
        <v>12</v>
      </c>
      <c r="V6" s="59"/>
      <c r="W6" s="58" t="s">
        <v>13</v>
      </c>
      <c r="X6" s="59"/>
      <c r="Y6" s="58" t="s">
        <v>14</v>
      </c>
      <c r="Z6" s="59"/>
      <c r="AA6" s="58" t="s">
        <v>15</v>
      </c>
      <c r="AB6" s="59"/>
      <c r="AC6" s="58" t="s">
        <v>16</v>
      </c>
      <c r="AD6" s="59"/>
      <c r="AE6" s="55" t="s">
        <v>17</v>
      </c>
      <c r="AF6" s="56"/>
      <c r="AG6" s="2"/>
      <c r="AH6" s="2"/>
      <c r="AI6" s="55" t="s">
        <v>17</v>
      </c>
      <c r="AJ6" s="56"/>
      <c r="AK6" s="55" t="s">
        <v>18</v>
      </c>
      <c r="AL6" s="56"/>
      <c r="AM6" s="58" t="s">
        <v>19</v>
      </c>
      <c r="AN6" s="59"/>
    </row>
    <row r="7" spans="1:40" ht="21" customHeight="1" x14ac:dyDescent="0.25">
      <c r="A7" s="66"/>
      <c r="B7" s="66"/>
      <c r="C7" s="68"/>
      <c r="D7" s="69"/>
      <c r="E7" s="70"/>
      <c r="F7" s="53"/>
      <c r="G7" s="53"/>
      <c r="H7" s="50" t="s">
        <v>33</v>
      </c>
      <c r="I7" s="50"/>
      <c r="J7" s="50"/>
      <c r="K7" s="50"/>
      <c r="L7" s="51" t="s">
        <v>34</v>
      </c>
      <c r="M7" s="61" t="s">
        <v>20</v>
      </c>
      <c r="N7" s="62"/>
      <c r="O7" s="61" t="s">
        <v>21</v>
      </c>
      <c r="P7" s="62"/>
      <c r="Q7" s="61" t="s">
        <v>22</v>
      </c>
      <c r="R7" s="62"/>
      <c r="S7" s="61" t="s">
        <v>23</v>
      </c>
      <c r="T7" s="62"/>
      <c r="U7" s="61" t="s">
        <v>24</v>
      </c>
      <c r="V7" s="62"/>
      <c r="W7" s="61" t="s">
        <v>25</v>
      </c>
      <c r="X7" s="62"/>
      <c r="Y7" s="61">
        <v>2101011</v>
      </c>
      <c r="Z7" s="62"/>
      <c r="AA7" s="61" t="s">
        <v>26</v>
      </c>
      <c r="AB7" s="62"/>
      <c r="AC7" s="61" t="s">
        <v>27</v>
      </c>
      <c r="AD7" s="62"/>
      <c r="AE7" s="61" t="s">
        <v>28</v>
      </c>
      <c r="AF7" s="62"/>
      <c r="AG7" s="3"/>
      <c r="AH7" s="3"/>
      <c r="AI7" s="3" t="s">
        <v>29</v>
      </c>
      <c r="AJ7" s="3" t="s">
        <v>30</v>
      </c>
      <c r="AK7" s="61" t="s">
        <v>31</v>
      </c>
      <c r="AL7" s="62"/>
      <c r="AM7" s="63" t="s">
        <v>32</v>
      </c>
      <c r="AN7" s="63"/>
    </row>
    <row r="8" spans="1:40" ht="21.75" customHeight="1" x14ac:dyDescent="0.25">
      <c r="A8" s="66"/>
      <c r="B8" s="66"/>
      <c r="C8" s="68"/>
      <c r="D8" s="69"/>
      <c r="E8" s="70"/>
      <c r="F8" s="53"/>
      <c r="G8" s="53"/>
      <c r="H8" s="50"/>
      <c r="I8" s="50"/>
      <c r="J8" s="50"/>
      <c r="K8" s="50"/>
      <c r="L8" s="52"/>
      <c r="M8" s="58" t="s">
        <v>35</v>
      </c>
      <c r="N8" s="59"/>
      <c r="O8" s="58" t="s">
        <v>36</v>
      </c>
      <c r="P8" s="59"/>
      <c r="Q8" s="58" t="s">
        <v>36</v>
      </c>
      <c r="R8" s="59"/>
      <c r="S8" s="58" t="s">
        <v>36</v>
      </c>
      <c r="T8" s="59"/>
      <c r="U8" s="58" t="s">
        <v>36</v>
      </c>
      <c r="V8" s="59"/>
      <c r="W8" s="58" t="s">
        <v>37</v>
      </c>
      <c r="X8" s="59"/>
      <c r="Y8" s="58" t="s">
        <v>37</v>
      </c>
      <c r="Z8" s="59"/>
      <c r="AA8" s="58" t="s">
        <v>38</v>
      </c>
      <c r="AB8" s="59"/>
      <c r="AC8" s="58" t="s">
        <v>38</v>
      </c>
      <c r="AD8" s="59"/>
      <c r="AE8" s="55" t="s">
        <v>38</v>
      </c>
      <c r="AF8" s="56"/>
      <c r="AG8" s="2"/>
      <c r="AH8" s="2"/>
      <c r="AI8" s="2"/>
      <c r="AJ8" s="2"/>
      <c r="AK8" s="58" t="s">
        <v>39</v>
      </c>
      <c r="AL8" s="59"/>
      <c r="AM8" s="60" t="s">
        <v>39</v>
      </c>
      <c r="AN8" s="60"/>
    </row>
    <row r="9" spans="1:40" ht="24" customHeight="1" x14ac:dyDescent="0.25">
      <c r="A9" s="66"/>
      <c r="B9" s="66"/>
      <c r="C9" s="68"/>
      <c r="D9" s="69"/>
      <c r="E9" s="70"/>
      <c r="F9" s="53"/>
      <c r="G9" s="53"/>
      <c r="H9" s="54" t="s">
        <v>40</v>
      </c>
      <c r="I9" s="54" t="s">
        <v>41</v>
      </c>
      <c r="J9" s="54" t="s">
        <v>42</v>
      </c>
      <c r="K9" s="54" t="s">
        <v>43</v>
      </c>
      <c r="L9" s="54" t="s">
        <v>44</v>
      </c>
      <c r="M9" s="55">
        <v>2016</v>
      </c>
      <c r="N9" s="56"/>
      <c r="O9" s="55">
        <v>2016</v>
      </c>
      <c r="P9" s="56"/>
      <c r="Q9" s="55">
        <v>2016</v>
      </c>
      <c r="R9" s="56"/>
      <c r="S9" s="55">
        <v>2016</v>
      </c>
      <c r="T9" s="56"/>
      <c r="U9" s="55">
        <v>2016</v>
      </c>
      <c r="V9" s="56"/>
      <c r="W9" s="55">
        <v>2016</v>
      </c>
      <c r="X9" s="56"/>
      <c r="Y9" s="55">
        <v>2016</v>
      </c>
      <c r="Z9" s="56"/>
      <c r="AA9" s="55">
        <v>2016</v>
      </c>
      <c r="AB9" s="56"/>
      <c r="AC9" s="55">
        <v>2016</v>
      </c>
      <c r="AD9" s="56"/>
      <c r="AE9" s="55">
        <v>2016</v>
      </c>
      <c r="AF9" s="56"/>
      <c r="AG9" s="2"/>
      <c r="AH9" s="2"/>
      <c r="AI9" s="2"/>
      <c r="AJ9" s="2"/>
      <c r="AK9" s="55">
        <v>2016</v>
      </c>
      <c r="AL9" s="56"/>
      <c r="AM9" s="57">
        <v>2016</v>
      </c>
      <c r="AN9" s="57"/>
    </row>
    <row r="10" spans="1:40" ht="34.5" customHeight="1" x14ac:dyDescent="0.25">
      <c r="A10" s="67"/>
      <c r="B10" s="67"/>
      <c r="C10" s="68"/>
      <c r="D10" s="69"/>
      <c r="E10" s="70"/>
      <c r="F10" s="53"/>
      <c r="G10" s="53"/>
      <c r="H10" s="54"/>
      <c r="I10" s="54"/>
      <c r="J10" s="54"/>
      <c r="K10" s="54"/>
      <c r="L10" s="54"/>
      <c r="M10" s="4" t="s">
        <v>45</v>
      </c>
      <c r="N10" s="4" t="s">
        <v>46</v>
      </c>
      <c r="O10" s="4" t="s">
        <v>45</v>
      </c>
      <c r="P10" s="4" t="s">
        <v>46</v>
      </c>
      <c r="Q10" s="4" t="s">
        <v>45</v>
      </c>
      <c r="R10" s="4" t="s">
        <v>46</v>
      </c>
      <c r="S10" s="4" t="s">
        <v>45</v>
      </c>
      <c r="T10" s="4" t="s">
        <v>46</v>
      </c>
      <c r="U10" s="4" t="s">
        <v>45</v>
      </c>
      <c r="V10" s="4" t="s">
        <v>46</v>
      </c>
      <c r="W10" s="4" t="s">
        <v>45</v>
      </c>
      <c r="X10" s="4" t="s">
        <v>46</v>
      </c>
      <c r="Y10" s="4" t="s">
        <v>45</v>
      </c>
      <c r="Z10" s="4" t="s">
        <v>46</v>
      </c>
      <c r="AA10" s="4" t="s">
        <v>45</v>
      </c>
      <c r="AB10" s="4" t="s">
        <v>46</v>
      </c>
      <c r="AC10" s="4" t="s">
        <v>45</v>
      </c>
      <c r="AD10" s="4" t="s">
        <v>46</v>
      </c>
      <c r="AE10" s="4" t="s">
        <v>45</v>
      </c>
      <c r="AF10" s="4" t="s">
        <v>46</v>
      </c>
      <c r="AG10" s="4"/>
      <c r="AH10" s="4"/>
      <c r="AI10" s="4"/>
      <c r="AJ10" s="4"/>
      <c r="AK10" s="4" t="s">
        <v>45</v>
      </c>
      <c r="AL10" s="4" t="s">
        <v>46</v>
      </c>
      <c r="AM10" s="5" t="s">
        <v>45</v>
      </c>
      <c r="AN10" s="5" t="s">
        <v>46</v>
      </c>
    </row>
    <row r="11" spans="1:40" x14ac:dyDescent="0.25">
      <c r="A11" s="26"/>
      <c r="B11" s="6" t="s">
        <v>47</v>
      </c>
      <c r="C11" s="44" t="s">
        <v>48</v>
      </c>
      <c r="D11" s="7"/>
      <c r="E11" s="7"/>
      <c r="F11" s="46"/>
      <c r="G11" s="46"/>
      <c r="H11" s="47"/>
      <c r="I11" s="47"/>
      <c r="J11" s="47"/>
      <c r="K11" s="47"/>
      <c r="L11" s="47"/>
      <c r="M11" s="8"/>
      <c r="N11" s="8">
        <v>1.01</v>
      </c>
      <c r="O11" s="8"/>
      <c r="P11" s="8">
        <v>1</v>
      </c>
      <c r="Q11" s="8"/>
      <c r="R11" s="8">
        <v>1</v>
      </c>
      <c r="S11" s="8"/>
      <c r="T11" s="8">
        <v>1</v>
      </c>
      <c r="U11" s="8"/>
      <c r="V11" s="8">
        <v>1</v>
      </c>
      <c r="W11" s="8"/>
      <c r="X11" s="8">
        <v>1</v>
      </c>
      <c r="Y11" s="8"/>
      <c r="Z11" s="8">
        <v>1</v>
      </c>
      <c r="AA11" s="8"/>
      <c r="AB11" s="8">
        <v>1.036</v>
      </c>
      <c r="AC11" s="8"/>
      <c r="AD11" s="8">
        <v>1.01</v>
      </c>
      <c r="AE11" s="8"/>
      <c r="AF11" s="8">
        <v>1.01</v>
      </c>
      <c r="AG11" s="8"/>
      <c r="AH11" s="8"/>
      <c r="AI11" s="8"/>
      <c r="AJ11" s="8"/>
      <c r="AK11" s="8"/>
      <c r="AL11" s="8">
        <v>1.1000000000000001</v>
      </c>
      <c r="AM11" s="9"/>
      <c r="AN11" s="9">
        <v>1.3</v>
      </c>
    </row>
    <row r="12" spans="1:40" x14ac:dyDescent="0.25">
      <c r="A12" s="26"/>
      <c r="B12" s="6"/>
      <c r="C12" s="44" t="s">
        <v>49</v>
      </c>
      <c r="D12" s="26"/>
      <c r="E12" s="26"/>
      <c r="F12" s="10"/>
      <c r="G12" s="10"/>
      <c r="H12" s="10"/>
      <c r="I12" s="11"/>
      <c r="J12" s="11"/>
      <c r="K12" s="11"/>
      <c r="L12" s="12"/>
      <c r="M12" s="8"/>
      <c r="N12" s="13">
        <v>1.01</v>
      </c>
      <c r="O12" s="8"/>
      <c r="P12" s="13">
        <v>0.9</v>
      </c>
      <c r="Q12" s="8"/>
      <c r="R12" s="13">
        <v>0.9</v>
      </c>
      <c r="S12" s="8"/>
      <c r="T12" s="13">
        <v>0.9</v>
      </c>
      <c r="U12" s="8"/>
      <c r="V12" s="13">
        <v>0.9</v>
      </c>
      <c r="W12" s="8"/>
      <c r="X12" s="13">
        <v>1</v>
      </c>
      <c r="Y12" s="8"/>
      <c r="Z12" s="13">
        <v>1</v>
      </c>
      <c r="AA12" s="8"/>
      <c r="AB12" s="13">
        <v>1.1000000000000001</v>
      </c>
      <c r="AC12" s="8"/>
      <c r="AD12" s="13">
        <v>1.1000000000000001</v>
      </c>
      <c r="AE12" s="8"/>
      <c r="AF12" s="13">
        <v>1.1000000000000001</v>
      </c>
      <c r="AG12" s="13"/>
      <c r="AH12" s="13"/>
      <c r="AI12" s="13"/>
      <c r="AJ12" s="13"/>
      <c r="AK12" s="8"/>
      <c r="AL12" s="13">
        <v>1.5</v>
      </c>
      <c r="AM12" s="9"/>
      <c r="AN12" s="30">
        <v>1.5</v>
      </c>
    </row>
    <row r="13" spans="1:40" x14ac:dyDescent="0.25">
      <c r="A13" s="40"/>
      <c r="B13" s="6"/>
      <c r="C13" s="44" t="s">
        <v>50</v>
      </c>
      <c r="D13" s="26"/>
      <c r="E13" s="26"/>
      <c r="F13" s="10"/>
      <c r="G13" s="10"/>
      <c r="H13" s="10"/>
      <c r="I13" s="11"/>
      <c r="J13" s="11"/>
      <c r="K13" s="11"/>
      <c r="L13" s="12"/>
      <c r="M13" s="8"/>
      <c r="N13" s="13"/>
      <c r="O13" s="8"/>
      <c r="P13" s="13">
        <v>0.8</v>
      </c>
      <c r="Q13" s="8"/>
      <c r="R13" s="13">
        <v>0.8</v>
      </c>
      <c r="S13" s="8"/>
      <c r="T13" s="13">
        <v>0.8</v>
      </c>
      <c r="U13" s="8"/>
      <c r="V13" s="13">
        <v>1.1000000000000001</v>
      </c>
      <c r="W13" s="8"/>
      <c r="X13" s="13">
        <v>1.1000000000000001</v>
      </c>
      <c r="Y13" s="8"/>
      <c r="Z13" s="13">
        <v>0.8</v>
      </c>
      <c r="AA13" s="8"/>
      <c r="AB13" s="13"/>
      <c r="AC13" s="8"/>
      <c r="AD13" s="13"/>
      <c r="AE13" s="8"/>
      <c r="AF13" s="13"/>
      <c r="AG13" s="13"/>
      <c r="AH13" s="13"/>
      <c r="AI13" s="13"/>
      <c r="AJ13" s="13"/>
      <c r="AK13" s="8"/>
      <c r="AL13" s="13"/>
      <c r="AM13" s="9"/>
      <c r="AN13" s="30"/>
    </row>
    <row r="14" spans="1:40" x14ac:dyDescent="0.25">
      <c r="A14" s="31">
        <v>1</v>
      </c>
      <c r="B14" s="31"/>
      <c r="C14" s="32" t="s">
        <v>51</v>
      </c>
      <c r="D14" s="7"/>
      <c r="E14" s="7"/>
      <c r="F14" s="10">
        <v>0.5</v>
      </c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</row>
    <row r="15" spans="1:40" x14ac:dyDescent="0.25">
      <c r="A15" s="31">
        <v>2</v>
      </c>
      <c r="B15" s="31"/>
      <c r="C15" s="32" t="s">
        <v>52</v>
      </c>
      <c r="D15" s="7"/>
      <c r="E15" s="7"/>
      <c r="F15" s="10">
        <v>0.8</v>
      </c>
      <c r="G15" s="10"/>
      <c r="H15" s="10"/>
      <c r="I15" s="10"/>
      <c r="J15" s="10"/>
      <c r="K15" s="10"/>
      <c r="L15" s="10"/>
      <c r="M15" s="10">
        <f t="shared" ref="M15:T15" si="0">SUM(M16:M21)</f>
        <v>0</v>
      </c>
      <c r="N15" s="10">
        <f t="shared" si="0"/>
        <v>0</v>
      </c>
      <c r="O15" s="10">
        <f t="shared" si="0"/>
        <v>0</v>
      </c>
      <c r="P15" s="10">
        <f t="shared" si="0"/>
        <v>0</v>
      </c>
      <c r="Q15" s="10">
        <f t="shared" si="0"/>
        <v>0</v>
      </c>
      <c r="R15" s="10">
        <f t="shared" si="0"/>
        <v>0</v>
      </c>
      <c r="S15" s="10">
        <f t="shared" si="0"/>
        <v>0</v>
      </c>
      <c r="T15" s="10">
        <f t="shared" si="0"/>
        <v>0</v>
      </c>
      <c r="U15" s="10">
        <f t="shared" ref="U15:AN15" si="1">SUM(U16:U21)</f>
        <v>79</v>
      </c>
      <c r="V15" s="10">
        <f t="shared" si="1"/>
        <v>1143455.1655799998</v>
      </c>
      <c r="W15" s="10">
        <f t="shared" si="1"/>
        <v>0</v>
      </c>
      <c r="X15" s="10">
        <f t="shared" si="1"/>
        <v>0</v>
      </c>
      <c r="Y15" s="10">
        <f t="shared" si="1"/>
        <v>891</v>
      </c>
      <c r="Z15" s="10">
        <f t="shared" si="1"/>
        <v>8682572.1497666668</v>
      </c>
      <c r="AA15" s="10">
        <f t="shared" si="1"/>
        <v>0</v>
      </c>
      <c r="AB15" s="10">
        <f t="shared" si="1"/>
        <v>0</v>
      </c>
      <c r="AC15" s="10">
        <f t="shared" si="1"/>
        <v>0</v>
      </c>
      <c r="AD15" s="10">
        <f t="shared" si="1"/>
        <v>0</v>
      </c>
      <c r="AE15" s="10">
        <f t="shared" si="1"/>
        <v>51</v>
      </c>
      <c r="AF15" s="10">
        <f t="shared" si="1"/>
        <v>526789.27346499998</v>
      </c>
      <c r="AG15" s="10">
        <f t="shared" si="1"/>
        <v>105</v>
      </c>
      <c r="AH15" s="10">
        <f t="shared" si="1"/>
        <v>346.75324675324674</v>
      </c>
      <c r="AI15" s="10">
        <f t="shared" si="1"/>
        <v>35</v>
      </c>
      <c r="AJ15" s="10">
        <f t="shared" si="1"/>
        <v>356716.18000000005</v>
      </c>
      <c r="AK15" s="10">
        <v>0</v>
      </c>
      <c r="AL15" s="10">
        <v>0</v>
      </c>
      <c r="AM15" s="10">
        <f t="shared" ref="AM15" si="2">SUM(AM16:AM21)</f>
        <v>0</v>
      </c>
      <c r="AN15" s="10">
        <f t="shared" si="1"/>
        <v>0</v>
      </c>
    </row>
    <row r="16" spans="1:40" ht="42" customHeight="1" x14ac:dyDescent="0.25">
      <c r="A16" s="31"/>
      <c r="B16" s="6">
        <v>1</v>
      </c>
      <c r="C16" s="14" t="s">
        <v>53</v>
      </c>
      <c r="D16" s="15">
        <v>10127</v>
      </c>
      <c r="E16" s="15">
        <v>10127</v>
      </c>
      <c r="F16" s="16">
        <v>0.83</v>
      </c>
      <c r="G16" s="22">
        <v>1</v>
      </c>
      <c r="H16" s="15">
        <v>1.4</v>
      </c>
      <c r="I16" s="15">
        <v>1.68</v>
      </c>
      <c r="J16" s="15">
        <v>2.23</v>
      </c>
      <c r="K16" s="15">
        <v>2.39</v>
      </c>
      <c r="L16" s="17">
        <v>2.57</v>
      </c>
      <c r="M16" s="18"/>
      <c r="N16" s="19">
        <f t="shared" ref="N16:N21" si="3">(M16/12*1*$D16*$F16*$G16*$I16*N$11)+(M16/12*11*$E16*$F16*$G16*$I16*N$12)</f>
        <v>0</v>
      </c>
      <c r="O16" s="18"/>
      <c r="P16" s="19">
        <f>(O16/12*1*$D16*$F16*$G16*$H16*P$11)+(O16/12*4*$E16*$F16*$G16*$H16*P$12)+(O16/12*7*$E16*$F16*$G16*$H16*P$13)</f>
        <v>0</v>
      </c>
      <c r="Q16" s="18"/>
      <c r="R16" s="19">
        <f>(Q16/12*1*$D16*$F16*$G16*$H16*R$11)+(Q16/12*4*$E16*$F16*$G16*$H16*R$12)+(Q16/12*7*$E16*$F16*$G16*$H16*R$13)</f>
        <v>0</v>
      </c>
      <c r="S16" s="18"/>
      <c r="T16" s="19">
        <f>(S16/12*1*$D16*$F16*$G16*$H16*T$11)+(S16/12*4*$E16*$F16*$G16*$H16*T$12)+(S16/12*7*$E16*$F16*$G16*$H16*T$13)</f>
        <v>0</v>
      </c>
      <c r="U16" s="18">
        <v>79</v>
      </c>
      <c r="V16" s="19">
        <f>(U16/12*1*$D16*$F16*$G16*$I16*V$11)+(U16/12*4*$E16*$F16*$G16*$I16*V$12)+(U16/12*7*$E16*$F16*$G16*$I16*V$13)</f>
        <v>1143455.1655799998</v>
      </c>
      <c r="W16" s="18"/>
      <c r="X16" s="19">
        <f>(W16/12*1*$D16*$F16*$G16*$I16*X$11)+(W16/12*4*$E16*$F16*$G16*$I16*X$12)+(W16/12*7*$E16*$F16*$G16*$I16*X$13)</f>
        <v>0</v>
      </c>
      <c r="Y16" s="18">
        <v>619</v>
      </c>
      <c r="Z16" s="19">
        <f>(Y16/12*1*$D16*$F16*$G16*$H16*Z$11)+(Y16/12*4*$E16*$F16*$G16*$H16*Z$12)+(Y16/12*7*$E16*$F16*$G16*$H16*Z$13)</f>
        <v>6434313.3369666664</v>
      </c>
      <c r="AA16" s="18"/>
      <c r="AB16" s="19">
        <f>(AA16/12*1*$D16*$F16*$G16*$I16*AB$11)+(AA16/12*11*$E16*$F16*$G16*$I16*AB$12)</f>
        <v>0</v>
      </c>
      <c r="AC16" s="18"/>
      <c r="AD16" s="19">
        <f t="shared" ref="AD16:AD21" si="4">(AC16/12*1*$D16*$F16*$G16*$H16*AD$11)+(AC16/12*11*$E16*$F16*$G16*$H16*AD$12)</f>
        <v>0</v>
      </c>
      <c r="AE16" s="18"/>
      <c r="AF16" s="19">
        <f t="shared" ref="AF16:AF21" si="5">(AE16/12*1*$D16*$F16*$G16*$H16*AF$11)+(AE16/12*11*$E16*$F16*$G16*$H16*AF$12)</f>
        <v>0</v>
      </c>
      <c r="AG16" s="19"/>
      <c r="AH16" s="19"/>
      <c r="AI16" s="19">
        <v>0</v>
      </c>
      <c r="AJ16" s="19">
        <v>0</v>
      </c>
      <c r="AK16" s="18"/>
      <c r="AL16" s="19">
        <v>0</v>
      </c>
      <c r="AM16" s="18"/>
      <c r="AN16" s="19">
        <f t="shared" ref="AN16:AN21" si="6">(AM16/12*1*$D16*$F16*$G16*$I16*AN$11)+(AM16/12*11*$E16*$F16*$G16*$I16*AN$12)</f>
        <v>0</v>
      </c>
    </row>
    <row r="17" spans="1:40" ht="25.5" customHeight="1" x14ac:dyDescent="0.25">
      <c r="A17" s="31"/>
      <c r="B17" s="6">
        <v>2</v>
      </c>
      <c r="C17" s="14" t="s">
        <v>54</v>
      </c>
      <c r="D17" s="15">
        <f>D16</f>
        <v>10127</v>
      </c>
      <c r="E17" s="15">
        <v>10127</v>
      </c>
      <c r="F17" s="16">
        <v>0.66</v>
      </c>
      <c r="G17" s="22">
        <v>1</v>
      </c>
      <c r="H17" s="15">
        <v>1.4</v>
      </c>
      <c r="I17" s="15">
        <v>1.68</v>
      </c>
      <c r="J17" s="15">
        <v>2.23</v>
      </c>
      <c r="K17" s="15">
        <v>2.39</v>
      </c>
      <c r="L17" s="17">
        <v>2.57</v>
      </c>
      <c r="M17" s="18"/>
      <c r="N17" s="19">
        <f t="shared" si="3"/>
        <v>0</v>
      </c>
      <c r="O17" s="18"/>
      <c r="P17" s="19">
        <f t="shared" ref="P17:P80" si="7">(O17/12*1*$D17*$F17*$G17*$H17*P$11)+(O17/12*4*$E17*$F17*$G17*$H17*P$12)+(O17/12*7*$E17*$F17*$G17*$H17*P$13)</f>
        <v>0</v>
      </c>
      <c r="Q17" s="18"/>
      <c r="R17" s="19">
        <f t="shared" ref="R17:R80" si="8">(Q17/12*1*$D17*$F17*$G17*$H17*R$11)+(Q17/12*4*$E17*$F17*$G17*$H17*R$12)+(Q17/12*7*$E17*$F17*$G17*$H17*R$13)</f>
        <v>0</v>
      </c>
      <c r="S17" s="18"/>
      <c r="T17" s="19">
        <f t="shared" ref="T17:T80" si="9">(S17/12*1*$D17*$F17*$G17*$H17*T$11)+(S17/12*4*$E17*$F17*$G17*$H17*T$12)+(S17/12*7*$E17*$F17*$G17*$H17*T$13)</f>
        <v>0</v>
      </c>
      <c r="U17" s="18"/>
      <c r="V17" s="19">
        <f t="shared" ref="V17:V21" si="10">(U17/12*1*$D17*$F17*$G17*$I17*V$11)+(U17/12*4*$E17*$F17*$G17*$I17*V$12)+(U17/12*7*$E17*$F17*$G17*$I17*V$13)</f>
        <v>0</v>
      </c>
      <c r="W17" s="18"/>
      <c r="X17" s="19">
        <f t="shared" ref="X17:X21" si="11">(W17/12*1*$D17*$F17*$G17*$I17*X$11)+(W17/12*4*$E17*$F17*$G17*$I17*X$12)+(W17/12*7*$E17*$F17*$G17*$I17*X$13)</f>
        <v>0</v>
      </c>
      <c r="Y17" s="18">
        <v>272</v>
      </c>
      <c r="Z17" s="19">
        <f t="shared" ref="Z17:Z80" si="12">(Y17/12*1*$D17*$F17*$G17*$H17*Z$11)+(Y17/12*4*$E17*$F17*$G17*$H17*Z$12)+(Y17/12*7*$E17*$F17*$G17*$H17*Z$13)</f>
        <v>2248258.8128000004</v>
      </c>
      <c r="AA17" s="18"/>
      <c r="AB17" s="19">
        <f t="shared" ref="AB17:AB21" si="13">(AA17/12*1*$D17*$F17*$G17*$I17*AB$11)+(AA17/12*11*$E17*$F17*$G17*$I17*AB$12)</f>
        <v>0</v>
      </c>
      <c r="AC17" s="18"/>
      <c r="AD17" s="19">
        <f t="shared" si="4"/>
        <v>0</v>
      </c>
      <c r="AE17" s="18">
        <f>83-39</f>
        <v>44</v>
      </c>
      <c r="AF17" s="19">
        <f t="shared" si="5"/>
        <v>449807.71836</v>
      </c>
      <c r="AG17" s="19">
        <f>AI17/4*12</f>
        <v>96</v>
      </c>
      <c r="AH17" s="20">
        <f>AG17/AE17*100</f>
        <v>218.18181818181816</v>
      </c>
      <c r="AI17" s="19">
        <v>32</v>
      </c>
      <c r="AJ17" s="19">
        <v>323496.28000000003</v>
      </c>
      <c r="AK17" s="18"/>
      <c r="AL17" s="19">
        <v>0</v>
      </c>
      <c r="AM17" s="18"/>
      <c r="AN17" s="19">
        <f t="shared" si="6"/>
        <v>0</v>
      </c>
    </row>
    <row r="18" spans="1:40" ht="30" x14ac:dyDescent="0.25">
      <c r="A18" s="31"/>
      <c r="B18" s="6">
        <v>3</v>
      </c>
      <c r="C18" s="14" t="s">
        <v>55</v>
      </c>
      <c r="D18" s="15">
        <f t="shared" ref="D18:D81" si="14">D17</f>
        <v>10127</v>
      </c>
      <c r="E18" s="15">
        <v>10127</v>
      </c>
      <c r="F18" s="21">
        <v>0.71</v>
      </c>
      <c r="G18" s="22">
        <v>1</v>
      </c>
      <c r="H18" s="15">
        <v>1.4</v>
      </c>
      <c r="I18" s="15">
        <v>1.68</v>
      </c>
      <c r="J18" s="15">
        <v>2.23</v>
      </c>
      <c r="K18" s="15">
        <v>2.39</v>
      </c>
      <c r="L18" s="17">
        <v>2.57</v>
      </c>
      <c r="M18" s="18"/>
      <c r="N18" s="19">
        <f t="shared" si="3"/>
        <v>0</v>
      </c>
      <c r="O18" s="18"/>
      <c r="P18" s="19">
        <f t="shared" si="7"/>
        <v>0</v>
      </c>
      <c r="Q18" s="18"/>
      <c r="R18" s="19">
        <f t="shared" si="8"/>
        <v>0</v>
      </c>
      <c r="S18" s="18"/>
      <c r="T18" s="19">
        <f t="shared" si="9"/>
        <v>0</v>
      </c>
      <c r="U18" s="18"/>
      <c r="V18" s="19">
        <f t="shared" si="10"/>
        <v>0</v>
      </c>
      <c r="W18" s="18"/>
      <c r="X18" s="19">
        <f t="shared" si="11"/>
        <v>0</v>
      </c>
      <c r="Y18" s="18"/>
      <c r="Z18" s="19">
        <f t="shared" si="12"/>
        <v>0</v>
      </c>
      <c r="AA18" s="18"/>
      <c r="AB18" s="19">
        <f t="shared" si="13"/>
        <v>0</v>
      </c>
      <c r="AC18" s="18"/>
      <c r="AD18" s="19">
        <f t="shared" si="4"/>
        <v>0</v>
      </c>
      <c r="AE18" s="18">
        <f>10-3</f>
        <v>7</v>
      </c>
      <c r="AF18" s="19">
        <f t="shared" si="5"/>
        <v>76981.555104999992</v>
      </c>
      <c r="AG18" s="19">
        <f t="shared" ref="AG18:AG81" si="15">AI18/4*12</f>
        <v>9</v>
      </c>
      <c r="AH18" s="20">
        <f t="shared" ref="AH18:AH81" si="16">AG18/AE18*100</f>
        <v>128.57142857142858</v>
      </c>
      <c r="AI18" s="19">
        <v>3</v>
      </c>
      <c r="AJ18" s="19">
        <v>33219.899999999994</v>
      </c>
      <c r="AK18" s="18"/>
      <c r="AL18" s="19">
        <v>0</v>
      </c>
      <c r="AM18" s="18"/>
      <c r="AN18" s="19">
        <f t="shared" si="6"/>
        <v>0</v>
      </c>
    </row>
    <row r="19" spans="1:40" ht="30" x14ac:dyDescent="0.25">
      <c r="A19" s="31"/>
      <c r="B19" s="6">
        <v>4</v>
      </c>
      <c r="C19" s="14" t="s">
        <v>56</v>
      </c>
      <c r="D19" s="15">
        <f t="shared" si="14"/>
        <v>10127</v>
      </c>
      <c r="E19" s="15">
        <v>10127</v>
      </c>
      <c r="F19" s="21">
        <v>1.06</v>
      </c>
      <c r="G19" s="22">
        <v>1</v>
      </c>
      <c r="H19" s="15">
        <v>1.4</v>
      </c>
      <c r="I19" s="15">
        <v>1.68</v>
      </c>
      <c r="J19" s="15">
        <v>2.23</v>
      </c>
      <c r="K19" s="15">
        <v>2.39</v>
      </c>
      <c r="L19" s="17">
        <v>2.57</v>
      </c>
      <c r="M19" s="18"/>
      <c r="N19" s="19">
        <f t="shared" si="3"/>
        <v>0</v>
      </c>
      <c r="O19" s="18"/>
      <c r="P19" s="19">
        <f t="shared" si="7"/>
        <v>0</v>
      </c>
      <c r="Q19" s="18"/>
      <c r="R19" s="19">
        <f t="shared" si="8"/>
        <v>0</v>
      </c>
      <c r="S19" s="18"/>
      <c r="T19" s="19">
        <f t="shared" si="9"/>
        <v>0</v>
      </c>
      <c r="U19" s="18"/>
      <c r="V19" s="19">
        <f t="shared" si="10"/>
        <v>0</v>
      </c>
      <c r="W19" s="18"/>
      <c r="X19" s="19">
        <f t="shared" si="11"/>
        <v>0</v>
      </c>
      <c r="Y19" s="18"/>
      <c r="Z19" s="19">
        <f t="shared" si="12"/>
        <v>0</v>
      </c>
      <c r="AA19" s="18"/>
      <c r="AB19" s="19">
        <f t="shared" si="13"/>
        <v>0</v>
      </c>
      <c r="AC19" s="18"/>
      <c r="AD19" s="19">
        <f t="shared" si="4"/>
        <v>0</v>
      </c>
      <c r="AE19" s="18"/>
      <c r="AF19" s="19">
        <f t="shared" si="5"/>
        <v>0</v>
      </c>
      <c r="AG19" s="19">
        <f t="shared" si="15"/>
        <v>0</v>
      </c>
      <c r="AH19" s="20"/>
      <c r="AI19" s="19">
        <v>0</v>
      </c>
      <c r="AJ19" s="19">
        <v>0</v>
      </c>
      <c r="AK19" s="18"/>
      <c r="AL19" s="19">
        <v>0</v>
      </c>
      <c r="AM19" s="18"/>
      <c r="AN19" s="19">
        <f t="shared" si="6"/>
        <v>0</v>
      </c>
    </row>
    <row r="20" spans="1:40" ht="30" x14ac:dyDescent="0.25">
      <c r="A20" s="31"/>
      <c r="B20" s="6">
        <v>6</v>
      </c>
      <c r="C20" s="23" t="s">
        <v>57</v>
      </c>
      <c r="D20" s="15">
        <f t="shared" si="14"/>
        <v>10127</v>
      </c>
      <c r="E20" s="15">
        <v>10127</v>
      </c>
      <c r="F20" s="16">
        <v>0.33</v>
      </c>
      <c r="G20" s="22">
        <v>1</v>
      </c>
      <c r="H20" s="15">
        <v>1.4</v>
      </c>
      <c r="I20" s="15">
        <v>1.68</v>
      </c>
      <c r="J20" s="15">
        <v>2.23</v>
      </c>
      <c r="K20" s="15">
        <v>2.39</v>
      </c>
      <c r="L20" s="17">
        <v>2.57</v>
      </c>
      <c r="M20" s="18"/>
      <c r="N20" s="19">
        <f t="shared" si="3"/>
        <v>0</v>
      </c>
      <c r="O20" s="18"/>
      <c r="P20" s="19">
        <f t="shared" si="7"/>
        <v>0</v>
      </c>
      <c r="Q20" s="18"/>
      <c r="R20" s="19">
        <f t="shared" si="8"/>
        <v>0</v>
      </c>
      <c r="S20" s="18"/>
      <c r="T20" s="19">
        <f t="shared" si="9"/>
        <v>0</v>
      </c>
      <c r="U20" s="18"/>
      <c r="V20" s="19">
        <f t="shared" si="10"/>
        <v>0</v>
      </c>
      <c r="W20" s="18"/>
      <c r="X20" s="19">
        <f t="shared" si="11"/>
        <v>0</v>
      </c>
      <c r="Y20" s="18"/>
      <c r="Z20" s="19">
        <f t="shared" si="12"/>
        <v>0</v>
      </c>
      <c r="AA20" s="18"/>
      <c r="AB20" s="19">
        <f t="shared" si="13"/>
        <v>0</v>
      </c>
      <c r="AC20" s="18"/>
      <c r="AD20" s="19">
        <f t="shared" si="4"/>
        <v>0</v>
      </c>
      <c r="AE20" s="18"/>
      <c r="AF20" s="19">
        <f t="shared" si="5"/>
        <v>0</v>
      </c>
      <c r="AG20" s="19">
        <f t="shared" si="15"/>
        <v>0</v>
      </c>
      <c r="AH20" s="20"/>
      <c r="AI20" s="19"/>
      <c r="AJ20" s="19"/>
      <c r="AK20" s="18"/>
      <c r="AL20" s="19">
        <v>0</v>
      </c>
      <c r="AM20" s="18"/>
      <c r="AN20" s="19">
        <f t="shared" si="6"/>
        <v>0</v>
      </c>
    </row>
    <row r="21" spans="1:40" x14ac:dyDescent="0.25">
      <c r="A21" s="31"/>
      <c r="B21" s="6">
        <v>7</v>
      </c>
      <c r="C21" s="14" t="s">
        <v>58</v>
      </c>
      <c r="D21" s="15">
        <f t="shared" si="14"/>
        <v>10127</v>
      </c>
      <c r="E21" s="15">
        <v>10127</v>
      </c>
      <c r="F21" s="15">
        <v>1.04</v>
      </c>
      <c r="G21" s="22">
        <v>1</v>
      </c>
      <c r="H21" s="15">
        <v>1.4</v>
      </c>
      <c r="I21" s="15">
        <v>1.68</v>
      </c>
      <c r="J21" s="15">
        <v>2.23</v>
      </c>
      <c r="K21" s="15">
        <v>2.39</v>
      </c>
      <c r="L21" s="17">
        <v>2.57</v>
      </c>
      <c r="M21" s="18"/>
      <c r="N21" s="19">
        <f t="shared" si="3"/>
        <v>0</v>
      </c>
      <c r="O21" s="18"/>
      <c r="P21" s="19">
        <f t="shared" si="7"/>
        <v>0</v>
      </c>
      <c r="Q21" s="18"/>
      <c r="R21" s="19">
        <f t="shared" si="8"/>
        <v>0</v>
      </c>
      <c r="S21" s="18"/>
      <c r="T21" s="19">
        <f t="shared" si="9"/>
        <v>0</v>
      </c>
      <c r="U21" s="18"/>
      <c r="V21" s="19">
        <f t="shared" si="10"/>
        <v>0</v>
      </c>
      <c r="W21" s="18"/>
      <c r="X21" s="19">
        <f t="shared" si="11"/>
        <v>0</v>
      </c>
      <c r="Y21" s="18"/>
      <c r="Z21" s="19">
        <f t="shared" si="12"/>
        <v>0</v>
      </c>
      <c r="AA21" s="18"/>
      <c r="AB21" s="19">
        <f t="shared" si="13"/>
        <v>0</v>
      </c>
      <c r="AC21" s="18"/>
      <c r="AD21" s="19">
        <f t="shared" si="4"/>
        <v>0</v>
      </c>
      <c r="AE21" s="18"/>
      <c r="AF21" s="19">
        <f t="shared" si="5"/>
        <v>0</v>
      </c>
      <c r="AG21" s="19">
        <f t="shared" si="15"/>
        <v>0</v>
      </c>
      <c r="AH21" s="20"/>
      <c r="AI21" s="19"/>
      <c r="AJ21" s="19"/>
      <c r="AK21" s="18"/>
      <c r="AL21" s="19">
        <v>0</v>
      </c>
      <c r="AM21" s="18"/>
      <c r="AN21" s="19">
        <f t="shared" si="6"/>
        <v>0</v>
      </c>
    </row>
    <row r="22" spans="1:40" s="41" customFormat="1" x14ac:dyDescent="0.25">
      <c r="A22" s="31">
        <v>3</v>
      </c>
      <c r="B22" s="40"/>
      <c r="C22" s="32" t="s">
        <v>59</v>
      </c>
      <c r="D22" s="15">
        <f t="shared" si="14"/>
        <v>10127</v>
      </c>
      <c r="E22" s="15">
        <v>10127</v>
      </c>
      <c r="F22" s="36"/>
      <c r="G22" s="35"/>
      <c r="H22" s="33"/>
      <c r="I22" s="33"/>
      <c r="J22" s="33"/>
      <c r="K22" s="33"/>
      <c r="L22" s="17">
        <v>2.57</v>
      </c>
      <c r="M22" s="25">
        <f t="shared" ref="M22:U22" si="17">SUM(M23)</f>
        <v>0</v>
      </c>
      <c r="N22" s="25">
        <f t="shared" si="17"/>
        <v>0</v>
      </c>
      <c r="O22" s="25">
        <f t="shared" si="17"/>
        <v>0</v>
      </c>
      <c r="P22" s="25">
        <f t="shared" si="17"/>
        <v>0</v>
      </c>
      <c r="Q22" s="25">
        <f t="shared" si="17"/>
        <v>0</v>
      </c>
      <c r="R22" s="25">
        <f t="shared" si="17"/>
        <v>0</v>
      </c>
      <c r="S22" s="25">
        <f t="shared" si="17"/>
        <v>0</v>
      </c>
      <c r="T22" s="25">
        <f t="shared" si="17"/>
        <v>0</v>
      </c>
      <c r="U22" s="25">
        <f t="shared" si="17"/>
        <v>0</v>
      </c>
      <c r="V22" s="25">
        <f t="shared" ref="V22:AN22" si="18">SUM(V23)</f>
        <v>0</v>
      </c>
      <c r="W22" s="25">
        <f t="shared" si="18"/>
        <v>0</v>
      </c>
      <c r="X22" s="25">
        <f t="shared" si="18"/>
        <v>0</v>
      </c>
      <c r="Y22" s="25">
        <f t="shared" si="18"/>
        <v>0</v>
      </c>
      <c r="Z22" s="25">
        <f t="shared" si="18"/>
        <v>0</v>
      </c>
      <c r="AA22" s="25">
        <f t="shared" si="18"/>
        <v>0</v>
      </c>
      <c r="AB22" s="25">
        <f t="shared" si="18"/>
        <v>0</v>
      </c>
      <c r="AC22" s="25">
        <f t="shared" si="18"/>
        <v>0</v>
      </c>
      <c r="AD22" s="25">
        <f t="shared" si="18"/>
        <v>0</v>
      </c>
      <c r="AE22" s="25">
        <f t="shared" si="18"/>
        <v>0</v>
      </c>
      <c r="AF22" s="25">
        <f t="shared" si="18"/>
        <v>0</v>
      </c>
      <c r="AG22" s="25">
        <f t="shared" si="18"/>
        <v>0</v>
      </c>
      <c r="AH22" s="25">
        <f t="shared" si="18"/>
        <v>0</v>
      </c>
      <c r="AI22" s="25">
        <f t="shared" si="18"/>
        <v>0</v>
      </c>
      <c r="AJ22" s="25">
        <f t="shared" si="18"/>
        <v>0</v>
      </c>
      <c r="AK22" s="25">
        <v>0</v>
      </c>
      <c r="AL22" s="25">
        <v>0</v>
      </c>
      <c r="AM22" s="25">
        <f t="shared" ref="AM22" si="19">SUM(AM23)</f>
        <v>0</v>
      </c>
      <c r="AN22" s="25">
        <f t="shared" si="18"/>
        <v>0</v>
      </c>
    </row>
    <row r="23" spans="1:40" ht="30" x14ac:dyDescent="0.25">
      <c r="A23" s="31"/>
      <c r="B23" s="6">
        <v>8</v>
      </c>
      <c r="C23" s="23" t="s">
        <v>60</v>
      </c>
      <c r="D23" s="15">
        <f t="shared" si="14"/>
        <v>10127</v>
      </c>
      <c r="E23" s="15">
        <v>10127</v>
      </c>
      <c r="F23" s="21">
        <v>0.98</v>
      </c>
      <c r="G23" s="22">
        <v>1</v>
      </c>
      <c r="H23" s="15">
        <v>1.4</v>
      </c>
      <c r="I23" s="15">
        <v>1.68</v>
      </c>
      <c r="J23" s="15">
        <v>2.23</v>
      </c>
      <c r="K23" s="15">
        <v>2.39</v>
      </c>
      <c r="L23" s="17">
        <v>2.57</v>
      </c>
      <c r="M23" s="24"/>
      <c r="N23" s="19">
        <f>(M23/12*1*$D23*$F23*$G23*$I23*N$11)+(M23/12*11*$E23*$F23*$G23*$I23*N$12)</f>
        <v>0</v>
      </c>
      <c r="O23" s="24"/>
      <c r="P23" s="19">
        <f t="shared" si="7"/>
        <v>0</v>
      </c>
      <c r="Q23" s="24"/>
      <c r="R23" s="19">
        <f t="shared" si="8"/>
        <v>0</v>
      </c>
      <c r="S23" s="24"/>
      <c r="T23" s="19">
        <f t="shared" si="9"/>
        <v>0</v>
      </c>
      <c r="U23" s="24"/>
      <c r="V23" s="19">
        <f>(U23/12*1*$D23*$F23*$G23*$I23*V$11)+(U23/12*4*$E23*$F23*$G23*$I23*V$12)+(U23/12*7*$E23*$F23*$G23*$I23*V$13)</f>
        <v>0</v>
      </c>
      <c r="W23" s="24"/>
      <c r="X23" s="19">
        <f>(W23/12*1*$D23*$F23*$G23*$I23*X$11)+(W23/12*4*$E23*$F23*$G23*$I23*X$12)+(W23/12*7*$E23*$F23*$G23*$I23*X$13)</f>
        <v>0</v>
      </c>
      <c r="Y23" s="24"/>
      <c r="Z23" s="19">
        <f t="shared" si="12"/>
        <v>0</v>
      </c>
      <c r="AA23" s="24"/>
      <c r="AB23" s="19">
        <f>(AA23/12*1*$D23*$F23*$G23*$I23*AB$11)+(AA23/12*11*$E23*$F23*$G23*$I23*AB$12)</f>
        <v>0</v>
      </c>
      <c r="AC23" s="24"/>
      <c r="AD23" s="19">
        <f>(AC23/12*1*$D23*$F23*$G23*$H23*AD$11)+(AC23/12*11*$E23*$F23*$G23*$H23*AD$12)</f>
        <v>0</v>
      </c>
      <c r="AE23" s="18"/>
      <c r="AF23" s="19">
        <f>(AE23/12*1*$D23*$F23*$G23*$H23*AF$11)+(AE23/12*11*$E23*$F23*$G23*$H23*AF$12)</f>
        <v>0</v>
      </c>
      <c r="AG23" s="19">
        <f t="shared" si="15"/>
        <v>0</v>
      </c>
      <c r="AH23" s="20"/>
      <c r="AI23" s="19">
        <v>0</v>
      </c>
      <c r="AJ23" s="19">
        <v>0</v>
      </c>
      <c r="AK23" s="24"/>
      <c r="AL23" s="19">
        <v>0</v>
      </c>
      <c r="AM23" s="24"/>
      <c r="AN23" s="19">
        <f>(AM23/12*1*$D23*$F23*$G23*$I23*AN$11)+(AM23/12*11*$E23*$F23*$G23*$I23*AN$12)</f>
        <v>0</v>
      </c>
    </row>
    <row r="24" spans="1:40" x14ac:dyDescent="0.25">
      <c r="A24" s="31">
        <v>4</v>
      </c>
      <c r="B24" s="31"/>
      <c r="C24" s="32" t="s">
        <v>61</v>
      </c>
      <c r="D24" s="15">
        <f t="shared" si="14"/>
        <v>10127</v>
      </c>
      <c r="E24" s="15">
        <v>10127</v>
      </c>
      <c r="F24" s="33"/>
      <c r="G24" s="22"/>
      <c r="H24" s="33"/>
      <c r="I24" s="33"/>
      <c r="J24" s="33"/>
      <c r="K24" s="33"/>
      <c r="L24" s="17">
        <v>2.57</v>
      </c>
      <c r="M24" s="25">
        <f t="shared" ref="M24:U24" si="20">SUM(M25)</f>
        <v>0</v>
      </c>
      <c r="N24" s="25">
        <f t="shared" si="20"/>
        <v>0</v>
      </c>
      <c r="O24" s="25">
        <f t="shared" si="20"/>
        <v>0</v>
      </c>
      <c r="P24" s="25">
        <f t="shared" si="20"/>
        <v>0</v>
      </c>
      <c r="Q24" s="25">
        <f t="shared" si="20"/>
        <v>125</v>
      </c>
      <c r="R24" s="25">
        <f t="shared" si="20"/>
        <v>1340688.2124999999</v>
      </c>
      <c r="S24" s="25">
        <f t="shared" si="20"/>
        <v>0</v>
      </c>
      <c r="T24" s="25">
        <f t="shared" si="20"/>
        <v>0</v>
      </c>
      <c r="U24" s="25">
        <f t="shared" si="20"/>
        <v>37</v>
      </c>
      <c r="V24" s="25">
        <f t="shared" ref="V24:AN24" si="21">SUM(V25)</f>
        <v>574256.19342000014</v>
      </c>
      <c r="W24" s="25">
        <f t="shared" si="21"/>
        <v>54</v>
      </c>
      <c r="X24" s="25">
        <f t="shared" si="21"/>
        <v>865359.03636000003</v>
      </c>
      <c r="Y24" s="25">
        <f t="shared" si="21"/>
        <v>72</v>
      </c>
      <c r="Z24" s="25">
        <f t="shared" si="21"/>
        <v>802520.1912</v>
      </c>
      <c r="AA24" s="25">
        <f t="shared" si="21"/>
        <v>6</v>
      </c>
      <c r="AB24" s="25">
        <f t="shared" si="21"/>
        <v>99451.936147199987</v>
      </c>
      <c r="AC24" s="25">
        <f t="shared" si="21"/>
        <v>4</v>
      </c>
      <c r="AD24" s="25">
        <f t="shared" si="21"/>
        <v>55141.717539999998</v>
      </c>
      <c r="AE24" s="25">
        <f t="shared" si="21"/>
        <v>13</v>
      </c>
      <c r="AF24" s="25">
        <f t="shared" si="21"/>
        <v>179210.582005</v>
      </c>
      <c r="AG24" s="25">
        <f t="shared" si="21"/>
        <v>33</v>
      </c>
      <c r="AH24" s="25">
        <f t="shared" si="21"/>
        <v>253.84615384615384</v>
      </c>
      <c r="AI24" s="25">
        <f t="shared" si="21"/>
        <v>11</v>
      </c>
      <c r="AJ24" s="25">
        <f t="shared" si="21"/>
        <v>148143.99</v>
      </c>
      <c r="AK24" s="25">
        <v>13</v>
      </c>
      <c r="AL24" s="25">
        <v>288705.37695999997</v>
      </c>
      <c r="AM24" s="25">
        <f t="shared" ref="AM24" si="22">SUM(AM25)</f>
        <v>4</v>
      </c>
      <c r="AN24" s="25">
        <f t="shared" si="21"/>
        <v>89841.883039999986</v>
      </c>
    </row>
    <row r="25" spans="1:40" ht="30" x14ac:dyDescent="0.25">
      <c r="A25" s="31"/>
      <c r="B25" s="6">
        <v>9</v>
      </c>
      <c r="C25" s="14" t="s">
        <v>62</v>
      </c>
      <c r="D25" s="15">
        <f t="shared" si="14"/>
        <v>10127</v>
      </c>
      <c r="E25" s="15">
        <v>10127</v>
      </c>
      <c r="F25" s="15">
        <v>0.89</v>
      </c>
      <c r="G25" s="22">
        <v>1</v>
      </c>
      <c r="H25" s="15">
        <v>1.4</v>
      </c>
      <c r="I25" s="15">
        <v>1.68</v>
      </c>
      <c r="J25" s="15">
        <v>2.23</v>
      </c>
      <c r="K25" s="15">
        <v>2.39</v>
      </c>
      <c r="L25" s="17">
        <v>2.57</v>
      </c>
      <c r="M25" s="18"/>
      <c r="N25" s="19">
        <f>(M25/12*1*$D25*$F25*$G25*$I25*N$11)+(M25/12*11*$E25*$F25*$G25*$I25*N$12)</f>
        <v>0</v>
      </c>
      <c r="O25" s="18"/>
      <c r="P25" s="19">
        <f t="shared" si="7"/>
        <v>0</v>
      </c>
      <c r="Q25" s="18">
        <v>125</v>
      </c>
      <c r="R25" s="19">
        <f t="shared" si="8"/>
        <v>1340688.2124999999</v>
      </c>
      <c r="S25" s="18"/>
      <c r="T25" s="19">
        <f t="shared" si="9"/>
        <v>0</v>
      </c>
      <c r="U25" s="18">
        <v>37</v>
      </c>
      <c r="V25" s="19">
        <f>(U25/12*1*$D25*$F25*$G25*$I25*V$11)+(U25/12*4*$E25*$F25*$G25*$I25*V$12)+(U25/12*7*$E25*$F25*$G25*$I25*V$13)</f>
        <v>574256.19342000014</v>
      </c>
      <c r="W25" s="18">
        <v>54</v>
      </c>
      <c r="X25" s="19">
        <f>(W25/12*1*$D25*$F25*$G25*$I25*X$11)+(W25/12*4*$E25*$F25*$G25*$I25*X$12)+(W25/12*7*$E25*$F25*$G25*$I25*X$13)</f>
        <v>865359.03636000003</v>
      </c>
      <c r="Y25" s="18">
        <v>72</v>
      </c>
      <c r="Z25" s="19">
        <f t="shared" si="12"/>
        <v>802520.1912</v>
      </c>
      <c r="AA25" s="18">
        <f>10-4</f>
        <v>6</v>
      </c>
      <c r="AB25" s="19">
        <f>(AA25/12*1*$D25*$F25*$G25*$I25*AB$11)+(AA25/12*11*$E25*$F25*$G25*$I25*AB$12)</f>
        <v>99451.936147199987</v>
      </c>
      <c r="AC25" s="18">
        <v>4</v>
      </c>
      <c r="AD25" s="19">
        <f>(AC25/12*1*$D25*$F25*$G25*$H25*AD$11)+(AC25/12*11*$E25*$F25*$G25*$H25*AD$12)</f>
        <v>55141.717539999998</v>
      </c>
      <c r="AE25" s="18">
        <f>49-36</f>
        <v>13</v>
      </c>
      <c r="AF25" s="19">
        <f>(AE25/12*1*$D25*$F25*$G25*$H25*AF$11)+(AE25/12*11*$E25*$F25*$G25*$H25*AF$12)</f>
        <v>179210.582005</v>
      </c>
      <c r="AG25" s="19">
        <f t="shared" si="15"/>
        <v>33</v>
      </c>
      <c r="AH25" s="20">
        <f t="shared" si="16"/>
        <v>253.84615384615384</v>
      </c>
      <c r="AI25" s="19">
        <v>11</v>
      </c>
      <c r="AJ25" s="19">
        <v>148143.99</v>
      </c>
      <c r="AK25" s="18">
        <v>13</v>
      </c>
      <c r="AL25" s="19">
        <v>288705.37695999997</v>
      </c>
      <c r="AM25" s="18">
        <f>6-2</f>
        <v>4</v>
      </c>
      <c r="AN25" s="19">
        <f>(AM25/12*1*$D25*$F25*$G25*$I25*AN$11)+(AM25/12*11*$E25*$F25*$G25*$I25*AN$12)</f>
        <v>89841.883039999986</v>
      </c>
    </row>
    <row r="26" spans="1:40" s="41" customFormat="1" x14ac:dyDescent="0.25">
      <c r="A26" s="31">
        <v>5</v>
      </c>
      <c r="B26" s="31"/>
      <c r="C26" s="32" t="s">
        <v>63</v>
      </c>
      <c r="D26" s="15">
        <f t="shared" si="14"/>
        <v>10127</v>
      </c>
      <c r="E26" s="15">
        <v>10127</v>
      </c>
      <c r="F26" s="34">
        <v>1.37</v>
      </c>
      <c r="G26" s="35">
        <v>1</v>
      </c>
      <c r="H26" s="33">
        <v>1.4</v>
      </c>
      <c r="I26" s="33">
        <v>1.68</v>
      </c>
      <c r="J26" s="33">
        <v>2.23</v>
      </c>
      <c r="K26" s="33">
        <v>2.39</v>
      </c>
      <c r="L26" s="17">
        <v>2.57</v>
      </c>
      <c r="M26" s="25">
        <f t="shared" ref="M26:U26" si="23">SUM(M27)</f>
        <v>0</v>
      </c>
      <c r="N26" s="25">
        <f t="shared" si="23"/>
        <v>0</v>
      </c>
      <c r="O26" s="25">
        <f t="shared" si="23"/>
        <v>0</v>
      </c>
      <c r="P26" s="25">
        <f t="shared" si="23"/>
        <v>0</v>
      </c>
      <c r="Q26" s="25">
        <f t="shared" si="23"/>
        <v>8</v>
      </c>
      <c r="R26" s="25">
        <f t="shared" si="23"/>
        <v>112798.5768</v>
      </c>
      <c r="S26" s="25">
        <f t="shared" si="23"/>
        <v>0</v>
      </c>
      <c r="T26" s="25">
        <f t="shared" si="23"/>
        <v>0</v>
      </c>
      <c r="U26" s="25">
        <f t="shared" si="23"/>
        <v>0</v>
      </c>
      <c r="V26" s="25">
        <f t="shared" ref="V26:AN26" si="24">SUM(V27)</f>
        <v>0</v>
      </c>
      <c r="W26" s="25">
        <f t="shared" si="24"/>
        <v>2</v>
      </c>
      <c r="X26" s="25">
        <f t="shared" si="24"/>
        <v>42133.586039999995</v>
      </c>
      <c r="Y26" s="25">
        <f t="shared" si="24"/>
        <v>3</v>
      </c>
      <c r="Z26" s="25">
        <f t="shared" si="24"/>
        <v>43958.268899999995</v>
      </c>
      <c r="AA26" s="25">
        <f t="shared" si="24"/>
        <v>0</v>
      </c>
      <c r="AB26" s="25">
        <f t="shared" si="24"/>
        <v>0</v>
      </c>
      <c r="AC26" s="25">
        <f t="shared" si="24"/>
        <v>10</v>
      </c>
      <c r="AD26" s="25">
        <f t="shared" si="24"/>
        <v>181224.18405000004</v>
      </c>
      <c r="AE26" s="25">
        <f t="shared" si="24"/>
        <v>1</v>
      </c>
      <c r="AF26" s="25">
        <f t="shared" si="24"/>
        <v>18122.418405</v>
      </c>
      <c r="AG26" s="25">
        <f t="shared" si="24"/>
        <v>0</v>
      </c>
      <c r="AH26" s="25">
        <f t="shared" si="24"/>
        <v>0</v>
      </c>
      <c r="AI26" s="25">
        <f t="shared" si="24"/>
        <v>0</v>
      </c>
      <c r="AJ26" s="25">
        <f t="shared" si="24"/>
        <v>0</v>
      </c>
      <c r="AK26" s="25">
        <v>4</v>
      </c>
      <c r="AL26" s="25">
        <v>116779.70303999999</v>
      </c>
      <c r="AM26" s="25">
        <f t="shared" ref="AM26" si="25">SUM(AM27)</f>
        <v>2</v>
      </c>
      <c r="AN26" s="25">
        <f t="shared" si="24"/>
        <v>59053.372559999996</v>
      </c>
    </row>
    <row r="27" spans="1:40" x14ac:dyDescent="0.25">
      <c r="A27" s="31"/>
      <c r="B27" s="6">
        <v>10</v>
      </c>
      <c r="C27" s="23" t="s">
        <v>64</v>
      </c>
      <c r="D27" s="15">
        <f t="shared" si="14"/>
        <v>10127</v>
      </c>
      <c r="E27" s="15">
        <v>10127</v>
      </c>
      <c r="F27" s="16">
        <v>1.17</v>
      </c>
      <c r="G27" s="22">
        <v>1</v>
      </c>
      <c r="H27" s="15">
        <v>1.4</v>
      </c>
      <c r="I27" s="15">
        <v>1.68</v>
      </c>
      <c r="J27" s="15">
        <v>2.23</v>
      </c>
      <c r="K27" s="15">
        <v>2.39</v>
      </c>
      <c r="L27" s="17">
        <v>2.57</v>
      </c>
      <c r="M27" s="18">
        <v>0</v>
      </c>
      <c r="N27" s="19">
        <f>(M27/12*1*$D27*$F27*$G27*$I27*N$11)+(M27/12*11*$E27*$F27*$G27*$I27*N$12)</f>
        <v>0</v>
      </c>
      <c r="O27" s="18"/>
      <c r="P27" s="19">
        <f t="shared" si="7"/>
        <v>0</v>
      </c>
      <c r="Q27" s="18">
        <v>8</v>
      </c>
      <c r="R27" s="19">
        <f t="shared" si="8"/>
        <v>112798.5768</v>
      </c>
      <c r="S27" s="18"/>
      <c r="T27" s="19">
        <f t="shared" si="9"/>
        <v>0</v>
      </c>
      <c r="U27" s="18"/>
      <c r="V27" s="19">
        <f>(U27/12*1*$D27*$F27*$G27*$I27*V$11)+(U27/12*4*$E27*$F27*$G27*$I27*V$12)+(U27/12*7*$E27*$F27*$G27*$I27*V$13)</f>
        <v>0</v>
      </c>
      <c r="W27" s="18">
        <v>2</v>
      </c>
      <c r="X27" s="19">
        <f>(W27/12*1*$D27*$F27*$G27*$I27*X$11)+(W27/12*4*$E27*$F27*$G27*$I27*X$12)+(W27/12*7*$E27*$F27*$G27*$I27*X$13)</f>
        <v>42133.586039999995</v>
      </c>
      <c r="Y27" s="18">
        <v>3</v>
      </c>
      <c r="Z27" s="19">
        <f t="shared" si="12"/>
        <v>43958.268899999995</v>
      </c>
      <c r="AA27" s="18"/>
      <c r="AB27" s="19">
        <f>(AA27/12*1*$D27*$F27*$G27*$I27*AB$11)+(AA27/12*11*$E27*$F27*$G27*$I27*AB$12)</f>
        <v>0</v>
      </c>
      <c r="AC27" s="18">
        <f>4+6</f>
        <v>10</v>
      </c>
      <c r="AD27" s="19">
        <f>(AC27/12*1*$D27*$F27*$G27*$H27*AD$11)+(AC27/12*11*$E27*$F27*$G27*$H27*AD$12)</f>
        <v>181224.18405000004</v>
      </c>
      <c r="AE27" s="18">
        <v>1</v>
      </c>
      <c r="AF27" s="19">
        <f>(AE27/12*1*$D27*$F27*$G27*$H27*AF$11)+(AE27/12*11*$E27*$F27*$G27*$H27*AF$12)</f>
        <v>18122.418405</v>
      </c>
      <c r="AG27" s="19">
        <f t="shared" si="15"/>
        <v>0</v>
      </c>
      <c r="AH27" s="20">
        <f t="shared" si="16"/>
        <v>0</v>
      </c>
      <c r="AI27" s="19">
        <v>0</v>
      </c>
      <c r="AJ27" s="19">
        <v>0</v>
      </c>
      <c r="AK27" s="18">
        <v>4</v>
      </c>
      <c r="AL27" s="19">
        <v>116779.70303999999</v>
      </c>
      <c r="AM27" s="18">
        <f>1+1</f>
        <v>2</v>
      </c>
      <c r="AN27" s="19">
        <f>(AM27/12*1*$D27*$F27*$G27*$I27*AN$11)+(AM27/12*11*$E27*$F27*$G27*$I27*AN$12)</f>
        <v>59053.372559999996</v>
      </c>
    </row>
    <row r="28" spans="1:40" s="41" customFormat="1" x14ac:dyDescent="0.25">
      <c r="A28" s="31">
        <v>6</v>
      </c>
      <c r="B28" s="31"/>
      <c r="C28" s="32" t="s">
        <v>65</v>
      </c>
      <c r="D28" s="15">
        <f t="shared" si="14"/>
        <v>10127</v>
      </c>
      <c r="E28" s="15">
        <v>10127</v>
      </c>
      <c r="F28" s="36"/>
      <c r="G28" s="35"/>
      <c r="H28" s="33"/>
      <c r="I28" s="33"/>
      <c r="J28" s="33"/>
      <c r="K28" s="33"/>
      <c r="L28" s="17">
        <v>2.57</v>
      </c>
      <c r="M28" s="25">
        <f t="shared" ref="M28:U28" si="26">SUM(M29)</f>
        <v>0</v>
      </c>
      <c r="N28" s="25">
        <f t="shared" si="26"/>
        <v>0</v>
      </c>
      <c r="O28" s="25">
        <f t="shared" si="26"/>
        <v>0</v>
      </c>
      <c r="P28" s="25">
        <f t="shared" si="26"/>
        <v>0</v>
      </c>
      <c r="Q28" s="25">
        <f t="shared" si="26"/>
        <v>116</v>
      </c>
      <c r="R28" s="25">
        <f t="shared" si="26"/>
        <v>2152813.8631999996</v>
      </c>
      <c r="S28" s="25">
        <f t="shared" si="26"/>
        <v>0</v>
      </c>
      <c r="T28" s="25">
        <f t="shared" si="26"/>
        <v>0</v>
      </c>
      <c r="U28" s="25">
        <f t="shared" si="26"/>
        <v>0</v>
      </c>
      <c r="V28" s="25">
        <f t="shared" ref="V28:AN28" si="27">SUM(V29)</f>
        <v>0</v>
      </c>
      <c r="W28" s="25">
        <f t="shared" si="27"/>
        <v>2</v>
      </c>
      <c r="X28" s="25">
        <f t="shared" si="27"/>
        <v>55457.882479999993</v>
      </c>
      <c r="Y28" s="25">
        <f t="shared" si="27"/>
        <v>4</v>
      </c>
      <c r="Z28" s="25">
        <f t="shared" si="27"/>
        <v>77146.135733333329</v>
      </c>
      <c r="AA28" s="25">
        <f t="shared" si="27"/>
        <v>32</v>
      </c>
      <c r="AB28" s="25">
        <f t="shared" si="27"/>
        <v>917788.65418239997</v>
      </c>
      <c r="AC28" s="25">
        <f t="shared" si="27"/>
        <v>14</v>
      </c>
      <c r="AD28" s="25">
        <f t="shared" si="27"/>
        <v>333948.15454000002</v>
      </c>
      <c r="AE28" s="25">
        <f t="shared" si="27"/>
        <v>100</v>
      </c>
      <c r="AF28" s="25">
        <f t="shared" si="27"/>
        <v>2385343.9610000006</v>
      </c>
      <c r="AG28" s="25">
        <f t="shared" si="27"/>
        <v>60</v>
      </c>
      <c r="AH28" s="25">
        <f t="shared" si="27"/>
        <v>60</v>
      </c>
      <c r="AI28" s="25">
        <f t="shared" si="27"/>
        <v>20</v>
      </c>
      <c r="AJ28" s="25">
        <f t="shared" si="27"/>
        <v>466606.96000000008</v>
      </c>
      <c r="AK28" s="25">
        <v>17</v>
      </c>
      <c r="AL28" s="25">
        <v>653267.6550400001</v>
      </c>
      <c r="AM28" s="25">
        <f t="shared" ref="AM28" si="28">SUM(AM29)</f>
        <v>0</v>
      </c>
      <c r="AN28" s="25">
        <f t="shared" si="27"/>
        <v>0</v>
      </c>
    </row>
    <row r="29" spans="1:40" x14ac:dyDescent="0.25">
      <c r="A29" s="31"/>
      <c r="B29" s="6">
        <v>11</v>
      </c>
      <c r="C29" s="23" t="s">
        <v>66</v>
      </c>
      <c r="D29" s="15">
        <f t="shared" si="14"/>
        <v>10127</v>
      </c>
      <c r="E29" s="15">
        <v>10127</v>
      </c>
      <c r="F29" s="16">
        <v>1.54</v>
      </c>
      <c r="G29" s="22">
        <v>1</v>
      </c>
      <c r="H29" s="15">
        <v>1.4</v>
      </c>
      <c r="I29" s="15">
        <v>1.68</v>
      </c>
      <c r="J29" s="15">
        <v>2.23</v>
      </c>
      <c r="K29" s="15">
        <v>2.39</v>
      </c>
      <c r="L29" s="17">
        <v>2.57</v>
      </c>
      <c r="M29" s="24"/>
      <c r="N29" s="19">
        <f>(M29/12*1*$D29*$F29*$G29*$I29*N$11)+(M29/12*11*$E29*$F29*$G29*$I29*N$12)</f>
        <v>0</v>
      </c>
      <c r="O29" s="24"/>
      <c r="P29" s="19">
        <f t="shared" si="7"/>
        <v>0</v>
      </c>
      <c r="Q29" s="24">
        <v>116</v>
      </c>
      <c r="R29" s="19">
        <f t="shared" si="8"/>
        <v>2152813.8631999996</v>
      </c>
      <c r="S29" s="24"/>
      <c r="T29" s="19">
        <f t="shared" si="9"/>
        <v>0</v>
      </c>
      <c r="U29" s="24"/>
      <c r="V29" s="19">
        <f>(U29/12*1*$D29*$F29*$G29*$I29*V$11)+(U29/12*4*$E29*$F29*$G29*$I29*V$12)+(U29/12*7*$E29*$F29*$G29*$I29*V$13)</f>
        <v>0</v>
      </c>
      <c r="W29" s="24">
        <v>2</v>
      </c>
      <c r="X29" s="19">
        <f>(W29/12*1*$D29*$F29*$G29*$I29*X$11)+(W29/12*4*$E29*$F29*$G29*$I29*X$12)+(W29/12*7*$E29*$F29*$G29*$I29*X$13)</f>
        <v>55457.882479999993</v>
      </c>
      <c r="Y29" s="24">
        <v>4</v>
      </c>
      <c r="Z29" s="19">
        <f t="shared" si="12"/>
        <v>77146.135733333329</v>
      </c>
      <c r="AA29" s="24">
        <f>20+12</f>
        <v>32</v>
      </c>
      <c r="AB29" s="19">
        <f>(AA29/12*1*$D29*$F29*$G29*$I29*AB$11)+(AA29/12*11*$E29*$F29*$G29*$I29*AB$12)</f>
        <v>917788.65418239997</v>
      </c>
      <c r="AC29" s="24">
        <f>6+8</f>
        <v>14</v>
      </c>
      <c r="AD29" s="19">
        <f>(AC29/12*1*$D29*$F29*$G29*$H29*AD$11)+(AC29/12*11*$E29*$F29*$G29*$H29*AD$12)</f>
        <v>333948.15454000002</v>
      </c>
      <c r="AE29" s="24">
        <f>50+50</f>
        <v>100</v>
      </c>
      <c r="AF29" s="19">
        <f>(AE29/12*1*$D29*$F29*$G29*$H29*AF$11)+(AE29/12*11*$E29*$F29*$G29*$H29*AF$12)</f>
        <v>2385343.9610000006</v>
      </c>
      <c r="AG29" s="19">
        <f t="shared" si="15"/>
        <v>60</v>
      </c>
      <c r="AH29" s="20">
        <f t="shared" si="16"/>
        <v>60</v>
      </c>
      <c r="AI29" s="19">
        <v>20</v>
      </c>
      <c r="AJ29" s="19">
        <v>466606.96000000008</v>
      </c>
      <c r="AK29" s="24">
        <v>17</v>
      </c>
      <c r="AL29" s="19">
        <v>653267.6550400001</v>
      </c>
      <c r="AM29" s="24"/>
      <c r="AN29" s="19">
        <f>(AM29/12*1*$D29*$F29*$G29*$I29*AN$11)+(AM29/12*11*$E29*$F29*$G29*$I29*AN$12)</f>
        <v>0</v>
      </c>
    </row>
    <row r="30" spans="1:40" s="41" customFormat="1" x14ac:dyDescent="0.25">
      <c r="A30" s="31">
        <v>7</v>
      </c>
      <c r="B30" s="31"/>
      <c r="C30" s="32" t="s">
        <v>67</v>
      </c>
      <c r="D30" s="15">
        <f t="shared" si="14"/>
        <v>10127</v>
      </c>
      <c r="E30" s="15">
        <v>10127</v>
      </c>
      <c r="F30" s="36"/>
      <c r="G30" s="35"/>
      <c r="H30" s="33"/>
      <c r="I30" s="33"/>
      <c r="J30" s="33"/>
      <c r="K30" s="33"/>
      <c r="L30" s="17">
        <v>2.57</v>
      </c>
      <c r="M30" s="25">
        <f t="shared" ref="M30:U30" si="29">SUM(M31)</f>
        <v>6</v>
      </c>
      <c r="N30" s="25">
        <f t="shared" si="29"/>
        <v>101038.94236799999</v>
      </c>
      <c r="O30" s="25">
        <f t="shared" si="29"/>
        <v>0</v>
      </c>
      <c r="P30" s="25">
        <f t="shared" si="29"/>
        <v>0</v>
      </c>
      <c r="Q30" s="25">
        <f t="shared" si="29"/>
        <v>0</v>
      </c>
      <c r="R30" s="25">
        <f t="shared" si="29"/>
        <v>0</v>
      </c>
      <c r="S30" s="25">
        <f t="shared" si="29"/>
        <v>0</v>
      </c>
      <c r="T30" s="25">
        <f t="shared" si="29"/>
        <v>0</v>
      </c>
      <c r="U30" s="25">
        <f t="shared" si="29"/>
        <v>0</v>
      </c>
      <c r="V30" s="25">
        <f t="shared" ref="V30:AN30" si="30">SUM(V31)</f>
        <v>0</v>
      </c>
      <c r="W30" s="25">
        <f t="shared" si="30"/>
        <v>0</v>
      </c>
      <c r="X30" s="25">
        <f t="shared" si="30"/>
        <v>0</v>
      </c>
      <c r="Y30" s="25">
        <f t="shared" si="30"/>
        <v>0</v>
      </c>
      <c r="Z30" s="25">
        <f t="shared" si="30"/>
        <v>0</v>
      </c>
      <c r="AA30" s="25">
        <f t="shared" si="30"/>
        <v>0</v>
      </c>
      <c r="AB30" s="25">
        <f t="shared" si="30"/>
        <v>0</v>
      </c>
      <c r="AC30" s="25">
        <f t="shared" si="30"/>
        <v>0</v>
      </c>
      <c r="AD30" s="25">
        <f t="shared" si="30"/>
        <v>0</v>
      </c>
      <c r="AE30" s="25">
        <f t="shared" si="30"/>
        <v>0</v>
      </c>
      <c r="AF30" s="25">
        <f t="shared" si="30"/>
        <v>0</v>
      </c>
      <c r="AG30" s="25">
        <f t="shared" si="30"/>
        <v>0</v>
      </c>
      <c r="AH30" s="25" t="e">
        <f t="shared" si="30"/>
        <v>#DIV/0!</v>
      </c>
      <c r="AI30" s="25">
        <f t="shared" si="30"/>
        <v>0</v>
      </c>
      <c r="AJ30" s="25">
        <f t="shared" si="30"/>
        <v>0</v>
      </c>
      <c r="AK30" s="25">
        <v>0</v>
      </c>
      <c r="AL30" s="25">
        <v>0</v>
      </c>
      <c r="AM30" s="25">
        <f t="shared" ref="AM30" si="31">SUM(AM31)</f>
        <v>0</v>
      </c>
      <c r="AN30" s="25">
        <f t="shared" si="30"/>
        <v>0</v>
      </c>
    </row>
    <row r="31" spans="1:40" ht="40.5" customHeight="1" x14ac:dyDescent="0.25">
      <c r="A31" s="31"/>
      <c r="B31" s="6">
        <v>12</v>
      </c>
      <c r="C31" s="23" t="s">
        <v>68</v>
      </c>
      <c r="D31" s="15">
        <f t="shared" si="14"/>
        <v>10127</v>
      </c>
      <c r="E31" s="15">
        <v>10127</v>
      </c>
      <c r="F31" s="16">
        <v>0.98</v>
      </c>
      <c r="G31" s="22">
        <v>1</v>
      </c>
      <c r="H31" s="15">
        <v>1.4</v>
      </c>
      <c r="I31" s="15">
        <v>1.68</v>
      </c>
      <c r="J31" s="15">
        <v>2.23</v>
      </c>
      <c r="K31" s="15">
        <v>2.39</v>
      </c>
      <c r="L31" s="17">
        <v>2.57</v>
      </c>
      <c r="M31" s="18">
        <f>8-2</f>
        <v>6</v>
      </c>
      <c r="N31" s="19">
        <f>(M31/12*1*$D31*$F31*$G31*$I31*N$11)+(M31/12*11*$E31*$F31*$G31*$I31*N$12)</f>
        <v>101038.94236799999</v>
      </c>
      <c r="O31" s="18"/>
      <c r="P31" s="19">
        <f t="shared" si="7"/>
        <v>0</v>
      </c>
      <c r="Q31" s="18"/>
      <c r="R31" s="19">
        <f t="shared" si="8"/>
        <v>0</v>
      </c>
      <c r="S31" s="18"/>
      <c r="T31" s="19">
        <f t="shared" si="9"/>
        <v>0</v>
      </c>
      <c r="U31" s="18"/>
      <c r="V31" s="19">
        <f>(U31/12*1*$D31*$F31*$G31*$I31*V$11)+(U31/12*4*$E31*$F31*$G31*$I31*V$12)+(U31/12*7*$E31*$F31*$G31*$I31*V$13)</f>
        <v>0</v>
      </c>
      <c r="W31" s="18"/>
      <c r="X31" s="19">
        <f>(W31/12*1*$D31*$F31*$G31*$I31*X$11)+(W31/12*4*$E31*$F31*$G31*$I31*X$12)+(W31/12*7*$E31*$F31*$G31*$I31*X$13)</f>
        <v>0</v>
      </c>
      <c r="Y31" s="18"/>
      <c r="Z31" s="19">
        <f t="shared" si="12"/>
        <v>0</v>
      </c>
      <c r="AA31" s="18"/>
      <c r="AB31" s="19">
        <f>(AA31/12*1*$D31*$F31*$G31*$I31*AB$11)+(AA31/12*11*$E31*$F31*$G31*$I31*AB$12)</f>
        <v>0</v>
      </c>
      <c r="AC31" s="18"/>
      <c r="AD31" s="19">
        <f>(AC31/12*1*$D31*$F31*$G31*$H31*AD$11)+(AC31/12*11*$E31*$F31*$G31*$H31*AD$12)</f>
        <v>0</v>
      </c>
      <c r="AE31" s="18"/>
      <c r="AF31" s="19">
        <f>(AE31/12*1*$D31*$F31*$G31*$H31*AF$11)+(AE31/12*11*$E31*$F31*$G31*$H31*AF$12)</f>
        <v>0</v>
      </c>
      <c r="AG31" s="19">
        <f t="shared" si="15"/>
        <v>0</v>
      </c>
      <c r="AH31" s="20" t="e">
        <f t="shared" si="16"/>
        <v>#DIV/0!</v>
      </c>
      <c r="AI31" s="19">
        <v>0</v>
      </c>
      <c r="AJ31" s="19">
        <v>0</v>
      </c>
      <c r="AK31" s="18"/>
      <c r="AL31" s="19">
        <v>0</v>
      </c>
      <c r="AM31" s="18"/>
      <c r="AN31" s="19">
        <f>(AM31/12*1*$D31*$F31*$G31*$I31*AN$11)+(AM31/12*11*$E31*$F31*$G31*$I31*AN$12)</f>
        <v>0</v>
      </c>
    </row>
    <row r="32" spans="1:40" s="41" customFormat="1" x14ac:dyDescent="0.25">
      <c r="A32" s="31">
        <v>8</v>
      </c>
      <c r="B32" s="31"/>
      <c r="C32" s="32" t="s">
        <v>69</v>
      </c>
      <c r="D32" s="15">
        <f t="shared" si="14"/>
        <v>10127</v>
      </c>
      <c r="E32" s="15">
        <v>10127</v>
      </c>
      <c r="F32" s="36"/>
      <c r="G32" s="35"/>
      <c r="H32" s="33"/>
      <c r="I32" s="33"/>
      <c r="J32" s="33"/>
      <c r="K32" s="33"/>
      <c r="L32" s="17">
        <v>2.57</v>
      </c>
      <c r="M32" s="25">
        <f t="shared" ref="M32:U32" si="32">SUM(M33:M35)</f>
        <v>0</v>
      </c>
      <c r="N32" s="25">
        <f t="shared" si="32"/>
        <v>0</v>
      </c>
      <c r="O32" s="25">
        <f t="shared" si="32"/>
        <v>0</v>
      </c>
      <c r="P32" s="25">
        <f t="shared" si="32"/>
        <v>0</v>
      </c>
      <c r="Q32" s="25">
        <f t="shared" si="32"/>
        <v>0</v>
      </c>
      <c r="R32" s="25">
        <f t="shared" si="32"/>
        <v>0</v>
      </c>
      <c r="S32" s="25">
        <f t="shared" si="32"/>
        <v>0</v>
      </c>
      <c r="T32" s="25">
        <f t="shared" si="32"/>
        <v>0</v>
      </c>
      <c r="U32" s="25">
        <f t="shared" si="32"/>
        <v>0</v>
      </c>
      <c r="V32" s="25">
        <f t="shared" ref="V32:AN32" si="33">SUM(V33:V35)</f>
        <v>0</v>
      </c>
      <c r="W32" s="25">
        <f t="shared" si="33"/>
        <v>0</v>
      </c>
      <c r="X32" s="25">
        <f t="shared" si="33"/>
        <v>0</v>
      </c>
      <c r="Y32" s="25">
        <f t="shared" si="33"/>
        <v>0</v>
      </c>
      <c r="Z32" s="25">
        <f t="shared" si="33"/>
        <v>0</v>
      </c>
      <c r="AA32" s="25">
        <f t="shared" si="33"/>
        <v>0</v>
      </c>
      <c r="AB32" s="25">
        <f t="shared" si="33"/>
        <v>0</v>
      </c>
      <c r="AC32" s="25">
        <f t="shared" si="33"/>
        <v>0</v>
      </c>
      <c r="AD32" s="25">
        <f t="shared" si="33"/>
        <v>0</v>
      </c>
      <c r="AE32" s="25">
        <f t="shared" si="33"/>
        <v>0</v>
      </c>
      <c r="AF32" s="25">
        <f t="shared" si="33"/>
        <v>0</v>
      </c>
      <c r="AG32" s="25">
        <f t="shared" si="33"/>
        <v>0</v>
      </c>
      <c r="AH32" s="25" t="e">
        <f t="shared" si="33"/>
        <v>#DIV/0!</v>
      </c>
      <c r="AI32" s="25">
        <f t="shared" si="33"/>
        <v>0</v>
      </c>
      <c r="AJ32" s="25">
        <f t="shared" si="33"/>
        <v>0</v>
      </c>
      <c r="AK32" s="25">
        <v>0</v>
      </c>
      <c r="AL32" s="25">
        <v>0</v>
      </c>
      <c r="AM32" s="25">
        <f t="shared" ref="AM32" si="34">SUM(AM33:AM35)</f>
        <v>0</v>
      </c>
      <c r="AN32" s="25">
        <f t="shared" si="33"/>
        <v>0</v>
      </c>
    </row>
    <row r="33" spans="1:40" ht="30" x14ac:dyDescent="0.25">
      <c r="A33" s="31"/>
      <c r="B33" s="6">
        <v>13</v>
      </c>
      <c r="C33" s="14" t="s">
        <v>70</v>
      </c>
      <c r="D33" s="15">
        <f t="shared" si="14"/>
        <v>10127</v>
      </c>
      <c r="E33" s="15">
        <v>10127</v>
      </c>
      <c r="F33" s="16">
        <v>14.23</v>
      </c>
      <c r="G33" s="22">
        <v>1</v>
      </c>
      <c r="H33" s="15">
        <v>1.4</v>
      </c>
      <c r="I33" s="15">
        <v>1.68</v>
      </c>
      <c r="J33" s="15">
        <v>2.23</v>
      </c>
      <c r="K33" s="15">
        <v>2.39</v>
      </c>
      <c r="L33" s="17">
        <v>2.57</v>
      </c>
      <c r="M33" s="18">
        <v>0</v>
      </c>
      <c r="N33" s="19">
        <f>(M33/12*1*$D33*$F33*$G33*$I33*N$11)+(M33/12*11*$E33*$F33*$G33*$I33*N$12)</f>
        <v>0</v>
      </c>
      <c r="O33" s="18"/>
      <c r="P33" s="19">
        <f t="shared" si="7"/>
        <v>0</v>
      </c>
      <c r="Q33" s="18"/>
      <c r="R33" s="19">
        <f t="shared" si="8"/>
        <v>0</v>
      </c>
      <c r="S33" s="18"/>
      <c r="T33" s="19">
        <f t="shared" si="9"/>
        <v>0</v>
      </c>
      <c r="U33" s="18">
        <v>0</v>
      </c>
      <c r="V33" s="19">
        <f t="shared" ref="V33:V96" si="35">(U33/12*1*$D33*$F33*$G33*$I33*V$11)+(U33/12*4*$E33*$F33*$G33*$I33*V$12)+(U33/12*7*$E33*$F33*$G33*$I33*V$13)</f>
        <v>0</v>
      </c>
      <c r="W33" s="18">
        <v>0</v>
      </c>
      <c r="X33" s="19">
        <f t="shared" ref="X33:X35" si="36">(W33/12*1*$D33*$F33*$G33*$I33*X$11)+(W33/12*4*$E33*$F33*$G33*$I33*X$12)+(W33/12*7*$E33*$F33*$G33*$I33*X$13)</f>
        <v>0</v>
      </c>
      <c r="Y33" s="18"/>
      <c r="Z33" s="19">
        <f t="shared" si="12"/>
        <v>0</v>
      </c>
      <c r="AA33" s="18">
        <v>0</v>
      </c>
      <c r="AB33" s="19">
        <f t="shared" ref="AB33:AB35" si="37">(AA33/12*1*$D33*$F33*$G33*$I33*AB$11)+(AA33/12*11*$E33*$F33*$G33*$I33*AB$12)</f>
        <v>0</v>
      </c>
      <c r="AC33" s="18">
        <v>0</v>
      </c>
      <c r="AD33" s="19">
        <f>(AC33/12*1*$D33*$F33*$G33*$H33*AD$11)+(AC33/12*11*$E33*$F33*$G33*$H33*AD$12)</f>
        <v>0</v>
      </c>
      <c r="AE33" s="18"/>
      <c r="AF33" s="19">
        <f>(AE33/12*1*$D33*$F33*$G33*$H33*AF$11)+(AE33/12*11*$E33*$F33*$G33*$H33*AF$12)</f>
        <v>0</v>
      </c>
      <c r="AG33" s="19">
        <f t="shared" si="15"/>
        <v>0</v>
      </c>
      <c r="AH33" s="20" t="e">
        <f t="shared" si="16"/>
        <v>#DIV/0!</v>
      </c>
      <c r="AI33" s="19"/>
      <c r="AJ33" s="19"/>
      <c r="AK33" s="18"/>
      <c r="AL33" s="19">
        <v>0</v>
      </c>
      <c r="AM33" s="18">
        <v>0</v>
      </c>
      <c r="AN33" s="19">
        <f>(AM33/12*1*$D33*$F33*$G33*$I33*AN$11)+(AM33/12*11*$E33*$F33*$G33*$I33*AN$12)</f>
        <v>0</v>
      </c>
    </row>
    <row r="34" spans="1:40" ht="60" x14ac:dyDescent="0.25">
      <c r="A34" s="31"/>
      <c r="B34" s="26">
        <v>14</v>
      </c>
      <c r="C34" s="14" t="s">
        <v>71</v>
      </c>
      <c r="D34" s="15">
        <f t="shared" si="14"/>
        <v>10127</v>
      </c>
      <c r="E34" s="15">
        <v>10127</v>
      </c>
      <c r="F34" s="16">
        <v>10.34</v>
      </c>
      <c r="G34" s="22">
        <v>1</v>
      </c>
      <c r="H34" s="15">
        <v>1.4</v>
      </c>
      <c r="I34" s="15">
        <v>1.68</v>
      </c>
      <c r="J34" s="15">
        <v>2.23</v>
      </c>
      <c r="K34" s="15">
        <v>2.39</v>
      </c>
      <c r="L34" s="17">
        <v>2.57</v>
      </c>
      <c r="M34" s="24"/>
      <c r="N34" s="19">
        <f>(M34/12*1*$D34*$F34*$G34*$I34*N$11)+(M34/12*11*$E34*$F34*$G34*$I34*N$12)</f>
        <v>0</v>
      </c>
      <c r="O34" s="24"/>
      <c r="P34" s="19">
        <f t="shared" si="7"/>
        <v>0</v>
      </c>
      <c r="Q34" s="24"/>
      <c r="R34" s="19">
        <f t="shared" si="8"/>
        <v>0</v>
      </c>
      <c r="S34" s="24"/>
      <c r="T34" s="19">
        <f t="shared" si="9"/>
        <v>0</v>
      </c>
      <c r="U34" s="24"/>
      <c r="V34" s="19">
        <f t="shared" si="35"/>
        <v>0</v>
      </c>
      <c r="W34" s="24"/>
      <c r="X34" s="19">
        <f t="shared" si="36"/>
        <v>0</v>
      </c>
      <c r="Y34" s="24"/>
      <c r="Z34" s="19">
        <f t="shared" si="12"/>
        <v>0</v>
      </c>
      <c r="AA34" s="24"/>
      <c r="AB34" s="19">
        <f t="shared" si="37"/>
        <v>0</v>
      </c>
      <c r="AC34" s="24"/>
      <c r="AD34" s="19">
        <f>(AC34/12*1*$D34*$F34*$G34*$H34*AD$11)+(AC34/12*11*$E34*$F34*$G34*$H34*AD$12)</f>
        <v>0</v>
      </c>
      <c r="AE34" s="24"/>
      <c r="AF34" s="19">
        <f>(AE34/12*1*$D34*$F34*$G34*$H34*AF$11)+(AE34/12*11*$E34*$F34*$G34*$H34*AF$12)</f>
        <v>0</v>
      </c>
      <c r="AG34" s="19">
        <f t="shared" si="15"/>
        <v>0</v>
      </c>
      <c r="AH34" s="20" t="e">
        <f t="shared" si="16"/>
        <v>#DIV/0!</v>
      </c>
      <c r="AI34" s="19"/>
      <c r="AJ34" s="19"/>
      <c r="AK34" s="24"/>
      <c r="AL34" s="19">
        <v>0</v>
      </c>
      <c r="AM34" s="24"/>
      <c r="AN34" s="19">
        <f>(AM34/12*1*$D34*$F34*$G34*$I34*AN$11)+(AM34/12*11*$E34*$F34*$G34*$I34*AN$12)</f>
        <v>0</v>
      </c>
    </row>
    <row r="35" spans="1:40" ht="60" x14ac:dyDescent="0.25">
      <c r="A35" s="31"/>
      <c r="B35" s="26">
        <v>15</v>
      </c>
      <c r="C35" s="23" t="s">
        <v>72</v>
      </c>
      <c r="D35" s="15">
        <f t="shared" si="14"/>
        <v>10127</v>
      </c>
      <c r="E35" s="15">
        <v>10127</v>
      </c>
      <c r="F35" s="16">
        <v>7.95</v>
      </c>
      <c r="G35" s="22">
        <v>1</v>
      </c>
      <c r="H35" s="15">
        <v>1.4</v>
      </c>
      <c r="I35" s="15">
        <v>1.68</v>
      </c>
      <c r="J35" s="15">
        <v>2.23</v>
      </c>
      <c r="K35" s="15">
        <v>2.39</v>
      </c>
      <c r="L35" s="17">
        <v>2.57</v>
      </c>
      <c r="M35" s="24"/>
      <c r="N35" s="19">
        <f>(M35/12*1*$D35*$F35*$G35*$I35*N$11)+(M35/12*11*$E35*$F35*$G35*$I35*N$12)</f>
        <v>0</v>
      </c>
      <c r="O35" s="24"/>
      <c r="P35" s="19">
        <f t="shared" si="7"/>
        <v>0</v>
      </c>
      <c r="Q35" s="24"/>
      <c r="R35" s="19">
        <f t="shared" si="8"/>
        <v>0</v>
      </c>
      <c r="S35" s="24"/>
      <c r="T35" s="19">
        <f t="shared" si="9"/>
        <v>0</v>
      </c>
      <c r="U35" s="24"/>
      <c r="V35" s="19">
        <f t="shared" si="35"/>
        <v>0</v>
      </c>
      <c r="W35" s="24"/>
      <c r="X35" s="19">
        <f t="shared" si="36"/>
        <v>0</v>
      </c>
      <c r="Y35" s="24"/>
      <c r="Z35" s="19">
        <f t="shared" si="12"/>
        <v>0</v>
      </c>
      <c r="AA35" s="24"/>
      <c r="AB35" s="19">
        <f t="shared" si="37"/>
        <v>0</v>
      </c>
      <c r="AC35" s="24"/>
      <c r="AD35" s="19">
        <f>(AC35/12*1*$D35*$F35*$G35*$H35*AD$11)+(AC35/12*11*$E35*$F35*$G35*$H35*AD$12)</f>
        <v>0</v>
      </c>
      <c r="AE35" s="24"/>
      <c r="AF35" s="19">
        <f>(AE35/12*1*$D35*$F35*$G35*$H35*AF$11)+(AE35/12*11*$E35*$F35*$G35*$H35*AF$12)</f>
        <v>0</v>
      </c>
      <c r="AG35" s="19">
        <f t="shared" si="15"/>
        <v>0</v>
      </c>
      <c r="AH35" s="20" t="e">
        <f t="shared" si="16"/>
        <v>#DIV/0!</v>
      </c>
      <c r="AI35" s="19"/>
      <c r="AJ35" s="19"/>
      <c r="AK35" s="24"/>
      <c r="AL35" s="19">
        <v>0</v>
      </c>
      <c r="AM35" s="24"/>
      <c r="AN35" s="19">
        <f>(AM35/12*1*$D35*$F35*$G35*$I35*AN$11)+(AM35/12*11*$E35*$F35*$G35*$I35*AN$12)</f>
        <v>0</v>
      </c>
    </row>
    <row r="36" spans="1:40" s="41" customFormat="1" x14ac:dyDescent="0.25">
      <c r="A36" s="31">
        <v>9</v>
      </c>
      <c r="B36" s="31"/>
      <c r="C36" s="32" t="s">
        <v>73</v>
      </c>
      <c r="D36" s="15">
        <f t="shared" si="14"/>
        <v>10127</v>
      </c>
      <c r="E36" s="15">
        <v>10127</v>
      </c>
      <c r="F36" s="36"/>
      <c r="G36" s="35"/>
      <c r="H36" s="33"/>
      <c r="I36" s="33"/>
      <c r="J36" s="33"/>
      <c r="K36" s="33"/>
      <c r="L36" s="17">
        <v>2.57</v>
      </c>
      <c r="M36" s="37">
        <f t="shared" ref="M36:U36" si="38">SUM(M37:M38)</f>
        <v>19</v>
      </c>
      <c r="N36" s="37">
        <f t="shared" si="38"/>
        <v>450551.20219199988</v>
      </c>
      <c r="O36" s="37">
        <f t="shared" si="38"/>
        <v>0</v>
      </c>
      <c r="P36" s="37">
        <f t="shared" si="38"/>
        <v>0</v>
      </c>
      <c r="Q36" s="37">
        <f t="shared" si="38"/>
        <v>0</v>
      </c>
      <c r="R36" s="37">
        <f t="shared" si="38"/>
        <v>0</v>
      </c>
      <c r="S36" s="37">
        <f t="shared" si="38"/>
        <v>0</v>
      </c>
      <c r="T36" s="37">
        <f t="shared" si="38"/>
        <v>0</v>
      </c>
      <c r="U36" s="37">
        <f t="shared" si="38"/>
        <v>0</v>
      </c>
      <c r="V36" s="37">
        <f t="shared" ref="V36:AN36" si="39">SUM(V37:V38)</f>
        <v>0</v>
      </c>
      <c r="W36" s="37">
        <f t="shared" si="39"/>
        <v>0</v>
      </c>
      <c r="X36" s="37">
        <f t="shared" si="39"/>
        <v>0</v>
      </c>
      <c r="Y36" s="37">
        <f t="shared" si="39"/>
        <v>0</v>
      </c>
      <c r="Z36" s="37">
        <f t="shared" si="39"/>
        <v>0</v>
      </c>
      <c r="AA36" s="37">
        <f t="shared" si="39"/>
        <v>0</v>
      </c>
      <c r="AB36" s="37">
        <f t="shared" si="39"/>
        <v>0</v>
      </c>
      <c r="AC36" s="37">
        <f t="shared" si="39"/>
        <v>0</v>
      </c>
      <c r="AD36" s="37">
        <f t="shared" si="39"/>
        <v>0</v>
      </c>
      <c r="AE36" s="37">
        <f t="shared" si="39"/>
        <v>1</v>
      </c>
      <c r="AF36" s="37">
        <f t="shared" si="39"/>
        <v>21375.160169999996</v>
      </c>
      <c r="AG36" s="37">
        <f t="shared" si="39"/>
        <v>0</v>
      </c>
      <c r="AH36" s="37" t="e">
        <f t="shared" si="39"/>
        <v>#DIV/0!</v>
      </c>
      <c r="AI36" s="37">
        <f t="shared" si="39"/>
        <v>0</v>
      </c>
      <c r="AJ36" s="37">
        <f t="shared" si="39"/>
        <v>0</v>
      </c>
      <c r="AK36" s="37">
        <v>0</v>
      </c>
      <c r="AL36" s="37">
        <v>0</v>
      </c>
      <c r="AM36" s="37">
        <f t="shared" ref="AM36" si="40">SUM(AM37:AM38)</f>
        <v>0</v>
      </c>
      <c r="AN36" s="37">
        <f t="shared" si="39"/>
        <v>0</v>
      </c>
    </row>
    <row r="37" spans="1:40" ht="30" x14ac:dyDescent="0.25">
      <c r="A37" s="31"/>
      <c r="B37" s="6">
        <v>16</v>
      </c>
      <c r="C37" s="23" t="s">
        <v>74</v>
      </c>
      <c r="D37" s="15">
        <f t="shared" si="14"/>
        <v>10127</v>
      </c>
      <c r="E37" s="15">
        <v>10127</v>
      </c>
      <c r="F37" s="16">
        <v>1.38</v>
      </c>
      <c r="G37" s="22">
        <v>1</v>
      </c>
      <c r="H37" s="15">
        <v>1.4</v>
      </c>
      <c r="I37" s="15">
        <v>1.68</v>
      </c>
      <c r="J37" s="15">
        <v>2.23</v>
      </c>
      <c r="K37" s="15">
        <v>2.39</v>
      </c>
      <c r="L37" s="17">
        <v>2.57</v>
      </c>
      <c r="M37" s="18">
        <f>56-37</f>
        <v>19</v>
      </c>
      <c r="N37" s="19">
        <f>(M37/12*1*$D37*$F37*$G37*$I37*N$11)+(M37/12*11*$E37*$F37*$G37*$I37*N$12)</f>
        <v>450551.20219199988</v>
      </c>
      <c r="O37" s="18"/>
      <c r="P37" s="19">
        <f t="shared" si="7"/>
        <v>0</v>
      </c>
      <c r="Q37" s="18"/>
      <c r="R37" s="19">
        <f t="shared" si="8"/>
        <v>0</v>
      </c>
      <c r="S37" s="18"/>
      <c r="T37" s="19">
        <f t="shared" si="9"/>
        <v>0</v>
      </c>
      <c r="U37" s="18"/>
      <c r="V37" s="19">
        <f t="shared" si="35"/>
        <v>0</v>
      </c>
      <c r="W37" s="18"/>
      <c r="X37" s="19">
        <f t="shared" ref="X37:X108" si="41">(W37/12*1*$D37*$F37*$G37*$I37*X$11)+(W37/12*4*$E37*$F37*$G37*$I37*X$12)+(W37/12*7*$E37*$F37*$G37*$I37*X$13)</f>
        <v>0</v>
      </c>
      <c r="Y37" s="18"/>
      <c r="Z37" s="19">
        <f t="shared" si="12"/>
        <v>0</v>
      </c>
      <c r="AA37" s="18"/>
      <c r="AB37" s="19">
        <f t="shared" ref="AB37:AB38" si="42">(AA37/12*1*$D37*$F37*$G37*$I37*AB$11)+(AA37/12*11*$E37*$F37*$G37*$I37*AB$12)</f>
        <v>0</v>
      </c>
      <c r="AC37" s="18"/>
      <c r="AD37" s="19">
        <f>(AC37/12*1*$D37*$F37*$G37*$H37*AD$11)+(AC37/12*11*$E37*$F37*$G37*$H37*AD$12)</f>
        <v>0</v>
      </c>
      <c r="AE37" s="18">
        <v>1</v>
      </c>
      <c r="AF37" s="19">
        <f>(AE37/12*1*$D37*$F37*$G37*$H37*AF$11)+(AE37/12*11*$E37*$F37*$G37*$H37*AF$12)</f>
        <v>21375.160169999996</v>
      </c>
      <c r="AG37" s="19">
        <f t="shared" si="15"/>
        <v>0</v>
      </c>
      <c r="AH37" s="20">
        <f t="shared" si="16"/>
        <v>0</v>
      </c>
      <c r="AI37" s="19">
        <v>0</v>
      </c>
      <c r="AJ37" s="19">
        <v>0</v>
      </c>
      <c r="AK37" s="18"/>
      <c r="AL37" s="19">
        <v>0</v>
      </c>
      <c r="AM37" s="18"/>
      <c r="AN37" s="19">
        <f>(AM37/12*1*$D37*$F37*$G37*$I37*AN$11)+(AM37/12*11*$E37*$F37*$G37*$I37*AN$12)</f>
        <v>0</v>
      </c>
    </row>
    <row r="38" spans="1:40" ht="30" x14ac:dyDescent="0.25">
      <c r="A38" s="31"/>
      <c r="B38" s="26">
        <v>17</v>
      </c>
      <c r="C38" s="23" t="s">
        <v>75</v>
      </c>
      <c r="D38" s="15">
        <f t="shared" si="14"/>
        <v>10127</v>
      </c>
      <c r="E38" s="15">
        <v>10127</v>
      </c>
      <c r="F38" s="22">
        <v>2.09</v>
      </c>
      <c r="G38" s="22">
        <v>1</v>
      </c>
      <c r="H38" s="15">
        <v>1.4</v>
      </c>
      <c r="I38" s="15">
        <v>1.68</v>
      </c>
      <c r="J38" s="15">
        <v>2.23</v>
      </c>
      <c r="K38" s="15">
        <v>2.39</v>
      </c>
      <c r="L38" s="17">
        <v>2.57</v>
      </c>
      <c r="M38" s="24"/>
      <c r="N38" s="19">
        <f>(M38/12*1*$D38*$F38*$G38*$I38*N$11)+(M38/12*11*$E38*$F38*$G38*$I38*N$12)</f>
        <v>0</v>
      </c>
      <c r="O38" s="24"/>
      <c r="P38" s="19">
        <f t="shared" si="7"/>
        <v>0</v>
      </c>
      <c r="Q38" s="24"/>
      <c r="R38" s="19">
        <f t="shared" si="8"/>
        <v>0</v>
      </c>
      <c r="S38" s="24"/>
      <c r="T38" s="19">
        <f t="shared" si="9"/>
        <v>0</v>
      </c>
      <c r="U38" s="24"/>
      <c r="V38" s="19">
        <f t="shared" si="35"/>
        <v>0</v>
      </c>
      <c r="W38" s="24"/>
      <c r="X38" s="19">
        <f t="shared" si="41"/>
        <v>0</v>
      </c>
      <c r="Y38" s="24"/>
      <c r="Z38" s="19">
        <f t="shared" si="12"/>
        <v>0</v>
      </c>
      <c r="AA38" s="24"/>
      <c r="AB38" s="19">
        <f t="shared" si="42"/>
        <v>0</v>
      </c>
      <c r="AC38" s="24"/>
      <c r="AD38" s="19">
        <f>(AC38/12*1*$D38*$F38*$G38*$H38*AD$11)+(AC38/12*11*$E38*$F38*$G38*$H38*AD$12)</f>
        <v>0</v>
      </c>
      <c r="AE38" s="24"/>
      <c r="AF38" s="19">
        <f>(AE38/12*1*$D38*$F38*$G38*$H38*AF$11)+(AE38/12*11*$E38*$F38*$G38*$H38*AF$12)</f>
        <v>0</v>
      </c>
      <c r="AG38" s="19">
        <f t="shared" si="15"/>
        <v>0</v>
      </c>
      <c r="AH38" s="20" t="e">
        <f t="shared" si="16"/>
        <v>#DIV/0!</v>
      </c>
      <c r="AI38" s="19"/>
      <c r="AJ38" s="19"/>
      <c r="AK38" s="24"/>
      <c r="AL38" s="19">
        <v>0</v>
      </c>
      <c r="AM38" s="24"/>
      <c r="AN38" s="19">
        <f>(AM38/12*1*$D38*$F38*$G38*$I38*AN$11)+(AM38/12*11*$E38*$F38*$G38*$I38*AN$12)</f>
        <v>0</v>
      </c>
    </row>
    <row r="39" spans="1:40" s="41" customFormat="1" x14ac:dyDescent="0.25">
      <c r="A39" s="31">
        <v>10</v>
      </c>
      <c r="B39" s="31"/>
      <c r="C39" s="32" t="s">
        <v>76</v>
      </c>
      <c r="D39" s="15">
        <f t="shared" si="14"/>
        <v>10127</v>
      </c>
      <c r="E39" s="15">
        <v>10127</v>
      </c>
      <c r="F39" s="36"/>
      <c r="G39" s="35"/>
      <c r="H39" s="33"/>
      <c r="I39" s="33"/>
      <c r="J39" s="33"/>
      <c r="K39" s="33"/>
      <c r="L39" s="17">
        <v>2.57</v>
      </c>
      <c r="M39" s="37">
        <f t="shared" ref="M39:U39" si="43">SUM(M40)</f>
        <v>34</v>
      </c>
      <c r="N39" s="37">
        <f t="shared" si="43"/>
        <v>934782.05184000009</v>
      </c>
      <c r="O39" s="37">
        <f t="shared" si="43"/>
        <v>0</v>
      </c>
      <c r="P39" s="37">
        <f t="shared" si="43"/>
        <v>0</v>
      </c>
      <c r="Q39" s="37">
        <f t="shared" si="43"/>
        <v>0</v>
      </c>
      <c r="R39" s="37">
        <f t="shared" si="43"/>
        <v>0</v>
      </c>
      <c r="S39" s="37">
        <f t="shared" si="43"/>
        <v>0</v>
      </c>
      <c r="T39" s="37">
        <f t="shared" si="43"/>
        <v>0</v>
      </c>
      <c r="U39" s="37">
        <f t="shared" si="43"/>
        <v>0</v>
      </c>
      <c r="V39" s="37">
        <f t="shared" ref="V39:AN39" si="44">SUM(V40)</f>
        <v>0</v>
      </c>
      <c r="W39" s="37">
        <f t="shared" si="44"/>
        <v>0</v>
      </c>
      <c r="X39" s="37">
        <f t="shared" si="44"/>
        <v>0</v>
      </c>
      <c r="Y39" s="37">
        <f t="shared" si="44"/>
        <v>0</v>
      </c>
      <c r="Z39" s="37">
        <f t="shared" si="44"/>
        <v>0</v>
      </c>
      <c r="AA39" s="37">
        <f t="shared" si="44"/>
        <v>0</v>
      </c>
      <c r="AB39" s="37">
        <f t="shared" si="44"/>
        <v>0</v>
      </c>
      <c r="AC39" s="37">
        <f t="shared" si="44"/>
        <v>0</v>
      </c>
      <c r="AD39" s="37">
        <f t="shared" si="44"/>
        <v>0</v>
      </c>
      <c r="AE39" s="37">
        <f t="shared" si="44"/>
        <v>0</v>
      </c>
      <c r="AF39" s="37">
        <f t="shared" si="44"/>
        <v>0</v>
      </c>
      <c r="AG39" s="37">
        <f t="shared" si="44"/>
        <v>0</v>
      </c>
      <c r="AH39" s="37" t="e">
        <f t="shared" si="44"/>
        <v>#DIV/0!</v>
      </c>
      <c r="AI39" s="37">
        <f t="shared" si="44"/>
        <v>0</v>
      </c>
      <c r="AJ39" s="37">
        <f t="shared" si="44"/>
        <v>0</v>
      </c>
      <c r="AK39" s="37">
        <v>0</v>
      </c>
      <c r="AL39" s="37">
        <v>0</v>
      </c>
      <c r="AM39" s="37">
        <f t="shared" ref="AM39" si="45">SUM(AM40)</f>
        <v>0</v>
      </c>
      <c r="AN39" s="37">
        <f t="shared" si="44"/>
        <v>0</v>
      </c>
    </row>
    <row r="40" spans="1:40" x14ac:dyDescent="0.25">
      <c r="A40" s="31"/>
      <c r="B40" s="6">
        <v>18</v>
      </c>
      <c r="C40" s="23" t="s">
        <v>77</v>
      </c>
      <c r="D40" s="15">
        <f t="shared" si="14"/>
        <v>10127</v>
      </c>
      <c r="E40" s="15">
        <v>10127</v>
      </c>
      <c r="F40" s="16">
        <v>1.6</v>
      </c>
      <c r="G40" s="22">
        <v>1</v>
      </c>
      <c r="H40" s="15">
        <v>1.4</v>
      </c>
      <c r="I40" s="15">
        <v>1.68</v>
      </c>
      <c r="J40" s="15">
        <v>2.23</v>
      </c>
      <c r="K40" s="15">
        <v>2.39</v>
      </c>
      <c r="L40" s="17">
        <v>2.57</v>
      </c>
      <c r="M40" s="18">
        <f>50-16</f>
        <v>34</v>
      </c>
      <c r="N40" s="19">
        <f>(M40/12*1*$D40*$F40*$G40*$I40*N$11)+(M40/12*11*$E40*$F40*$G40*$I40*N$12)</f>
        <v>934782.05184000009</v>
      </c>
      <c r="O40" s="18"/>
      <c r="P40" s="19">
        <f t="shared" si="7"/>
        <v>0</v>
      </c>
      <c r="Q40" s="18"/>
      <c r="R40" s="19">
        <f t="shared" si="8"/>
        <v>0</v>
      </c>
      <c r="S40" s="18"/>
      <c r="T40" s="19">
        <f t="shared" si="9"/>
        <v>0</v>
      </c>
      <c r="U40" s="18"/>
      <c r="V40" s="19">
        <f t="shared" si="35"/>
        <v>0</v>
      </c>
      <c r="W40" s="18"/>
      <c r="X40" s="19">
        <f t="shared" si="41"/>
        <v>0</v>
      </c>
      <c r="Y40" s="18"/>
      <c r="Z40" s="19">
        <f t="shared" si="12"/>
        <v>0</v>
      </c>
      <c r="AA40" s="18"/>
      <c r="AB40" s="19">
        <f>(AA40/12*1*$D40*$F40*$G40*$I40*AB$11)+(AA40/12*11*$E40*$F40*$G40*$I40*AB$12)</f>
        <v>0</v>
      </c>
      <c r="AC40" s="18"/>
      <c r="AD40" s="19">
        <f>(AC40/12*1*$D40*$F40*$G40*$H40*AD$11)+(AC40/12*11*$E40*$F40*$G40*$H40*AD$12)</f>
        <v>0</v>
      </c>
      <c r="AE40" s="25"/>
      <c r="AF40" s="19">
        <f>(AE40/12*1*$D40*$F40*$G40*$H40*AF$11)+(AE40/12*11*$E40*$F40*$G40*$H40*AF$12)</f>
        <v>0</v>
      </c>
      <c r="AG40" s="19">
        <f t="shared" si="15"/>
        <v>0</v>
      </c>
      <c r="AH40" s="20" t="e">
        <f t="shared" si="16"/>
        <v>#DIV/0!</v>
      </c>
      <c r="AI40" s="19">
        <v>0</v>
      </c>
      <c r="AJ40" s="19">
        <v>0</v>
      </c>
      <c r="AK40" s="18"/>
      <c r="AL40" s="19">
        <v>0</v>
      </c>
      <c r="AM40" s="18"/>
      <c r="AN40" s="19">
        <f>(AM40/12*1*$D40*$F40*$G40*$I40*AN$11)+(AM40/12*11*$E40*$F40*$G40*$I40*AN$12)</f>
        <v>0</v>
      </c>
    </row>
    <row r="41" spans="1:40" s="41" customFormat="1" x14ac:dyDescent="0.25">
      <c r="A41" s="31">
        <v>11</v>
      </c>
      <c r="B41" s="31"/>
      <c r="C41" s="32" t="s">
        <v>78</v>
      </c>
      <c r="D41" s="15">
        <f t="shared" si="14"/>
        <v>10127</v>
      </c>
      <c r="E41" s="15">
        <v>10127</v>
      </c>
      <c r="F41" s="36"/>
      <c r="G41" s="35"/>
      <c r="H41" s="33"/>
      <c r="I41" s="33"/>
      <c r="J41" s="33"/>
      <c r="K41" s="33"/>
      <c r="L41" s="17">
        <v>2.57</v>
      </c>
      <c r="M41" s="25">
        <f t="shared" ref="M41:U41" si="46">SUM(M42:M43)</f>
        <v>14</v>
      </c>
      <c r="N41" s="25">
        <f t="shared" si="46"/>
        <v>331641.42648000002</v>
      </c>
      <c r="O41" s="25">
        <f t="shared" si="46"/>
        <v>0</v>
      </c>
      <c r="P41" s="25">
        <f t="shared" si="46"/>
        <v>0</v>
      </c>
      <c r="Q41" s="25">
        <f t="shared" si="46"/>
        <v>0</v>
      </c>
      <c r="R41" s="25">
        <f t="shared" si="46"/>
        <v>0</v>
      </c>
      <c r="S41" s="25">
        <f t="shared" si="46"/>
        <v>0</v>
      </c>
      <c r="T41" s="25">
        <f t="shared" si="46"/>
        <v>0</v>
      </c>
      <c r="U41" s="25">
        <f t="shared" si="46"/>
        <v>0</v>
      </c>
      <c r="V41" s="25">
        <f t="shared" ref="V41:AN41" si="47">SUM(V42:V43)</f>
        <v>0</v>
      </c>
      <c r="W41" s="25">
        <f t="shared" si="47"/>
        <v>0</v>
      </c>
      <c r="X41" s="25">
        <f t="shared" si="47"/>
        <v>0</v>
      </c>
      <c r="Y41" s="25">
        <f t="shared" si="47"/>
        <v>0</v>
      </c>
      <c r="Z41" s="25">
        <f t="shared" si="47"/>
        <v>0</v>
      </c>
      <c r="AA41" s="25">
        <f t="shared" si="47"/>
        <v>0</v>
      </c>
      <c r="AB41" s="25">
        <f t="shared" si="47"/>
        <v>0</v>
      </c>
      <c r="AC41" s="25">
        <f t="shared" si="47"/>
        <v>0</v>
      </c>
      <c r="AD41" s="25">
        <f t="shared" si="47"/>
        <v>0</v>
      </c>
      <c r="AE41" s="25">
        <f t="shared" si="47"/>
        <v>0</v>
      </c>
      <c r="AF41" s="25">
        <f t="shared" si="47"/>
        <v>0</v>
      </c>
      <c r="AG41" s="25">
        <f t="shared" si="47"/>
        <v>0</v>
      </c>
      <c r="AH41" s="25" t="e">
        <f t="shared" si="47"/>
        <v>#DIV/0!</v>
      </c>
      <c r="AI41" s="25">
        <f t="shared" si="47"/>
        <v>0</v>
      </c>
      <c r="AJ41" s="25">
        <f t="shared" si="47"/>
        <v>0</v>
      </c>
      <c r="AK41" s="25">
        <v>0</v>
      </c>
      <c r="AL41" s="25">
        <v>0</v>
      </c>
      <c r="AM41" s="25">
        <f t="shared" ref="AM41" si="48">SUM(AM42:AM43)</f>
        <v>0</v>
      </c>
      <c r="AN41" s="25">
        <f t="shared" si="47"/>
        <v>0</v>
      </c>
    </row>
    <row r="42" spans="1:40" x14ac:dyDescent="0.25">
      <c r="A42" s="31"/>
      <c r="B42" s="6">
        <v>19</v>
      </c>
      <c r="C42" s="14" t="s">
        <v>79</v>
      </c>
      <c r="D42" s="15">
        <f t="shared" si="14"/>
        <v>10127</v>
      </c>
      <c r="E42" s="15">
        <v>10127</v>
      </c>
      <c r="F42" s="16">
        <v>1.49</v>
      </c>
      <c r="G42" s="22">
        <v>1</v>
      </c>
      <c r="H42" s="15">
        <v>1.4</v>
      </c>
      <c r="I42" s="15">
        <v>1.68</v>
      </c>
      <c r="J42" s="15">
        <v>2.23</v>
      </c>
      <c r="K42" s="15">
        <v>2.39</v>
      </c>
      <c r="L42" s="17">
        <v>2.57</v>
      </c>
      <c r="M42" s="18">
        <f>4-2</f>
        <v>2</v>
      </c>
      <c r="N42" s="19">
        <f>(M42/12*1*$D42*$F42*$G42*$I42*N$11)+(M42/12*11*$E42*$F42*$G42*$I42*N$12)</f>
        <v>51206.810927999992</v>
      </c>
      <c r="O42" s="18"/>
      <c r="P42" s="19">
        <f t="shared" si="7"/>
        <v>0</v>
      </c>
      <c r="Q42" s="18"/>
      <c r="R42" s="19">
        <f t="shared" si="8"/>
        <v>0</v>
      </c>
      <c r="S42" s="18"/>
      <c r="T42" s="19">
        <f t="shared" si="9"/>
        <v>0</v>
      </c>
      <c r="U42" s="18">
        <v>0</v>
      </c>
      <c r="V42" s="19">
        <f t="shared" si="35"/>
        <v>0</v>
      </c>
      <c r="W42" s="18">
        <v>0</v>
      </c>
      <c r="X42" s="19">
        <f t="shared" si="41"/>
        <v>0</v>
      </c>
      <c r="Y42" s="18"/>
      <c r="Z42" s="19">
        <f t="shared" si="12"/>
        <v>0</v>
      </c>
      <c r="AA42" s="18">
        <v>0</v>
      </c>
      <c r="AB42" s="19">
        <f t="shared" ref="AB42:AB43" si="49">(AA42/12*1*$D42*$F42*$G42*$I42*AB$11)+(AA42/12*11*$E42*$F42*$G42*$I42*AB$12)</f>
        <v>0</v>
      </c>
      <c r="AC42" s="18">
        <v>0</v>
      </c>
      <c r="AD42" s="19">
        <f>(AC42/12*1*$D42*$F42*$G42*$H42*AD$11)+(AC42/12*11*$E42*$F42*$G42*$H42*AD$12)</f>
        <v>0</v>
      </c>
      <c r="AE42" s="18"/>
      <c r="AF42" s="19">
        <f>(AE42/12*1*$D42*$F42*$G42*$H42*AF$11)+(AE42/12*11*$E42*$F42*$G42*$H42*AF$12)</f>
        <v>0</v>
      </c>
      <c r="AG42" s="19">
        <f t="shared" si="15"/>
        <v>0</v>
      </c>
      <c r="AH42" s="20" t="e">
        <f t="shared" si="16"/>
        <v>#DIV/0!</v>
      </c>
      <c r="AI42" s="19">
        <v>0</v>
      </c>
      <c r="AJ42" s="19">
        <v>0</v>
      </c>
      <c r="AK42" s="18"/>
      <c r="AL42" s="19">
        <v>0</v>
      </c>
      <c r="AM42" s="18">
        <v>0</v>
      </c>
      <c r="AN42" s="19">
        <f>(AM42/12*1*$D42*$F42*$G42*$I42*AN$11)+(AM42/12*11*$E42*$F42*$G42*$I42*AN$12)</f>
        <v>0</v>
      </c>
    </row>
    <row r="43" spans="1:40" ht="30" x14ac:dyDescent="0.25">
      <c r="A43" s="31"/>
      <c r="B43" s="6">
        <v>20</v>
      </c>
      <c r="C43" s="23" t="s">
        <v>80</v>
      </c>
      <c r="D43" s="15">
        <f t="shared" si="14"/>
        <v>10127</v>
      </c>
      <c r="E43" s="15">
        <v>10127</v>
      </c>
      <c r="F43" s="16">
        <v>1.36</v>
      </c>
      <c r="G43" s="22">
        <v>1</v>
      </c>
      <c r="H43" s="15">
        <v>1.4</v>
      </c>
      <c r="I43" s="15">
        <v>1.68</v>
      </c>
      <c r="J43" s="15">
        <v>2.23</v>
      </c>
      <c r="K43" s="15">
        <v>2.39</v>
      </c>
      <c r="L43" s="17">
        <v>2.57</v>
      </c>
      <c r="M43" s="18">
        <f>22-10</f>
        <v>12</v>
      </c>
      <c r="N43" s="19">
        <f>(M43/12*1*$D43*$F43*$G43*$I43*N$11)+(M43/12*11*$E43*$F43*$G43*$I43*N$12)</f>
        <v>280434.615552</v>
      </c>
      <c r="O43" s="18"/>
      <c r="P43" s="19">
        <f t="shared" si="7"/>
        <v>0</v>
      </c>
      <c r="Q43" s="18"/>
      <c r="R43" s="19">
        <f t="shared" si="8"/>
        <v>0</v>
      </c>
      <c r="S43" s="18"/>
      <c r="T43" s="19">
        <f t="shared" si="9"/>
        <v>0</v>
      </c>
      <c r="U43" s="18"/>
      <c r="V43" s="19">
        <f t="shared" si="35"/>
        <v>0</v>
      </c>
      <c r="W43" s="18"/>
      <c r="X43" s="19">
        <f t="shared" si="41"/>
        <v>0</v>
      </c>
      <c r="Y43" s="18"/>
      <c r="Z43" s="19">
        <f t="shared" si="12"/>
        <v>0</v>
      </c>
      <c r="AA43" s="18"/>
      <c r="AB43" s="19">
        <f t="shared" si="49"/>
        <v>0</v>
      </c>
      <c r="AC43" s="18"/>
      <c r="AD43" s="19">
        <f>(AC43/12*1*$D43*$F43*$G43*$H43*AD$11)+(AC43/12*11*$E43*$F43*$G43*$H43*AD$12)</f>
        <v>0</v>
      </c>
      <c r="AE43" s="18"/>
      <c r="AF43" s="19">
        <f>(AE43/12*1*$D43*$F43*$G43*$H43*AF$11)+(AE43/12*11*$E43*$F43*$G43*$H43*AF$12)</f>
        <v>0</v>
      </c>
      <c r="AG43" s="19">
        <f t="shared" si="15"/>
        <v>0</v>
      </c>
      <c r="AH43" s="20" t="e">
        <f t="shared" si="16"/>
        <v>#DIV/0!</v>
      </c>
      <c r="AI43" s="19">
        <v>0</v>
      </c>
      <c r="AJ43" s="19">
        <v>0</v>
      </c>
      <c r="AK43" s="18"/>
      <c r="AL43" s="19">
        <v>0</v>
      </c>
      <c r="AM43" s="18"/>
      <c r="AN43" s="19">
        <f>(AM43/12*1*$D43*$F43*$G43*$I43*AN$11)+(AM43/12*11*$E43*$F43*$G43*$I43*AN$12)</f>
        <v>0</v>
      </c>
    </row>
    <row r="44" spans="1:40" s="41" customFormat="1" x14ac:dyDescent="0.25">
      <c r="A44" s="31">
        <v>12</v>
      </c>
      <c r="B44" s="31"/>
      <c r="C44" s="32" t="s">
        <v>81</v>
      </c>
      <c r="D44" s="15">
        <f t="shared" si="14"/>
        <v>10127</v>
      </c>
      <c r="E44" s="15">
        <v>10127</v>
      </c>
      <c r="F44" s="36"/>
      <c r="G44" s="35"/>
      <c r="H44" s="33"/>
      <c r="I44" s="33"/>
      <c r="J44" s="33"/>
      <c r="K44" s="33"/>
      <c r="L44" s="17">
        <v>2.57</v>
      </c>
      <c r="M44" s="25">
        <f t="shared" ref="M44:U44" si="50">SUM(M45:M53)</f>
        <v>65</v>
      </c>
      <c r="N44" s="25">
        <f t="shared" si="50"/>
        <v>918457.73291999998</v>
      </c>
      <c r="O44" s="25">
        <f t="shared" si="50"/>
        <v>280</v>
      </c>
      <c r="P44" s="25">
        <f t="shared" si="50"/>
        <v>2501814.5880000005</v>
      </c>
      <c r="Q44" s="25">
        <f t="shared" si="50"/>
        <v>123</v>
      </c>
      <c r="R44" s="25">
        <f t="shared" si="50"/>
        <v>1442399.7497</v>
      </c>
      <c r="S44" s="25">
        <f t="shared" si="50"/>
        <v>220</v>
      </c>
      <c r="T44" s="25">
        <f t="shared" si="50"/>
        <v>1800438.8220000004</v>
      </c>
      <c r="U44" s="25">
        <f t="shared" si="50"/>
        <v>6</v>
      </c>
      <c r="V44" s="25">
        <f t="shared" ref="V44:AN44" si="51">SUM(V45:V53)</f>
        <v>90332.43492</v>
      </c>
      <c r="W44" s="25">
        <f t="shared" si="51"/>
        <v>19</v>
      </c>
      <c r="X44" s="25">
        <f t="shared" si="51"/>
        <v>338689.21086000005</v>
      </c>
      <c r="Y44" s="25">
        <f t="shared" si="51"/>
        <v>174</v>
      </c>
      <c r="Z44" s="25">
        <f t="shared" si="51"/>
        <v>2107241.6880666665</v>
      </c>
      <c r="AA44" s="25">
        <f t="shared" si="51"/>
        <v>3</v>
      </c>
      <c r="AB44" s="25">
        <f t="shared" si="51"/>
        <v>54195.718012800004</v>
      </c>
      <c r="AC44" s="25">
        <f t="shared" si="51"/>
        <v>5</v>
      </c>
      <c r="AD44" s="25">
        <f t="shared" si="51"/>
        <v>75122.845525000012</v>
      </c>
      <c r="AE44" s="25">
        <f t="shared" si="51"/>
        <v>16</v>
      </c>
      <c r="AF44" s="25">
        <f t="shared" si="51"/>
        <v>240393.10567999998</v>
      </c>
      <c r="AG44" s="25">
        <f t="shared" si="51"/>
        <v>21</v>
      </c>
      <c r="AH44" s="25" t="e">
        <f t="shared" si="51"/>
        <v>#DIV/0!</v>
      </c>
      <c r="AI44" s="25">
        <f t="shared" si="51"/>
        <v>7</v>
      </c>
      <c r="AJ44" s="25">
        <f t="shared" si="51"/>
        <v>100077.95</v>
      </c>
      <c r="AK44" s="25">
        <v>32</v>
      </c>
      <c r="AL44" s="25">
        <v>774538.88511999988</v>
      </c>
      <c r="AM44" s="25">
        <f t="shared" ref="AM44" si="52">SUM(AM45:AM53)</f>
        <v>23</v>
      </c>
      <c r="AN44" s="25">
        <f t="shared" si="51"/>
        <v>587000.61783999996</v>
      </c>
    </row>
    <row r="45" spans="1:40" ht="30" x14ac:dyDescent="0.25">
      <c r="A45" s="31"/>
      <c r="B45" s="26">
        <v>21</v>
      </c>
      <c r="C45" s="23" t="s">
        <v>82</v>
      </c>
      <c r="D45" s="15">
        <f>D154</f>
        <v>10127</v>
      </c>
      <c r="E45" s="15">
        <v>10127</v>
      </c>
      <c r="F45" s="16">
        <v>2.75</v>
      </c>
      <c r="G45" s="22">
        <v>1</v>
      </c>
      <c r="H45" s="15">
        <v>1.4</v>
      </c>
      <c r="I45" s="15">
        <v>1.68</v>
      </c>
      <c r="J45" s="15">
        <v>2.23</v>
      </c>
      <c r="K45" s="15">
        <v>2.39</v>
      </c>
      <c r="L45" s="17">
        <v>2.57</v>
      </c>
      <c r="M45" s="18"/>
      <c r="N45" s="19">
        <f t="shared" ref="N45:N53" si="53">(M45/12*1*$D45*$F45*$G45*$I45*N$11)+(M45/12*11*$E45*$F45*$G45*$I45*N$12)</f>
        <v>0</v>
      </c>
      <c r="O45" s="18"/>
      <c r="P45" s="19">
        <f t="shared" si="7"/>
        <v>0</v>
      </c>
      <c r="Q45" s="18"/>
      <c r="R45" s="19">
        <f t="shared" si="8"/>
        <v>0</v>
      </c>
      <c r="S45" s="18"/>
      <c r="T45" s="19">
        <f t="shared" si="9"/>
        <v>0</v>
      </c>
      <c r="U45" s="18"/>
      <c r="V45" s="19">
        <f t="shared" si="35"/>
        <v>0</v>
      </c>
      <c r="W45" s="18"/>
      <c r="X45" s="19">
        <f t="shared" si="41"/>
        <v>0</v>
      </c>
      <c r="Y45" s="18"/>
      <c r="Z45" s="19">
        <f t="shared" si="12"/>
        <v>0</v>
      </c>
      <c r="AA45" s="18"/>
      <c r="AB45" s="19">
        <f t="shared" ref="AB45:AB53" si="54">(AA45/12*1*$D45*$F45*$G45*$I45*AB$11)+(AA45/12*11*$E45*$F45*$G45*$I45*AB$12)</f>
        <v>0</v>
      </c>
      <c r="AC45" s="18"/>
      <c r="AD45" s="19">
        <f t="shared" ref="AD45:AD53" si="55">(AC45/12*1*$D45*$F45*$G45*$H45*AD$11)+(AC45/12*11*$E45*$F45*$G45*$H45*AD$12)</f>
        <v>0</v>
      </c>
      <c r="AE45" s="18"/>
      <c r="AF45" s="19">
        <f t="shared" ref="AF45:AF53" si="56">(AE45/12*1*$D45*$F45*$G45*$H45*AF$11)+(AE45/12*11*$E45*$F45*$G45*$H45*AF$12)</f>
        <v>0</v>
      </c>
      <c r="AG45" s="19">
        <f t="shared" si="15"/>
        <v>0</v>
      </c>
      <c r="AH45" s="20" t="e">
        <f t="shared" si="16"/>
        <v>#DIV/0!</v>
      </c>
      <c r="AI45" s="19"/>
      <c r="AJ45" s="19"/>
      <c r="AK45" s="18"/>
      <c r="AL45" s="19">
        <v>0</v>
      </c>
      <c r="AM45" s="18"/>
      <c r="AN45" s="19">
        <f t="shared" ref="AN45:AN53" si="57">(AM45/12*1*$D45*$F45*$G45*$I45*AN$11)+(AM45/12*11*$E45*$F45*$G45*$I45*AN$12)</f>
        <v>0</v>
      </c>
    </row>
    <row r="46" spans="1:40" ht="45" x14ac:dyDescent="0.25">
      <c r="A46" s="31"/>
      <c r="B46" s="26">
        <v>22</v>
      </c>
      <c r="C46" s="23" t="s">
        <v>83</v>
      </c>
      <c r="D46" s="15">
        <f>D44</f>
        <v>10127</v>
      </c>
      <c r="E46" s="15">
        <v>10127</v>
      </c>
      <c r="F46" s="16">
        <v>1.1000000000000001</v>
      </c>
      <c r="G46" s="22"/>
      <c r="H46" s="15"/>
      <c r="I46" s="15"/>
      <c r="J46" s="15"/>
      <c r="K46" s="15"/>
      <c r="L46" s="17">
        <v>2.57</v>
      </c>
      <c r="M46" s="18"/>
      <c r="N46" s="19">
        <f t="shared" si="53"/>
        <v>0</v>
      </c>
      <c r="O46" s="18"/>
      <c r="P46" s="19">
        <f t="shared" si="7"/>
        <v>0</v>
      </c>
      <c r="Q46" s="18"/>
      <c r="R46" s="19">
        <f t="shared" si="8"/>
        <v>0</v>
      </c>
      <c r="S46" s="18"/>
      <c r="T46" s="19">
        <f t="shared" si="9"/>
        <v>0</v>
      </c>
      <c r="U46" s="18"/>
      <c r="V46" s="19">
        <f t="shared" si="35"/>
        <v>0</v>
      </c>
      <c r="W46" s="18"/>
      <c r="X46" s="19">
        <f t="shared" si="41"/>
        <v>0</v>
      </c>
      <c r="Y46" s="18"/>
      <c r="Z46" s="19">
        <f t="shared" si="12"/>
        <v>0</v>
      </c>
      <c r="AA46" s="18"/>
      <c r="AB46" s="19">
        <f t="shared" si="54"/>
        <v>0</v>
      </c>
      <c r="AC46" s="18"/>
      <c r="AD46" s="19">
        <f t="shared" si="55"/>
        <v>0</v>
      </c>
      <c r="AE46" s="18"/>
      <c r="AF46" s="19">
        <f t="shared" si="56"/>
        <v>0</v>
      </c>
      <c r="AG46" s="19">
        <f t="shared" si="15"/>
        <v>0</v>
      </c>
      <c r="AH46" s="20" t="e">
        <f t="shared" si="16"/>
        <v>#DIV/0!</v>
      </c>
      <c r="AI46" s="19"/>
      <c r="AJ46" s="19"/>
      <c r="AK46" s="18"/>
      <c r="AL46" s="19">
        <v>0</v>
      </c>
      <c r="AM46" s="18"/>
      <c r="AN46" s="19">
        <f t="shared" si="57"/>
        <v>0</v>
      </c>
    </row>
    <row r="47" spans="1:40" ht="60" x14ac:dyDescent="0.25">
      <c r="A47" s="31"/>
      <c r="B47" s="26">
        <v>23</v>
      </c>
      <c r="C47" s="23" t="s">
        <v>84</v>
      </c>
      <c r="D47" s="15">
        <f>D46</f>
        <v>10127</v>
      </c>
      <c r="E47" s="15">
        <v>10127</v>
      </c>
      <c r="F47" s="16">
        <v>9</v>
      </c>
      <c r="G47" s="22">
        <v>1</v>
      </c>
      <c r="H47" s="15">
        <v>1.4</v>
      </c>
      <c r="I47" s="15">
        <v>1.68</v>
      </c>
      <c r="J47" s="15">
        <v>2.23</v>
      </c>
      <c r="K47" s="15">
        <v>2.39</v>
      </c>
      <c r="L47" s="17">
        <v>2.57</v>
      </c>
      <c r="M47" s="18"/>
      <c r="N47" s="19">
        <f t="shared" si="53"/>
        <v>0</v>
      </c>
      <c r="O47" s="18"/>
      <c r="P47" s="19">
        <f t="shared" si="7"/>
        <v>0</v>
      </c>
      <c r="Q47" s="18"/>
      <c r="R47" s="19">
        <f t="shared" si="8"/>
        <v>0</v>
      </c>
      <c r="S47" s="18"/>
      <c r="T47" s="19">
        <f t="shared" si="9"/>
        <v>0</v>
      </c>
      <c r="U47" s="18"/>
      <c r="V47" s="19">
        <f t="shared" si="35"/>
        <v>0</v>
      </c>
      <c r="W47" s="18"/>
      <c r="X47" s="19">
        <f t="shared" si="41"/>
        <v>0</v>
      </c>
      <c r="Y47" s="18"/>
      <c r="Z47" s="19">
        <f t="shared" si="12"/>
        <v>0</v>
      </c>
      <c r="AA47" s="18"/>
      <c r="AB47" s="19">
        <f t="shared" si="54"/>
        <v>0</v>
      </c>
      <c r="AC47" s="18"/>
      <c r="AD47" s="19">
        <f t="shared" si="55"/>
        <v>0</v>
      </c>
      <c r="AE47" s="18"/>
      <c r="AF47" s="19">
        <f t="shared" si="56"/>
        <v>0</v>
      </c>
      <c r="AG47" s="19">
        <f t="shared" si="15"/>
        <v>0</v>
      </c>
      <c r="AH47" s="20" t="e">
        <f t="shared" si="16"/>
        <v>#DIV/0!</v>
      </c>
      <c r="AI47" s="19"/>
      <c r="AJ47" s="19"/>
      <c r="AK47" s="18"/>
      <c r="AL47" s="19">
        <v>0</v>
      </c>
      <c r="AM47" s="18"/>
      <c r="AN47" s="19">
        <f t="shared" si="57"/>
        <v>0</v>
      </c>
    </row>
    <row r="48" spans="1:40" ht="60" x14ac:dyDescent="0.25">
      <c r="A48" s="31"/>
      <c r="B48" s="26">
        <v>24</v>
      </c>
      <c r="C48" s="23" t="s">
        <v>85</v>
      </c>
      <c r="D48" s="15">
        <v>10127</v>
      </c>
      <c r="E48" s="15">
        <v>10127</v>
      </c>
      <c r="F48" s="16">
        <v>12.85</v>
      </c>
      <c r="G48" s="22"/>
      <c r="H48" s="15"/>
      <c r="I48" s="15"/>
      <c r="J48" s="15"/>
      <c r="K48" s="15"/>
      <c r="L48" s="17">
        <v>2.57</v>
      </c>
      <c r="M48" s="18"/>
      <c r="N48" s="19">
        <f t="shared" si="53"/>
        <v>0</v>
      </c>
      <c r="O48" s="18"/>
      <c r="P48" s="19">
        <f t="shared" si="7"/>
        <v>0</v>
      </c>
      <c r="Q48" s="18"/>
      <c r="R48" s="19">
        <f t="shared" si="8"/>
        <v>0</v>
      </c>
      <c r="S48" s="18"/>
      <c r="T48" s="19">
        <f t="shared" si="9"/>
        <v>0</v>
      </c>
      <c r="U48" s="18"/>
      <c r="V48" s="19">
        <f t="shared" si="35"/>
        <v>0</v>
      </c>
      <c r="W48" s="18"/>
      <c r="X48" s="19">
        <f t="shared" si="41"/>
        <v>0</v>
      </c>
      <c r="Y48" s="18"/>
      <c r="Z48" s="19">
        <f t="shared" si="12"/>
        <v>0</v>
      </c>
      <c r="AA48" s="18"/>
      <c r="AB48" s="19">
        <f t="shared" si="54"/>
        <v>0</v>
      </c>
      <c r="AC48" s="18"/>
      <c r="AD48" s="19">
        <f t="shared" si="55"/>
        <v>0</v>
      </c>
      <c r="AE48" s="18"/>
      <c r="AF48" s="19">
        <f t="shared" si="56"/>
        <v>0</v>
      </c>
      <c r="AG48" s="19">
        <f t="shared" si="15"/>
        <v>0</v>
      </c>
      <c r="AH48" s="20" t="e">
        <f t="shared" si="16"/>
        <v>#DIV/0!</v>
      </c>
      <c r="AI48" s="19"/>
      <c r="AJ48" s="19"/>
      <c r="AK48" s="18"/>
      <c r="AL48" s="19">
        <v>0</v>
      </c>
      <c r="AM48" s="18"/>
      <c r="AN48" s="19">
        <f t="shared" si="57"/>
        <v>0</v>
      </c>
    </row>
    <row r="49" spans="1:40" x14ac:dyDescent="0.25">
      <c r="A49" s="31"/>
      <c r="B49" s="26">
        <v>25</v>
      </c>
      <c r="C49" s="23" t="s">
        <v>86</v>
      </c>
      <c r="D49" s="15">
        <f>D47</f>
        <v>10127</v>
      </c>
      <c r="E49" s="15">
        <v>10127</v>
      </c>
      <c r="F49" s="16">
        <v>0.97</v>
      </c>
      <c r="G49" s="22">
        <v>1</v>
      </c>
      <c r="H49" s="15">
        <v>1.4</v>
      </c>
      <c r="I49" s="15">
        <v>1.68</v>
      </c>
      <c r="J49" s="15">
        <v>2.23</v>
      </c>
      <c r="K49" s="15">
        <v>2.39</v>
      </c>
      <c r="L49" s="17">
        <v>2.57</v>
      </c>
      <c r="M49" s="18"/>
      <c r="N49" s="19">
        <f t="shared" si="53"/>
        <v>0</v>
      </c>
      <c r="O49" s="18"/>
      <c r="P49" s="19">
        <f t="shared" si="7"/>
        <v>0</v>
      </c>
      <c r="Q49" s="18">
        <v>121</v>
      </c>
      <c r="R49" s="19">
        <f t="shared" si="8"/>
        <v>1414441.1281000001</v>
      </c>
      <c r="S49" s="18"/>
      <c r="T49" s="19">
        <f t="shared" si="9"/>
        <v>0</v>
      </c>
      <c r="U49" s="18">
        <v>4</v>
      </c>
      <c r="V49" s="19">
        <f t="shared" si="35"/>
        <v>67662.132719999994</v>
      </c>
      <c r="W49" s="18">
        <v>17</v>
      </c>
      <c r="X49" s="19">
        <f t="shared" si="41"/>
        <v>296915.74094000005</v>
      </c>
      <c r="Y49" s="18">
        <v>170</v>
      </c>
      <c r="Z49" s="19">
        <f t="shared" si="12"/>
        <v>2065161.9776666663</v>
      </c>
      <c r="AA49" s="18">
        <f>5-2</f>
        <v>3</v>
      </c>
      <c r="AB49" s="19">
        <f t="shared" si="54"/>
        <v>54195.718012800004</v>
      </c>
      <c r="AC49" s="18">
        <f>2+3</f>
        <v>5</v>
      </c>
      <c r="AD49" s="19">
        <f t="shared" si="55"/>
        <v>75122.845525000012</v>
      </c>
      <c r="AE49" s="18">
        <f>6+10</f>
        <v>16</v>
      </c>
      <c r="AF49" s="19">
        <f t="shared" si="56"/>
        <v>240393.10567999998</v>
      </c>
      <c r="AG49" s="19">
        <f t="shared" si="15"/>
        <v>18</v>
      </c>
      <c r="AH49" s="20">
        <f t="shared" si="16"/>
        <v>112.5</v>
      </c>
      <c r="AI49" s="19">
        <v>6</v>
      </c>
      <c r="AJ49" s="19">
        <v>90769.86</v>
      </c>
      <c r="AK49" s="18">
        <v>32</v>
      </c>
      <c r="AL49" s="19">
        <v>774538.88511999988</v>
      </c>
      <c r="AM49" s="18"/>
      <c r="AN49" s="19">
        <f t="shared" si="57"/>
        <v>0</v>
      </c>
    </row>
    <row r="50" spans="1:40" ht="30" x14ac:dyDescent="0.25">
      <c r="A50" s="31"/>
      <c r="B50" s="26">
        <v>26</v>
      </c>
      <c r="C50" s="23" t="s">
        <v>87</v>
      </c>
      <c r="D50" s="15">
        <f t="shared" si="14"/>
        <v>10127</v>
      </c>
      <c r="E50" s="15">
        <v>10127</v>
      </c>
      <c r="F50" s="16">
        <v>1.1599999999999999</v>
      </c>
      <c r="G50" s="22">
        <v>1</v>
      </c>
      <c r="H50" s="15">
        <v>1.4</v>
      </c>
      <c r="I50" s="15">
        <v>1.68</v>
      </c>
      <c r="J50" s="15">
        <v>2.23</v>
      </c>
      <c r="K50" s="15">
        <v>2.39</v>
      </c>
      <c r="L50" s="17">
        <v>2.57</v>
      </c>
      <c r="M50" s="18">
        <v>0</v>
      </c>
      <c r="N50" s="19">
        <f t="shared" si="53"/>
        <v>0</v>
      </c>
      <c r="O50" s="18"/>
      <c r="P50" s="19">
        <f t="shared" si="7"/>
        <v>0</v>
      </c>
      <c r="Q50" s="18">
        <v>2</v>
      </c>
      <c r="R50" s="19">
        <f t="shared" si="8"/>
        <v>27958.621599999999</v>
      </c>
      <c r="S50" s="18"/>
      <c r="T50" s="19">
        <f t="shared" si="9"/>
        <v>0</v>
      </c>
      <c r="U50" s="18">
        <v>0</v>
      </c>
      <c r="V50" s="19">
        <f t="shared" si="35"/>
        <v>0</v>
      </c>
      <c r="W50" s="18">
        <v>2</v>
      </c>
      <c r="X50" s="19">
        <f t="shared" si="41"/>
        <v>41773.469920000003</v>
      </c>
      <c r="Y50" s="18">
        <v>2</v>
      </c>
      <c r="Z50" s="19">
        <f t="shared" si="12"/>
        <v>29055.038133333328</v>
      </c>
      <c r="AA50" s="18">
        <v>0</v>
      </c>
      <c r="AB50" s="19">
        <f t="shared" si="54"/>
        <v>0</v>
      </c>
      <c r="AC50" s="18">
        <v>0</v>
      </c>
      <c r="AD50" s="19">
        <f t="shared" si="55"/>
        <v>0</v>
      </c>
      <c r="AE50" s="18"/>
      <c r="AF50" s="19">
        <f t="shared" si="56"/>
        <v>0</v>
      </c>
      <c r="AG50" s="19">
        <f t="shared" si="15"/>
        <v>0</v>
      </c>
      <c r="AH50" s="20" t="e">
        <f t="shared" si="16"/>
        <v>#DIV/0!</v>
      </c>
      <c r="AI50" s="19">
        <v>0</v>
      </c>
      <c r="AJ50" s="19">
        <v>0</v>
      </c>
      <c r="AK50" s="18"/>
      <c r="AL50" s="19">
        <v>0</v>
      </c>
      <c r="AM50" s="18">
        <f>1+4</f>
        <v>5</v>
      </c>
      <c r="AN50" s="19">
        <f t="shared" si="57"/>
        <v>146371.6072</v>
      </c>
    </row>
    <row r="51" spans="1:40" ht="30" x14ac:dyDescent="0.25">
      <c r="A51" s="31"/>
      <c r="B51" s="26">
        <v>27</v>
      </c>
      <c r="C51" s="23" t="s">
        <v>88</v>
      </c>
      <c r="D51" s="15">
        <f t="shared" si="14"/>
        <v>10127</v>
      </c>
      <c r="E51" s="15">
        <v>10127</v>
      </c>
      <c r="F51" s="16">
        <v>0.97</v>
      </c>
      <c r="G51" s="22">
        <v>1</v>
      </c>
      <c r="H51" s="15">
        <v>1.4</v>
      </c>
      <c r="I51" s="15">
        <v>1.68</v>
      </c>
      <c r="J51" s="15">
        <v>2.23</v>
      </c>
      <c r="K51" s="15">
        <v>2.39</v>
      </c>
      <c r="L51" s="17">
        <v>2.57</v>
      </c>
      <c r="M51" s="18">
        <f>6+29</f>
        <v>35</v>
      </c>
      <c r="N51" s="19">
        <f t="shared" si="53"/>
        <v>583379.60771999997</v>
      </c>
      <c r="O51" s="18">
        <v>80</v>
      </c>
      <c r="P51" s="19">
        <f t="shared" si="7"/>
        <v>935167.68800000008</v>
      </c>
      <c r="Q51" s="18"/>
      <c r="R51" s="19">
        <f t="shared" si="8"/>
        <v>0</v>
      </c>
      <c r="S51" s="18">
        <v>20</v>
      </c>
      <c r="T51" s="19">
        <f t="shared" si="9"/>
        <v>233791.92200000002</v>
      </c>
      <c r="U51" s="18"/>
      <c r="V51" s="19">
        <f t="shared" si="35"/>
        <v>0</v>
      </c>
      <c r="W51" s="18"/>
      <c r="X51" s="19">
        <f t="shared" si="41"/>
        <v>0</v>
      </c>
      <c r="Y51" s="18"/>
      <c r="Z51" s="19">
        <f t="shared" si="12"/>
        <v>0</v>
      </c>
      <c r="AA51" s="18"/>
      <c r="AB51" s="19">
        <f t="shared" si="54"/>
        <v>0</v>
      </c>
      <c r="AC51" s="18"/>
      <c r="AD51" s="19">
        <f t="shared" si="55"/>
        <v>0</v>
      </c>
      <c r="AE51" s="18"/>
      <c r="AF51" s="19">
        <f t="shared" si="56"/>
        <v>0</v>
      </c>
      <c r="AG51" s="19">
        <f t="shared" si="15"/>
        <v>0</v>
      </c>
      <c r="AH51" s="20" t="e">
        <f t="shared" si="16"/>
        <v>#DIV/0!</v>
      </c>
      <c r="AI51" s="19">
        <v>0</v>
      </c>
      <c r="AJ51" s="19">
        <v>0</v>
      </c>
      <c r="AK51" s="18"/>
      <c r="AL51" s="19">
        <v>0</v>
      </c>
      <c r="AM51" s="18">
        <f>18</f>
        <v>18</v>
      </c>
      <c r="AN51" s="19">
        <f t="shared" si="57"/>
        <v>440629.01063999999</v>
      </c>
    </row>
    <row r="52" spans="1:40" ht="30" x14ac:dyDescent="0.25">
      <c r="A52" s="31"/>
      <c r="B52" s="26">
        <v>28</v>
      </c>
      <c r="C52" s="23" t="s">
        <v>89</v>
      </c>
      <c r="D52" s="15">
        <f t="shared" si="14"/>
        <v>10127</v>
      </c>
      <c r="E52" s="15">
        <v>10127</v>
      </c>
      <c r="F52" s="16">
        <v>0.52</v>
      </c>
      <c r="G52" s="22">
        <v>1</v>
      </c>
      <c r="H52" s="15">
        <v>1.4</v>
      </c>
      <c r="I52" s="15">
        <v>1.68</v>
      </c>
      <c r="J52" s="15">
        <v>2.23</v>
      </c>
      <c r="K52" s="15">
        <v>2.39</v>
      </c>
      <c r="L52" s="17">
        <v>2.57</v>
      </c>
      <c r="M52" s="18"/>
      <c r="N52" s="19">
        <f t="shared" si="53"/>
        <v>0</v>
      </c>
      <c r="O52" s="18"/>
      <c r="P52" s="19">
        <f t="shared" si="7"/>
        <v>0</v>
      </c>
      <c r="Q52" s="18"/>
      <c r="R52" s="19">
        <f t="shared" si="8"/>
        <v>0</v>
      </c>
      <c r="S52" s="18"/>
      <c r="T52" s="19">
        <f t="shared" si="9"/>
        <v>0</v>
      </c>
      <c r="U52" s="18"/>
      <c r="V52" s="19">
        <f t="shared" si="35"/>
        <v>0</v>
      </c>
      <c r="W52" s="18"/>
      <c r="X52" s="19">
        <f t="shared" si="41"/>
        <v>0</v>
      </c>
      <c r="Y52" s="18">
        <v>2</v>
      </c>
      <c r="Z52" s="19">
        <f t="shared" si="12"/>
        <v>13024.672266666665</v>
      </c>
      <c r="AA52" s="18"/>
      <c r="AB52" s="19">
        <f t="shared" si="54"/>
        <v>0</v>
      </c>
      <c r="AC52" s="18">
        <v>0</v>
      </c>
      <c r="AD52" s="19">
        <f t="shared" si="55"/>
        <v>0</v>
      </c>
      <c r="AE52" s="18"/>
      <c r="AF52" s="19">
        <f t="shared" si="56"/>
        <v>0</v>
      </c>
      <c r="AG52" s="19">
        <f t="shared" si="15"/>
        <v>0</v>
      </c>
      <c r="AH52" s="20" t="e">
        <f t="shared" si="16"/>
        <v>#DIV/0!</v>
      </c>
      <c r="AI52" s="19">
        <v>0</v>
      </c>
      <c r="AJ52" s="19">
        <v>0</v>
      </c>
      <c r="AK52" s="18"/>
      <c r="AL52" s="19">
        <v>0</v>
      </c>
      <c r="AM52" s="18"/>
      <c r="AN52" s="19">
        <f t="shared" si="57"/>
        <v>0</v>
      </c>
    </row>
    <row r="53" spans="1:40" ht="30" x14ac:dyDescent="0.25">
      <c r="A53" s="31"/>
      <c r="B53" s="26">
        <v>29</v>
      </c>
      <c r="C53" s="23" t="s">
        <v>90</v>
      </c>
      <c r="D53" s="15">
        <f t="shared" si="14"/>
        <v>10127</v>
      </c>
      <c r="E53" s="15">
        <v>10127</v>
      </c>
      <c r="F53" s="16">
        <v>0.65</v>
      </c>
      <c r="G53" s="22">
        <v>1</v>
      </c>
      <c r="H53" s="15">
        <v>1.4</v>
      </c>
      <c r="I53" s="15">
        <v>1.68</v>
      </c>
      <c r="J53" s="15">
        <v>2.23</v>
      </c>
      <c r="K53" s="15">
        <v>2.39</v>
      </c>
      <c r="L53" s="17">
        <v>2.57</v>
      </c>
      <c r="M53" s="18">
        <f>17+13</f>
        <v>30</v>
      </c>
      <c r="N53" s="19">
        <f t="shared" si="53"/>
        <v>335078.12520000001</v>
      </c>
      <c r="O53" s="18">
        <v>200</v>
      </c>
      <c r="P53" s="19">
        <f t="shared" si="7"/>
        <v>1566646.9000000004</v>
      </c>
      <c r="Q53" s="18"/>
      <c r="R53" s="19">
        <f t="shared" si="8"/>
        <v>0</v>
      </c>
      <c r="S53" s="18">
        <v>200</v>
      </c>
      <c r="T53" s="19">
        <f t="shared" si="9"/>
        <v>1566646.9000000004</v>
      </c>
      <c r="U53" s="18">
        <v>2</v>
      </c>
      <c r="V53" s="19">
        <f t="shared" si="35"/>
        <v>22670.302199999998</v>
      </c>
      <c r="W53" s="18"/>
      <c r="X53" s="19">
        <f t="shared" si="41"/>
        <v>0</v>
      </c>
      <c r="Y53" s="18"/>
      <c r="Z53" s="19">
        <f t="shared" si="12"/>
        <v>0</v>
      </c>
      <c r="AA53" s="18"/>
      <c r="AB53" s="19">
        <f t="shared" si="54"/>
        <v>0</v>
      </c>
      <c r="AC53" s="18"/>
      <c r="AD53" s="19">
        <f t="shared" si="55"/>
        <v>0</v>
      </c>
      <c r="AE53" s="18"/>
      <c r="AF53" s="19">
        <f t="shared" si="56"/>
        <v>0</v>
      </c>
      <c r="AG53" s="19">
        <f t="shared" si="15"/>
        <v>3</v>
      </c>
      <c r="AH53" s="20" t="e">
        <f t="shared" si="16"/>
        <v>#DIV/0!</v>
      </c>
      <c r="AI53" s="19">
        <v>1</v>
      </c>
      <c r="AJ53" s="19">
        <v>9308.09</v>
      </c>
      <c r="AK53" s="18"/>
      <c r="AL53" s="19">
        <v>0</v>
      </c>
      <c r="AM53" s="18"/>
      <c r="AN53" s="19">
        <f t="shared" si="57"/>
        <v>0</v>
      </c>
    </row>
    <row r="54" spans="1:40" s="41" customFormat="1" x14ac:dyDescent="0.25">
      <c r="A54" s="31">
        <v>13</v>
      </c>
      <c r="B54" s="31"/>
      <c r="C54" s="32" t="s">
        <v>91</v>
      </c>
      <c r="D54" s="15">
        <f t="shared" si="14"/>
        <v>10127</v>
      </c>
      <c r="E54" s="15">
        <v>10127</v>
      </c>
      <c r="F54" s="33">
        <v>1.49</v>
      </c>
      <c r="G54" s="35">
        <v>1</v>
      </c>
      <c r="H54" s="33">
        <v>1.4</v>
      </c>
      <c r="I54" s="33">
        <v>1.68</v>
      </c>
      <c r="J54" s="33">
        <v>2.23</v>
      </c>
      <c r="K54" s="33">
        <v>2.39</v>
      </c>
      <c r="L54" s="17">
        <v>2.57</v>
      </c>
      <c r="M54" s="25">
        <f t="shared" ref="M54:U54" si="58">SUM(M55:M56)</f>
        <v>0</v>
      </c>
      <c r="N54" s="25">
        <f t="shared" si="58"/>
        <v>0</v>
      </c>
      <c r="O54" s="25">
        <f t="shared" si="58"/>
        <v>0</v>
      </c>
      <c r="P54" s="25">
        <f t="shared" si="58"/>
        <v>0</v>
      </c>
      <c r="Q54" s="25">
        <f t="shared" si="58"/>
        <v>1304</v>
      </c>
      <c r="R54" s="25">
        <f t="shared" si="58"/>
        <v>12571738.816000003</v>
      </c>
      <c r="S54" s="25">
        <f t="shared" si="58"/>
        <v>0</v>
      </c>
      <c r="T54" s="25">
        <f t="shared" si="58"/>
        <v>0</v>
      </c>
      <c r="U54" s="25">
        <f t="shared" si="58"/>
        <v>814</v>
      </c>
      <c r="V54" s="25">
        <f t="shared" ref="V54:AN54" si="59">SUM(V55:V56)</f>
        <v>11356077.5328</v>
      </c>
      <c r="W54" s="25">
        <f t="shared" si="59"/>
        <v>537</v>
      </c>
      <c r="X54" s="25">
        <f t="shared" si="59"/>
        <v>7735294.2576000011</v>
      </c>
      <c r="Y54" s="25">
        <f t="shared" si="59"/>
        <v>1016</v>
      </c>
      <c r="Z54" s="25">
        <f t="shared" si="59"/>
        <v>10179282.325333335</v>
      </c>
      <c r="AA54" s="25">
        <f t="shared" si="59"/>
        <v>128</v>
      </c>
      <c r="AB54" s="25">
        <f t="shared" si="59"/>
        <v>1907093.307392</v>
      </c>
      <c r="AC54" s="25">
        <f t="shared" si="59"/>
        <v>163</v>
      </c>
      <c r="AD54" s="25">
        <f t="shared" si="59"/>
        <v>2019797.7436000004</v>
      </c>
      <c r="AE54" s="25">
        <f t="shared" si="59"/>
        <v>362</v>
      </c>
      <c r="AF54" s="25">
        <f t="shared" si="59"/>
        <v>4485685.7864000006</v>
      </c>
      <c r="AG54" s="25">
        <f t="shared" si="59"/>
        <v>1239</v>
      </c>
      <c r="AH54" s="25" t="e">
        <f t="shared" si="59"/>
        <v>#DIV/0!</v>
      </c>
      <c r="AI54" s="25">
        <f t="shared" si="59"/>
        <v>413</v>
      </c>
      <c r="AJ54" s="25">
        <f t="shared" si="59"/>
        <v>5009439.4999999981</v>
      </c>
      <c r="AK54" s="25">
        <v>39</v>
      </c>
      <c r="AL54" s="25">
        <v>778531.35360000003</v>
      </c>
      <c r="AM54" s="25">
        <f t="shared" ref="AM54" si="60">SUM(AM55:AM56)</f>
        <v>7</v>
      </c>
      <c r="AN54" s="25">
        <f t="shared" si="59"/>
        <v>141324.31040000002</v>
      </c>
    </row>
    <row r="55" spans="1:40" ht="24.75" customHeight="1" x14ac:dyDescent="0.25">
      <c r="A55" s="31"/>
      <c r="B55" s="26">
        <v>30</v>
      </c>
      <c r="C55" s="14" t="s">
        <v>92</v>
      </c>
      <c r="D55" s="15">
        <f t="shared" si="14"/>
        <v>10127</v>
      </c>
      <c r="E55" s="15">
        <v>10127</v>
      </c>
      <c r="F55" s="16">
        <v>0.8</v>
      </c>
      <c r="G55" s="22">
        <v>1</v>
      </c>
      <c r="H55" s="15">
        <v>1.4</v>
      </c>
      <c r="I55" s="15">
        <v>1.68</v>
      </c>
      <c r="J55" s="15">
        <v>2.23</v>
      </c>
      <c r="K55" s="15">
        <v>2.39</v>
      </c>
      <c r="L55" s="17">
        <v>2.57</v>
      </c>
      <c r="M55" s="18"/>
      <c r="N55" s="19">
        <f>(M55/12*1*$D55*$F55*$G55*$I55*N$11)+(M55/12*11*$E55*$F55*$G55*$I55*N$12)</f>
        <v>0</v>
      </c>
      <c r="O55" s="18"/>
      <c r="P55" s="19">
        <f t="shared" si="7"/>
        <v>0</v>
      </c>
      <c r="Q55" s="18">
        <v>1304</v>
      </c>
      <c r="R55" s="19">
        <f t="shared" si="8"/>
        <v>12571738.816000003</v>
      </c>
      <c r="S55" s="18"/>
      <c r="T55" s="19">
        <f t="shared" si="9"/>
        <v>0</v>
      </c>
      <c r="U55" s="18">
        <v>814</v>
      </c>
      <c r="V55" s="19">
        <f t="shared" si="35"/>
        <v>11356077.5328</v>
      </c>
      <c r="W55" s="18">
        <v>537</v>
      </c>
      <c r="X55" s="19">
        <f t="shared" si="41"/>
        <v>7735294.2576000011</v>
      </c>
      <c r="Y55" s="18">
        <v>1016</v>
      </c>
      <c r="Z55" s="19">
        <f t="shared" si="12"/>
        <v>10179282.325333335</v>
      </c>
      <c r="AA55" s="18">
        <v>128</v>
      </c>
      <c r="AB55" s="19">
        <f t="shared" ref="AB55:AB56" si="61">(AA55/12*1*$D55*$F55*$G55*$I55*AB$11)+(AA55/12*11*$E55*$F55*$G55*$I55*AB$12)</f>
        <v>1907093.307392</v>
      </c>
      <c r="AC55" s="18">
        <f>163</f>
        <v>163</v>
      </c>
      <c r="AD55" s="19">
        <f>(AC55/12*1*$D55*$F55*$G55*$H55*AD$11)+(AC55/12*11*$E55*$F55*$G55*$H55*AD$12)</f>
        <v>2019797.7436000004</v>
      </c>
      <c r="AE55" s="18">
        <f>362+63-63</f>
        <v>362</v>
      </c>
      <c r="AF55" s="19">
        <f>(AE55/12*1*$D55*$F55*$G55*$H55*AF$11)+(AE55/12*11*$E55*$F55*$G55*$H55*AF$12)</f>
        <v>4485685.7864000006</v>
      </c>
      <c r="AG55" s="19">
        <f t="shared" si="15"/>
        <v>1239</v>
      </c>
      <c r="AH55" s="20">
        <f t="shared" si="16"/>
        <v>342.26519337016572</v>
      </c>
      <c r="AI55" s="19">
        <v>413</v>
      </c>
      <c r="AJ55" s="19">
        <v>5009439.4999999981</v>
      </c>
      <c r="AK55" s="18">
        <v>39</v>
      </c>
      <c r="AL55" s="19">
        <v>778531.35360000003</v>
      </c>
      <c r="AM55" s="18">
        <v>7</v>
      </c>
      <c r="AN55" s="19">
        <f>(AM55/12*1*$D55*$F55*$G55*$I55*AN$11)+(AM55/12*11*$E55*$F55*$G55*$I55*AN$12)</f>
        <v>141324.31040000002</v>
      </c>
    </row>
    <row r="56" spans="1:40" ht="30" x14ac:dyDescent="0.25">
      <c r="A56" s="31"/>
      <c r="B56" s="26">
        <v>31</v>
      </c>
      <c r="C56" s="14" t="s">
        <v>93</v>
      </c>
      <c r="D56" s="15">
        <v>10127</v>
      </c>
      <c r="E56" s="15">
        <v>10127</v>
      </c>
      <c r="F56" s="16">
        <v>3.39</v>
      </c>
      <c r="G56" s="22">
        <v>1</v>
      </c>
      <c r="H56" s="15">
        <v>1.4</v>
      </c>
      <c r="I56" s="15">
        <v>1.68</v>
      </c>
      <c r="J56" s="15">
        <v>2.23</v>
      </c>
      <c r="K56" s="15">
        <v>2.39</v>
      </c>
      <c r="L56" s="17">
        <v>2.57</v>
      </c>
      <c r="M56" s="24"/>
      <c r="N56" s="19">
        <f>(M56/12*1*$D56*$F56*$G56*$I56*N$11)+(M56/12*11*$E56*$F56*$G56*$I56*N$12)</f>
        <v>0</v>
      </c>
      <c r="O56" s="24"/>
      <c r="P56" s="19">
        <f t="shared" si="7"/>
        <v>0</v>
      </c>
      <c r="Q56" s="24"/>
      <c r="R56" s="19">
        <f t="shared" si="8"/>
        <v>0</v>
      </c>
      <c r="S56" s="24"/>
      <c r="T56" s="19">
        <f t="shared" si="9"/>
        <v>0</v>
      </c>
      <c r="U56" s="24"/>
      <c r="V56" s="19">
        <f t="shared" si="35"/>
        <v>0</v>
      </c>
      <c r="W56" s="24"/>
      <c r="X56" s="19">
        <f t="shared" si="41"/>
        <v>0</v>
      </c>
      <c r="Y56" s="24"/>
      <c r="Z56" s="19">
        <f t="shared" si="12"/>
        <v>0</v>
      </c>
      <c r="AA56" s="24"/>
      <c r="AB56" s="19">
        <f t="shared" si="61"/>
        <v>0</v>
      </c>
      <c r="AC56" s="24"/>
      <c r="AD56" s="19">
        <f>(AC56/12*1*$D56*$F56*$G56*$H56*AD$11)+(AC56/12*11*$E56*$F56*$G56*$H56*AD$12)</f>
        <v>0</v>
      </c>
      <c r="AE56" s="24"/>
      <c r="AF56" s="19">
        <f>(AE56/12*1*$D56*$F56*$G56*$H56*AF$11)+(AE56/12*11*$E56*$F56*$G56*$H56*AF$12)</f>
        <v>0</v>
      </c>
      <c r="AG56" s="19">
        <f t="shared" si="15"/>
        <v>0</v>
      </c>
      <c r="AH56" s="20" t="e">
        <f t="shared" si="16"/>
        <v>#DIV/0!</v>
      </c>
      <c r="AI56" s="19"/>
      <c r="AJ56" s="19"/>
      <c r="AK56" s="24"/>
      <c r="AL56" s="19">
        <v>0</v>
      </c>
      <c r="AM56" s="24"/>
      <c r="AN56" s="19">
        <f>(AM56/12*1*$D56*$F56*$G56*$I56*AN$11)+(AM56/12*11*$E56*$F56*$G56*$I56*AN$12)</f>
        <v>0</v>
      </c>
    </row>
    <row r="57" spans="1:40" s="41" customFormat="1" x14ac:dyDescent="0.25">
      <c r="A57" s="31">
        <v>14</v>
      </c>
      <c r="B57" s="31"/>
      <c r="C57" s="38" t="s">
        <v>94</v>
      </c>
      <c r="D57" s="15">
        <f>D55</f>
        <v>10127</v>
      </c>
      <c r="E57" s="15">
        <v>10127</v>
      </c>
      <c r="F57" s="36"/>
      <c r="G57" s="35"/>
      <c r="H57" s="33"/>
      <c r="I57" s="33"/>
      <c r="J57" s="33"/>
      <c r="K57" s="33"/>
      <c r="L57" s="17">
        <v>2.57</v>
      </c>
      <c r="M57" s="37">
        <f t="shared" ref="M57:U57" si="62">SUM(M58:M59)</f>
        <v>0</v>
      </c>
      <c r="N57" s="37">
        <f t="shared" si="62"/>
        <v>0</v>
      </c>
      <c r="O57" s="37">
        <f t="shared" si="62"/>
        <v>0</v>
      </c>
      <c r="P57" s="37">
        <f t="shared" si="62"/>
        <v>0</v>
      </c>
      <c r="Q57" s="37">
        <f t="shared" si="62"/>
        <v>0</v>
      </c>
      <c r="R57" s="37">
        <f t="shared" si="62"/>
        <v>0</v>
      </c>
      <c r="S57" s="37">
        <f t="shared" si="62"/>
        <v>0</v>
      </c>
      <c r="T57" s="37">
        <f t="shared" si="62"/>
        <v>0</v>
      </c>
      <c r="U57" s="37">
        <f t="shared" si="62"/>
        <v>0</v>
      </c>
      <c r="V57" s="37">
        <f t="shared" ref="V57:AN57" si="63">SUM(V58:V59)</f>
        <v>0</v>
      </c>
      <c r="W57" s="37">
        <f t="shared" si="63"/>
        <v>0</v>
      </c>
      <c r="X57" s="37">
        <f t="shared" si="63"/>
        <v>0</v>
      </c>
      <c r="Y57" s="37">
        <f t="shared" si="63"/>
        <v>0</v>
      </c>
      <c r="Z57" s="37">
        <f t="shared" si="63"/>
        <v>0</v>
      </c>
      <c r="AA57" s="37">
        <f t="shared" si="63"/>
        <v>0</v>
      </c>
      <c r="AB57" s="37">
        <f t="shared" si="63"/>
        <v>0</v>
      </c>
      <c r="AC57" s="37">
        <f t="shared" si="63"/>
        <v>0</v>
      </c>
      <c r="AD57" s="37">
        <f t="shared" si="63"/>
        <v>0</v>
      </c>
      <c r="AE57" s="37">
        <f t="shared" si="63"/>
        <v>0</v>
      </c>
      <c r="AF57" s="37">
        <f t="shared" si="63"/>
        <v>0</v>
      </c>
      <c r="AG57" s="37">
        <f t="shared" si="63"/>
        <v>0</v>
      </c>
      <c r="AH57" s="37" t="e">
        <f t="shared" si="63"/>
        <v>#DIV/0!</v>
      </c>
      <c r="AI57" s="37">
        <f t="shared" si="63"/>
        <v>0</v>
      </c>
      <c r="AJ57" s="37">
        <f t="shared" si="63"/>
        <v>0</v>
      </c>
      <c r="AK57" s="37">
        <v>0</v>
      </c>
      <c r="AL57" s="37">
        <v>0</v>
      </c>
      <c r="AM57" s="37">
        <f t="shared" ref="AM57" si="64">SUM(AM58:AM59)</f>
        <v>0</v>
      </c>
      <c r="AN57" s="37">
        <f t="shared" si="63"/>
        <v>0</v>
      </c>
    </row>
    <row r="58" spans="1:40" ht="30" x14ac:dyDescent="0.25">
      <c r="A58" s="31"/>
      <c r="B58" s="6">
        <v>32</v>
      </c>
      <c r="C58" s="14" t="s">
        <v>95</v>
      </c>
      <c r="D58" s="15">
        <f t="shared" si="14"/>
        <v>10127</v>
      </c>
      <c r="E58" s="15">
        <v>10127</v>
      </c>
      <c r="F58" s="16">
        <v>1.53</v>
      </c>
      <c r="G58" s="22">
        <v>1</v>
      </c>
      <c r="H58" s="15">
        <v>1.4</v>
      </c>
      <c r="I58" s="15">
        <v>1.68</v>
      </c>
      <c r="J58" s="15">
        <v>2.23</v>
      </c>
      <c r="K58" s="15">
        <v>2.39</v>
      </c>
      <c r="L58" s="17">
        <v>2.57</v>
      </c>
      <c r="M58" s="18"/>
      <c r="N58" s="19">
        <f>(M58/12*1*$D58*$F58*$G58*$I58*N$11)+(M58/12*11*$E58*$F58*$G58*$I58*N$12)</f>
        <v>0</v>
      </c>
      <c r="O58" s="18"/>
      <c r="P58" s="19">
        <f t="shared" si="7"/>
        <v>0</v>
      </c>
      <c r="Q58" s="18"/>
      <c r="R58" s="19">
        <f t="shared" si="8"/>
        <v>0</v>
      </c>
      <c r="S58" s="18"/>
      <c r="T58" s="19">
        <f t="shared" si="9"/>
        <v>0</v>
      </c>
      <c r="U58" s="18"/>
      <c r="V58" s="19">
        <f t="shared" si="35"/>
        <v>0</v>
      </c>
      <c r="W58" s="18"/>
      <c r="X58" s="19">
        <f t="shared" si="41"/>
        <v>0</v>
      </c>
      <c r="Y58" s="18"/>
      <c r="Z58" s="19">
        <f t="shared" si="12"/>
        <v>0</v>
      </c>
      <c r="AA58" s="18"/>
      <c r="AB58" s="19">
        <f t="shared" ref="AB58:AB59" si="65">(AA58/12*1*$D58*$F58*$G58*$I58*AB$11)+(AA58/12*11*$E58*$F58*$G58*$I58*AB$12)</f>
        <v>0</v>
      </c>
      <c r="AC58" s="18"/>
      <c r="AD58" s="19">
        <f>(AC58/12*1*$D58*$F58*$G58*$H58*AD$11)+(AC58/12*11*$E58*$F58*$G58*$H58*AD$12)</f>
        <v>0</v>
      </c>
      <c r="AE58" s="25"/>
      <c r="AF58" s="19">
        <f>(AE58/12*1*$D58*$F58*$G58*$H58*AF$11)+(AE58/12*11*$E58*$F58*$G58*$H58*AF$12)</f>
        <v>0</v>
      </c>
      <c r="AG58" s="19">
        <f t="shared" si="15"/>
        <v>0</v>
      </c>
      <c r="AH58" s="20" t="e">
        <f t="shared" si="16"/>
        <v>#DIV/0!</v>
      </c>
      <c r="AI58" s="19">
        <v>0</v>
      </c>
      <c r="AJ58" s="19">
        <v>0</v>
      </c>
      <c r="AK58" s="18"/>
      <c r="AL58" s="19">
        <v>0</v>
      </c>
      <c r="AM58" s="18"/>
      <c r="AN58" s="19">
        <f>(AM58/12*1*$D58*$F58*$G58*$I58*AN$11)+(AM58/12*11*$E58*$F58*$G58*$I58*AN$12)</f>
        <v>0</v>
      </c>
    </row>
    <row r="59" spans="1:40" ht="30" x14ac:dyDescent="0.25">
      <c r="A59" s="31"/>
      <c r="B59" s="6">
        <v>33</v>
      </c>
      <c r="C59" s="14" t="s">
        <v>96</v>
      </c>
      <c r="D59" s="15">
        <f t="shared" si="14"/>
        <v>10127</v>
      </c>
      <c r="E59" s="15">
        <v>10127</v>
      </c>
      <c r="F59" s="16">
        <v>3.17</v>
      </c>
      <c r="G59" s="22">
        <v>1</v>
      </c>
      <c r="H59" s="15">
        <v>1.4</v>
      </c>
      <c r="I59" s="15">
        <v>1.68</v>
      </c>
      <c r="J59" s="15">
        <v>2.23</v>
      </c>
      <c r="K59" s="15">
        <v>2.39</v>
      </c>
      <c r="L59" s="17">
        <v>2.57</v>
      </c>
      <c r="M59" s="18"/>
      <c r="N59" s="19">
        <f>(M59/12*1*$D59*$F59*$G59*$I59*N$11)+(M59/12*11*$E59*$F59*$G59*$I59*N$12)</f>
        <v>0</v>
      </c>
      <c r="O59" s="18"/>
      <c r="P59" s="19">
        <f t="shared" si="7"/>
        <v>0</v>
      </c>
      <c r="Q59" s="18"/>
      <c r="R59" s="19">
        <f t="shared" si="8"/>
        <v>0</v>
      </c>
      <c r="S59" s="18"/>
      <c r="T59" s="19">
        <f t="shared" si="9"/>
        <v>0</v>
      </c>
      <c r="U59" s="18"/>
      <c r="V59" s="19">
        <f t="shared" si="35"/>
        <v>0</v>
      </c>
      <c r="W59" s="18"/>
      <c r="X59" s="19">
        <f t="shared" si="41"/>
        <v>0</v>
      </c>
      <c r="Y59" s="18"/>
      <c r="Z59" s="19">
        <f t="shared" si="12"/>
        <v>0</v>
      </c>
      <c r="AA59" s="18"/>
      <c r="AB59" s="19">
        <f t="shared" si="65"/>
        <v>0</v>
      </c>
      <c r="AC59" s="18"/>
      <c r="AD59" s="19">
        <f>(AC59/12*1*$D59*$F59*$G59*$H59*AD$11)+(AC59/12*11*$E59*$F59*$G59*$H59*AD$12)</f>
        <v>0</v>
      </c>
      <c r="AE59" s="25"/>
      <c r="AF59" s="19">
        <f>(AE59/12*1*$D59*$F59*$G59*$H59*AF$11)+(AE59/12*11*$E59*$F59*$G59*$H59*AF$12)</f>
        <v>0</v>
      </c>
      <c r="AG59" s="19">
        <f t="shared" si="15"/>
        <v>0</v>
      </c>
      <c r="AH59" s="20" t="e">
        <f t="shared" si="16"/>
        <v>#DIV/0!</v>
      </c>
      <c r="AI59" s="19">
        <v>0</v>
      </c>
      <c r="AJ59" s="19">
        <v>0</v>
      </c>
      <c r="AK59" s="18"/>
      <c r="AL59" s="19">
        <v>0</v>
      </c>
      <c r="AM59" s="18"/>
      <c r="AN59" s="19">
        <f>(AM59/12*1*$D59*$F59*$G59*$I59*AN$11)+(AM59/12*11*$E59*$F59*$G59*$I59*AN$12)</f>
        <v>0</v>
      </c>
    </row>
    <row r="60" spans="1:40" s="41" customFormat="1" x14ac:dyDescent="0.25">
      <c r="A60" s="31">
        <v>15</v>
      </c>
      <c r="B60" s="31"/>
      <c r="C60" s="32" t="s">
        <v>97</v>
      </c>
      <c r="D60" s="15">
        <f t="shared" si="14"/>
        <v>10127</v>
      </c>
      <c r="E60" s="15">
        <v>10127</v>
      </c>
      <c r="F60" s="36"/>
      <c r="G60" s="35"/>
      <c r="H60" s="33"/>
      <c r="I60" s="33"/>
      <c r="J60" s="33"/>
      <c r="K60" s="33"/>
      <c r="L60" s="17">
        <v>2.57</v>
      </c>
      <c r="M60" s="25">
        <f t="shared" ref="M60:U60" si="66">SUM(M61:M63)</f>
        <v>192</v>
      </c>
      <c r="N60" s="25">
        <f t="shared" si="66"/>
        <v>3233246.1557759997</v>
      </c>
      <c r="O60" s="25">
        <f t="shared" si="66"/>
        <v>0</v>
      </c>
      <c r="P60" s="25">
        <f t="shared" si="66"/>
        <v>0</v>
      </c>
      <c r="Q60" s="25">
        <f t="shared" si="66"/>
        <v>104</v>
      </c>
      <c r="R60" s="25">
        <f t="shared" si="66"/>
        <v>1228251.1695999999</v>
      </c>
      <c r="S60" s="25">
        <f t="shared" si="66"/>
        <v>40</v>
      </c>
      <c r="T60" s="25">
        <f t="shared" si="66"/>
        <v>472404.29600000009</v>
      </c>
      <c r="U60" s="25">
        <f t="shared" si="66"/>
        <v>122</v>
      </c>
      <c r="V60" s="25">
        <f t="shared" ref="V60:AN60" si="67">SUM(V61:V63)</f>
        <v>2084970.2546399999</v>
      </c>
      <c r="W60" s="25">
        <f t="shared" si="67"/>
        <v>40</v>
      </c>
      <c r="X60" s="25">
        <f t="shared" si="67"/>
        <v>705827.5952000001</v>
      </c>
      <c r="Y60" s="25">
        <f t="shared" si="67"/>
        <v>60</v>
      </c>
      <c r="Z60" s="25">
        <f t="shared" si="67"/>
        <v>736394.9319999998</v>
      </c>
      <c r="AA60" s="25">
        <f t="shared" si="67"/>
        <v>20</v>
      </c>
      <c r="AB60" s="25">
        <f t="shared" si="67"/>
        <v>365029.57836800005</v>
      </c>
      <c r="AC60" s="25">
        <f t="shared" si="67"/>
        <v>2</v>
      </c>
      <c r="AD60" s="25">
        <f t="shared" si="67"/>
        <v>30358.923139999999</v>
      </c>
      <c r="AE60" s="25">
        <f t="shared" si="67"/>
        <v>28</v>
      </c>
      <c r="AF60" s="25">
        <f t="shared" si="67"/>
        <v>425024.92396000004</v>
      </c>
      <c r="AG60" s="25">
        <f t="shared" si="67"/>
        <v>42</v>
      </c>
      <c r="AH60" s="25" t="e">
        <f t="shared" si="67"/>
        <v>#DIV/0!</v>
      </c>
      <c r="AI60" s="25">
        <f t="shared" si="67"/>
        <v>14</v>
      </c>
      <c r="AJ60" s="25">
        <f t="shared" si="67"/>
        <v>203975.53999999995</v>
      </c>
      <c r="AK60" s="25">
        <v>18</v>
      </c>
      <c r="AL60" s="25">
        <v>440169.64991999994</v>
      </c>
      <c r="AM60" s="25">
        <f t="shared" ref="AM60" si="68">SUM(AM61:AM63)</f>
        <v>0</v>
      </c>
      <c r="AN60" s="25">
        <f t="shared" si="67"/>
        <v>0</v>
      </c>
    </row>
    <row r="61" spans="1:40" ht="30" x14ac:dyDescent="0.25">
      <c r="A61" s="31"/>
      <c r="B61" s="26">
        <v>34</v>
      </c>
      <c r="C61" s="23" t="s">
        <v>98</v>
      </c>
      <c r="D61" s="15">
        <f t="shared" si="14"/>
        <v>10127</v>
      </c>
      <c r="E61" s="15">
        <v>10127</v>
      </c>
      <c r="F61" s="16">
        <v>0.98</v>
      </c>
      <c r="G61" s="22">
        <v>1</v>
      </c>
      <c r="H61" s="15">
        <v>1.4</v>
      </c>
      <c r="I61" s="15">
        <v>1.68</v>
      </c>
      <c r="J61" s="15">
        <v>2.23</v>
      </c>
      <c r="K61" s="15">
        <v>2.39</v>
      </c>
      <c r="L61" s="17">
        <v>2.57</v>
      </c>
      <c r="M61" s="18">
        <f>152+40</f>
        <v>192</v>
      </c>
      <c r="N61" s="19">
        <f>(M61/12*1*$D61*$F61*$G61*$I61*N$11)+(M61/12*11*$E61*$F61*$G61*$I61*N$12)</f>
        <v>3233246.1557759997</v>
      </c>
      <c r="O61" s="18"/>
      <c r="P61" s="19">
        <f t="shared" si="7"/>
        <v>0</v>
      </c>
      <c r="Q61" s="18">
        <v>104</v>
      </c>
      <c r="R61" s="19">
        <f t="shared" si="8"/>
        <v>1228251.1695999999</v>
      </c>
      <c r="S61" s="18">
        <v>40</v>
      </c>
      <c r="T61" s="19">
        <f t="shared" si="9"/>
        <v>472404.29600000009</v>
      </c>
      <c r="U61" s="18">
        <v>122</v>
      </c>
      <c r="V61" s="19">
        <f t="shared" si="35"/>
        <v>2084970.2546399999</v>
      </c>
      <c r="W61" s="18">
        <v>40</v>
      </c>
      <c r="X61" s="19">
        <f t="shared" si="41"/>
        <v>705827.5952000001</v>
      </c>
      <c r="Y61" s="18">
        <v>60</v>
      </c>
      <c r="Z61" s="19">
        <f t="shared" si="12"/>
        <v>736394.9319999998</v>
      </c>
      <c r="AA61" s="18">
        <v>20</v>
      </c>
      <c r="AB61" s="19">
        <f t="shared" ref="AB61:AB63" si="69">(AA61/12*1*$D61*$F61*$G61*$I61*AB$11)+(AA61/12*11*$E61*$F61*$G61*$I61*AB$12)</f>
        <v>365029.57836800005</v>
      </c>
      <c r="AC61" s="18">
        <f>2</f>
        <v>2</v>
      </c>
      <c r="AD61" s="19">
        <f>(AC61/12*1*$D61*$F61*$G61*$H61*AD$11)+(AC61/12*11*$E61*$F61*$G61*$H61*AD$12)</f>
        <v>30358.923139999999</v>
      </c>
      <c r="AE61" s="18">
        <f>79-51</f>
        <v>28</v>
      </c>
      <c r="AF61" s="19">
        <f>(AE61/12*1*$D61*$F61*$G61*$H61*AF$11)+(AE61/12*11*$E61*$F61*$G61*$H61*AF$12)</f>
        <v>425024.92396000004</v>
      </c>
      <c r="AG61" s="19">
        <f t="shared" si="15"/>
        <v>42</v>
      </c>
      <c r="AH61" s="20">
        <f t="shared" si="16"/>
        <v>150</v>
      </c>
      <c r="AI61" s="19">
        <v>14</v>
      </c>
      <c r="AJ61" s="19">
        <v>203975.53999999995</v>
      </c>
      <c r="AK61" s="18">
        <v>18</v>
      </c>
      <c r="AL61" s="19">
        <v>440169.64991999994</v>
      </c>
      <c r="AM61" s="18"/>
      <c r="AN61" s="19">
        <f>(AM61/12*1*$D61*$F61*$G61*$I61*AN$11)+(AM61/12*11*$E61*$F61*$G61*$I61*AN$12)</f>
        <v>0</v>
      </c>
    </row>
    <row r="62" spans="1:40" ht="45" x14ac:dyDescent="0.25">
      <c r="A62" s="31"/>
      <c r="B62" s="26">
        <v>35</v>
      </c>
      <c r="C62" s="23" t="s">
        <v>99</v>
      </c>
      <c r="D62" s="15">
        <f t="shared" si="14"/>
        <v>10127</v>
      </c>
      <c r="E62" s="15">
        <v>10127</v>
      </c>
      <c r="F62" s="16">
        <v>2.79</v>
      </c>
      <c r="G62" s="22">
        <v>1</v>
      </c>
      <c r="H62" s="15">
        <v>1.4</v>
      </c>
      <c r="I62" s="15">
        <v>1.68</v>
      </c>
      <c r="J62" s="15">
        <v>2.23</v>
      </c>
      <c r="K62" s="15">
        <v>2.39</v>
      </c>
      <c r="L62" s="17">
        <v>2.57</v>
      </c>
      <c r="M62" s="18"/>
      <c r="N62" s="19">
        <f>(M62/12*1*$D62*$F62*$G62*$I62*N$11)+(M62/12*11*$E62*$F62*$G62*$I62*N$12)</f>
        <v>0</v>
      </c>
      <c r="O62" s="18"/>
      <c r="P62" s="19">
        <f t="shared" si="7"/>
        <v>0</v>
      </c>
      <c r="Q62" s="18"/>
      <c r="R62" s="19">
        <f t="shared" si="8"/>
        <v>0</v>
      </c>
      <c r="S62" s="18"/>
      <c r="T62" s="19">
        <f t="shared" si="9"/>
        <v>0</v>
      </c>
      <c r="U62" s="18"/>
      <c r="V62" s="19">
        <f t="shared" si="35"/>
        <v>0</v>
      </c>
      <c r="W62" s="18"/>
      <c r="X62" s="19">
        <f t="shared" si="41"/>
        <v>0</v>
      </c>
      <c r="Y62" s="18"/>
      <c r="Z62" s="19">
        <f t="shared" si="12"/>
        <v>0</v>
      </c>
      <c r="AA62" s="18"/>
      <c r="AB62" s="19">
        <f t="shared" si="69"/>
        <v>0</v>
      </c>
      <c r="AC62" s="18"/>
      <c r="AD62" s="19">
        <f>(AC62/12*1*$D62*$F62*$G62*$H62*AD$11)+(AC62/12*11*$E62*$F62*$G62*$H62*AD$12)</f>
        <v>0</v>
      </c>
      <c r="AE62" s="18"/>
      <c r="AF62" s="19">
        <f>(AE62/12*1*$D62*$F62*$G62*$H62*AF$11)+(AE62/12*11*$E62*$F62*$G62*$H62*AF$12)</f>
        <v>0</v>
      </c>
      <c r="AG62" s="19">
        <f t="shared" si="15"/>
        <v>0</v>
      </c>
      <c r="AH62" s="20" t="e">
        <f t="shared" si="16"/>
        <v>#DIV/0!</v>
      </c>
      <c r="AI62" s="19"/>
      <c r="AJ62" s="19"/>
      <c r="AK62" s="18"/>
      <c r="AL62" s="19">
        <v>0</v>
      </c>
      <c r="AM62" s="18"/>
      <c r="AN62" s="19">
        <f>(AM62/12*1*$D62*$F62*$G62*$I62*AN$11)+(AM62/12*11*$E62*$F62*$G62*$I62*AN$12)</f>
        <v>0</v>
      </c>
    </row>
    <row r="63" spans="1:40" ht="45" x14ac:dyDescent="0.25">
      <c r="A63" s="31"/>
      <c r="B63" s="26">
        <v>36</v>
      </c>
      <c r="C63" s="23" t="s">
        <v>100</v>
      </c>
      <c r="D63" s="15">
        <f t="shared" si="14"/>
        <v>10127</v>
      </c>
      <c r="E63" s="15">
        <v>10127</v>
      </c>
      <c r="F63" s="16">
        <v>7.86</v>
      </c>
      <c r="G63" s="22">
        <v>1</v>
      </c>
      <c r="H63" s="15">
        <v>1.4</v>
      </c>
      <c r="I63" s="15">
        <v>1.68</v>
      </c>
      <c r="J63" s="15">
        <v>2.23</v>
      </c>
      <c r="K63" s="15">
        <v>2.39</v>
      </c>
      <c r="L63" s="17">
        <v>2.57</v>
      </c>
      <c r="M63" s="18"/>
      <c r="N63" s="19">
        <f>(M63/12*1*$D63*$F63*$G63*$I63*N$11)+(M63/12*11*$E63*$F63*$G63*$I63*N$12)</f>
        <v>0</v>
      </c>
      <c r="O63" s="18"/>
      <c r="P63" s="19">
        <f t="shared" si="7"/>
        <v>0</v>
      </c>
      <c r="Q63" s="18"/>
      <c r="R63" s="19">
        <f t="shared" si="8"/>
        <v>0</v>
      </c>
      <c r="S63" s="18"/>
      <c r="T63" s="19">
        <f t="shared" si="9"/>
        <v>0</v>
      </c>
      <c r="U63" s="18"/>
      <c r="V63" s="19">
        <f t="shared" si="35"/>
        <v>0</v>
      </c>
      <c r="W63" s="18"/>
      <c r="X63" s="19">
        <f t="shared" si="41"/>
        <v>0</v>
      </c>
      <c r="Y63" s="18"/>
      <c r="Z63" s="19">
        <f t="shared" si="12"/>
        <v>0</v>
      </c>
      <c r="AA63" s="18"/>
      <c r="AB63" s="19">
        <f t="shared" si="69"/>
        <v>0</v>
      </c>
      <c r="AC63" s="18"/>
      <c r="AD63" s="19">
        <f>(AC63/12*1*$D63*$F63*$G63*$H63*AD$11)+(AC63/12*11*$E63*$F63*$G63*$H63*AD$12)</f>
        <v>0</v>
      </c>
      <c r="AE63" s="18"/>
      <c r="AF63" s="19">
        <f>(AE63/12*1*$D63*$F63*$G63*$H63*AF$11)+(AE63/12*11*$E63*$F63*$G63*$H63*AF$12)</f>
        <v>0</v>
      </c>
      <c r="AG63" s="19">
        <f t="shared" si="15"/>
        <v>0</v>
      </c>
      <c r="AH63" s="20" t="e">
        <f t="shared" si="16"/>
        <v>#DIV/0!</v>
      </c>
      <c r="AI63" s="19"/>
      <c r="AJ63" s="19"/>
      <c r="AK63" s="18"/>
      <c r="AL63" s="19">
        <v>0</v>
      </c>
      <c r="AM63" s="18"/>
      <c r="AN63" s="19">
        <f>(AM63/12*1*$D63*$F63*$G63*$I63*AN$11)+(AM63/12*11*$E63*$F63*$G63*$I63*AN$12)</f>
        <v>0</v>
      </c>
    </row>
    <row r="64" spans="1:40" s="41" customFormat="1" x14ac:dyDescent="0.25">
      <c r="A64" s="31">
        <v>16</v>
      </c>
      <c r="B64" s="31"/>
      <c r="C64" s="39" t="s">
        <v>101</v>
      </c>
      <c r="D64" s="15">
        <f t="shared" si="14"/>
        <v>10127</v>
      </c>
      <c r="E64" s="15">
        <v>10127</v>
      </c>
      <c r="F64" s="36"/>
      <c r="G64" s="35"/>
      <c r="H64" s="33"/>
      <c r="I64" s="33"/>
      <c r="J64" s="33"/>
      <c r="K64" s="33"/>
      <c r="L64" s="17">
        <v>2.57</v>
      </c>
      <c r="M64" s="25">
        <f t="shared" ref="M64:U64" si="70">SUM(M65:M66)</f>
        <v>54</v>
      </c>
      <c r="N64" s="25">
        <f t="shared" si="70"/>
        <v>872234.13513599988</v>
      </c>
      <c r="O64" s="25">
        <f t="shared" si="70"/>
        <v>0</v>
      </c>
      <c r="P64" s="25">
        <f t="shared" si="70"/>
        <v>0</v>
      </c>
      <c r="Q64" s="25">
        <f t="shared" si="70"/>
        <v>402</v>
      </c>
      <c r="R64" s="25">
        <f t="shared" si="70"/>
        <v>4553881.0044</v>
      </c>
      <c r="S64" s="25">
        <f t="shared" si="70"/>
        <v>10</v>
      </c>
      <c r="T64" s="25">
        <f t="shared" si="70"/>
        <v>113280.622</v>
      </c>
      <c r="U64" s="25">
        <f t="shared" si="70"/>
        <v>256</v>
      </c>
      <c r="V64" s="25">
        <f t="shared" ref="V64:AN64" si="71">SUM(V65:V66)</f>
        <v>4196447.3241599994</v>
      </c>
      <c r="W64" s="25">
        <f t="shared" si="71"/>
        <v>313</v>
      </c>
      <c r="X64" s="25">
        <f t="shared" si="71"/>
        <v>5297668.2413199991</v>
      </c>
      <c r="Y64" s="25">
        <f t="shared" si="71"/>
        <v>360</v>
      </c>
      <c r="Z64" s="25">
        <f t="shared" si="71"/>
        <v>4238027.9759999998</v>
      </c>
      <c r="AA64" s="25">
        <f t="shared" si="71"/>
        <v>100</v>
      </c>
      <c r="AB64" s="25">
        <f t="shared" si="71"/>
        <v>1750652.0595200001</v>
      </c>
      <c r="AC64" s="25">
        <f t="shared" si="71"/>
        <v>75</v>
      </c>
      <c r="AD64" s="25">
        <f t="shared" si="71"/>
        <v>1091991.8782500001</v>
      </c>
      <c r="AE64" s="25">
        <f t="shared" si="71"/>
        <v>446</v>
      </c>
      <c r="AF64" s="25">
        <f t="shared" si="71"/>
        <v>6493711.70266</v>
      </c>
      <c r="AG64" s="25">
        <f t="shared" si="71"/>
        <v>477</v>
      </c>
      <c r="AH64" s="25" t="e">
        <f t="shared" si="71"/>
        <v>#DIV/0!</v>
      </c>
      <c r="AI64" s="25">
        <f t="shared" si="71"/>
        <v>159</v>
      </c>
      <c r="AJ64" s="25">
        <f t="shared" si="71"/>
        <v>2249049.6300000004</v>
      </c>
      <c r="AK64" s="25">
        <v>121</v>
      </c>
      <c r="AL64" s="25">
        <v>2838146.0307200006</v>
      </c>
      <c r="AM64" s="25">
        <f t="shared" ref="AM64" si="72">SUM(AM65:AM66)</f>
        <v>7</v>
      </c>
      <c r="AN64" s="25">
        <f t="shared" si="71"/>
        <v>166056.06471999997</v>
      </c>
    </row>
    <row r="65" spans="1:40" ht="60" x14ac:dyDescent="0.25">
      <c r="A65" s="31"/>
      <c r="B65" s="26">
        <v>37</v>
      </c>
      <c r="C65" s="14" t="s">
        <v>102</v>
      </c>
      <c r="D65" s="15">
        <f t="shared" si="14"/>
        <v>10127</v>
      </c>
      <c r="E65" s="15">
        <v>10127</v>
      </c>
      <c r="F65" s="16">
        <v>0.94</v>
      </c>
      <c r="G65" s="22">
        <v>1</v>
      </c>
      <c r="H65" s="15">
        <v>1.4</v>
      </c>
      <c r="I65" s="15">
        <v>1.68</v>
      </c>
      <c r="J65" s="15">
        <v>2.23</v>
      </c>
      <c r="K65" s="15">
        <v>2.39</v>
      </c>
      <c r="L65" s="17">
        <v>2.57</v>
      </c>
      <c r="M65" s="18">
        <f>300-246</f>
        <v>54</v>
      </c>
      <c r="N65" s="19">
        <f>(M65/12*1*$D65*$F65*$G65*$I65*N$11)+(M65/12*11*$E65*$F65*$G65*$I65*N$12)</f>
        <v>872234.13513599988</v>
      </c>
      <c r="O65" s="18"/>
      <c r="P65" s="19">
        <f t="shared" si="7"/>
        <v>0</v>
      </c>
      <c r="Q65" s="18">
        <v>402</v>
      </c>
      <c r="R65" s="19">
        <f t="shared" si="8"/>
        <v>4553881.0044</v>
      </c>
      <c r="S65" s="18">
        <v>10</v>
      </c>
      <c r="T65" s="19">
        <f t="shared" si="9"/>
        <v>113280.622</v>
      </c>
      <c r="U65" s="18">
        <v>256</v>
      </c>
      <c r="V65" s="19">
        <f t="shared" si="35"/>
        <v>4196447.3241599994</v>
      </c>
      <c r="W65" s="18">
        <v>313</v>
      </c>
      <c r="X65" s="19">
        <f t="shared" si="41"/>
        <v>5297668.2413199991</v>
      </c>
      <c r="Y65" s="18">
        <v>360</v>
      </c>
      <c r="Z65" s="19">
        <f t="shared" si="12"/>
        <v>4238027.9759999998</v>
      </c>
      <c r="AA65" s="18">
        <f>110-10</f>
        <v>100</v>
      </c>
      <c r="AB65" s="19">
        <f t="shared" ref="AB65:AB66" si="73">(AA65/12*1*$D65*$F65*$G65*$I65*AB$11)+(AA65/12*11*$E65*$F65*$G65*$I65*AB$12)</f>
        <v>1750652.0595200001</v>
      </c>
      <c r="AC65" s="18">
        <f>70+5</f>
        <v>75</v>
      </c>
      <c r="AD65" s="19">
        <f>(AC65/12*1*$D65*$F65*$G65*$H65*AD$11)+(AC65/12*11*$E65*$F65*$G65*$H65*AD$12)</f>
        <v>1091991.8782500001</v>
      </c>
      <c r="AE65" s="18">
        <f>500-54</f>
        <v>446</v>
      </c>
      <c r="AF65" s="19">
        <f>(AE65/12*1*$D65*$F65*$G65*$H65*AF$11)+(AE65/12*11*$E65*$F65*$G65*$H65*AF$12)</f>
        <v>6493711.70266</v>
      </c>
      <c r="AG65" s="19">
        <f t="shared" si="15"/>
        <v>477</v>
      </c>
      <c r="AH65" s="20">
        <f t="shared" si="16"/>
        <v>106.95067264573991</v>
      </c>
      <c r="AI65" s="19">
        <v>159</v>
      </c>
      <c r="AJ65" s="19">
        <v>2249049.6300000004</v>
      </c>
      <c r="AK65" s="18">
        <v>121</v>
      </c>
      <c r="AL65" s="19">
        <v>2838146.0307200006</v>
      </c>
      <c r="AM65" s="18">
        <v>7</v>
      </c>
      <c r="AN65" s="19">
        <f>(AM65/12*1*$D65*$F65*$G65*$I65*AN$11)+(AM65/12*11*$E65*$F65*$G65*$I65*AN$12)</f>
        <v>166056.06471999997</v>
      </c>
    </row>
    <row r="66" spans="1:40" ht="30" x14ac:dyDescent="0.25">
      <c r="A66" s="31"/>
      <c r="B66" s="26">
        <v>38</v>
      </c>
      <c r="C66" s="23" t="s">
        <v>103</v>
      </c>
      <c r="D66" s="15">
        <f t="shared" si="14"/>
        <v>10127</v>
      </c>
      <c r="E66" s="15">
        <v>10127</v>
      </c>
      <c r="F66" s="21">
        <v>2.57</v>
      </c>
      <c r="G66" s="22">
        <v>1</v>
      </c>
      <c r="H66" s="15">
        <v>1.4</v>
      </c>
      <c r="I66" s="15">
        <v>1.68</v>
      </c>
      <c r="J66" s="15">
        <v>2.23</v>
      </c>
      <c r="K66" s="15">
        <v>2.39</v>
      </c>
      <c r="L66" s="17">
        <v>2.57</v>
      </c>
      <c r="M66" s="18"/>
      <c r="N66" s="19">
        <f>(M66/12*1*$D66*$F66*$G66*$I66*N$11)+(M66/12*11*$E66*$F66*$G66*$I66*N$12)</f>
        <v>0</v>
      </c>
      <c r="O66" s="18"/>
      <c r="P66" s="19">
        <f t="shared" si="7"/>
        <v>0</v>
      </c>
      <c r="Q66" s="18"/>
      <c r="R66" s="19">
        <f t="shared" si="8"/>
        <v>0</v>
      </c>
      <c r="S66" s="18"/>
      <c r="T66" s="19">
        <f t="shared" si="9"/>
        <v>0</v>
      </c>
      <c r="U66" s="18"/>
      <c r="V66" s="19">
        <f t="shared" si="35"/>
        <v>0</v>
      </c>
      <c r="W66" s="18"/>
      <c r="X66" s="19">
        <f t="shared" si="41"/>
        <v>0</v>
      </c>
      <c r="Y66" s="18"/>
      <c r="Z66" s="19">
        <f t="shared" si="12"/>
        <v>0</v>
      </c>
      <c r="AA66" s="18"/>
      <c r="AB66" s="19">
        <f t="shared" si="73"/>
        <v>0</v>
      </c>
      <c r="AC66" s="18"/>
      <c r="AD66" s="19">
        <f>(AC66/12*1*$D66*$F66*$G66*$H66*AD$11)+(AC66/12*11*$E66*$F66*$G66*$H66*AD$12)</f>
        <v>0</v>
      </c>
      <c r="AE66" s="18"/>
      <c r="AF66" s="19">
        <f>(AE66/12*1*$D66*$F66*$G66*$H66*AF$11)+(AE66/12*11*$E66*$F66*$G66*$H66*AF$12)</f>
        <v>0</v>
      </c>
      <c r="AG66" s="19">
        <f t="shared" si="15"/>
        <v>0</v>
      </c>
      <c r="AH66" s="20" t="e">
        <f t="shared" si="16"/>
        <v>#DIV/0!</v>
      </c>
      <c r="AI66" s="19"/>
      <c r="AJ66" s="19"/>
      <c r="AK66" s="18"/>
      <c r="AL66" s="19">
        <v>0</v>
      </c>
      <c r="AM66" s="18"/>
      <c r="AN66" s="19">
        <f>(AM66/12*1*$D66*$F66*$G66*$I66*AN$11)+(AM66/12*11*$E66*$F66*$G66*$I66*AN$12)</f>
        <v>0</v>
      </c>
    </row>
    <row r="67" spans="1:40" s="41" customFormat="1" x14ac:dyDescent="0.25">
      <c r="A67" s="31">
        <v>17</v>
      </c>
      <c r="B67" s="31"/>
      <c r="C67" s="32" t="s">
        <v>104</v>
      </c>
      <c r="D67" s="15">
        <f t="shared" si="14"/>
        <v>10127</v>
      </c>
      <c r="E67" s="15">
        <v>10127</v>
      </c>
      <c r="F67" s="36"/>
      <c r="G67" s="35"/>
      <c r="H67" s="33"/>
      <c r="I67" s="33"/>
      <c r="J67" s="33"/>
      <c r="K67" s="33"/>
      <c r="L67" s="17">
        <v>2.57</v>
      </c>
      <c r="M67" s="25">
        <f t="shared" ref="M67:U67" si="74">SUM(M68)</f>
        <v>2</v>
      </c>
      <c r="N67" s="25">
        <f t="shared" si="74"/>
        <v>61516.907088</v>
      </c>
      <c r="O67" s="25">
        <f t="shared" si="74"/>
        <v>0</v>
      </c>
      <c r="P67" s="25">
        <f t="shared" si="74"/>
        <v>0</v>
      </c>
      <c r="Q67" s="25">
        <f t="shared" si="74"/>
        <v>0</v>
      </c>
      <c r="R67" s="25">
        <f t="shared" si="74"/>
        <v>0</v>
      </c>
      <c r="S67" s="25">
        <f t="shared" si="74"/>
        <v>0</v>
      </c>
      <c r="T67" s="25">
        <f t="shared" si="74"/>
        <v>0</v>
      </c>
      <c r="U67" s="25">
        <f t="shared" si="74"/>
        <v>0</v>
      </c>
      <c r="V67" s="25">
        <f t="shared" ref="V67:AN67" si="75">SUM(V68)</f>
        <v>0</v>
      </c>
      <c r="W67" s="25">
        <f t="shared" si="75"/>
        <v>0</v>
      </c>
      <c r="X67" s="25">
        <f t="shared" si="75"/>
        <v>0</v>
      </c>
      <c r="Y67" s="25">
        <f t="shared" si="75"/>
        <v>0</v>
      </c>
      <c r="Z67" s="25">
        <f t="shared" si="75"/>
        <v>0</v>
      </c>
      <c r="AA67" s="25">
        <f t="shared" si="75"/>
        <v>0</v>
      </c>
      <c r="AB67" s="25">
        <f t="shared" si="75"/>
        <v>0</v>
      </c>
      <c r="AC67" s="25">
        <f t="shared" si="75"/>
        <v>0</v>
      </c>
      <c r="AD67" s="25">
        <f t="shared" si="75"/>
        <v>0</v>
      </c>
      <c r="AE67" s="25">
        <f t="shared" si="75"/>
        <v>8</v>
      </c>
      <c r="AF67" s="25">
        <f t="shared" si="75"/>
        <v>221806.00988</v>
      </c>
      <c r="AG67" s="25">
        <f t="shared" si="75"/>
        <v>0</v>
      </c>
      <c r="AH67" s="25">
        <f t="shared" si="75"/>
        <v>0</v>
      </c>
      <c r="AI67" s="25">
        <f t="shared" si="75"/>
        <v>0</v>
      </c>
      <c r="AJ67" s="25">
        <f t="shared" si="75"/>
        <v>0</v>
      </c>
      <c r="AK67" s="25">
        <v>0</v>
      </c>
      <c r="AL67" s="25">
        <v>0</v>
      </c>
      <c r="AM67" s="25">
        <f t="shared" ref="AM67" si="76">SUM(AM68)</f>
        <v>0</v>
      </c>
      <c r="AN67" s="25">
        <f t="shared" si="75"/>
        <v>0</v>
      </c>
    </row>
    <row r="68" spans="1:40" ht="30" x14ac:dyDescent="0.25">
      <c r="A68" s="31"/>
      <c r="B68" s="6">
        <v>39</v>
      </c>
      <c r="C68" s="14" t="s">
        <v>105</v>
      </c>
      <c r="D68" s="15">
        <f t="shared" si="14"/>
        <v>10127</v>
      </c>
      <c r="E68" s="15">
        <v>10127</v>
      </c>
      <c r="F68" s="16">
        <v>1.79</v>
      </c>
      <c r="G68" s="22">
        <v>1</v>
      </c>
      <c r="H68" s="15">
        <v>1.4</v>
      </c>
      <c r="I68" s="15">
        <v>1.68</v>
      </c>
      <c r="J68" s="15">
        <v>2.23</v>
      </c>
      <c r="K68" s="15">
        <v>2.39</v>
      </c>
      <c r="L68" s="17">
        <v>2.57</v>
      </c>
      <c r="M68" s="18">
        <v>2</v>
      </c>
      <c r="N68" s="19">
        <f>(M68/12*1*$D68*$F68*$G68*$I68*N$11)+(M68/12*11*$E68*$F68*$G68*$I68*N$12)</f>
        <v>61516.907088</v>
      </c>
      <c r="O68" s="18"/>
      <c r="P68" s="19">
        <f t="shared" si="7"/>
        <v>0</v>
      </c>
      <c r="Q68" s="18"/>
      <c r="R68" s="19">
        <f t="shared" si="8"/>
        <v>0</v>
      </c>
      <c r="S68" s="18"/>
      <c r="T68" s="19">
        <f t="shared" si="9"/>
        <v>0</v>
      </c>
      <c r="U68" s="18"/>
      <c r="V68" s="19">
        <f t="shared" si="35"/>
        <v>0</v>
      </c>
      <c r="W68" s="18"/>
      <c r="X68" s="19">
        <f t="shared" si="41"/>
        <v>0</v>
      </c>
      <c r="Y68" s="18"/>
      <c r="Z68" s="19">
        <f t="shared" si="12"/>
        <v>0</v>
      </c>
      <c r="AA68" s="18"/>
      <c r="AB68" s="19">
        <f>(AA68/12*1*$D68*$F68*$G68*$I68*AB$11)+(AA68/12*11*$E68*$F68*$G68*$I68*AB$12)</f>
        <v>0</v>
      </c>
      <c r="AC68" s="18"/>
      <c r="AD68" s="19">
        <f>(AC68/12*1*$D68*$F68*$G68*$H68*AD$11)+(AC68/12*11*$E68*$F68*$G68*$H68*AD$12)</f>
        <v>0</v>
      </c>
      <c r="AE68" s="18">
        <f>2+6</f>
        <v>8</v>
      </c>
      <c r="AF68" s="19">
        <f>(AE68/12*1*$D68*$F68*$G68*$H68*AF$11)+(AE68/12*11*$E68*$F68*$G68*$H68*AF$12)</f>
        <v>221806.00988</v>
      </c>
      <c r="AG68" s="19">
        <f t="shared" si="15"/>
        <v>0</v>
      </c>
      <c r="AH68" s="20">
        <f t="shared" si="16"/>
        <v>0</v>
      </c>
      <c r="AI68" s="19">
        <v>0</v>
      </c>
      <c r="AJ68" s="19">
        <v>0</v>
      </c>
      <c r="AK68" s="18"/>
      <c r="AL68" s="19">
        <v>0</v>
      </c>
      <c r="AM68" s="18"/>
      <c r="AN68" s="19">
        <f>(AM68/12*1*$D68*$F68*$G68*$I68*AN$11)+(AM68/12*11*$E68*$F68*$G68*$I68*AN$12)</f>
        <v>0</v>
      </c>
    </row>
    <row r="69" spans="1:40" s="41" customFormat="1" x14ac:dyDescent="0.25">
      <c r="A69" s="31">
        <v>18</v>
      </c>
      <c r="B69" s="31"/>
      <c r="C69" s="32" t="s">
        <v>106</v>
      </c>
      <c r="D69" s="15">
        <f>D68</f>
        <v>10127</v>
      </c>
      <c r="E69" s="15">
        <v>10127</v>
      </c>
      <c r="F69" s="36"/>
      <c r="G69" s="35"/>
      <c r="H69" s="33"/>
      <c r="I69" s="33"/>
      <c r="J69" s="33"/>
      <c r="K69" s="33"/>
      <c r="L69" s="17">
        <v>2.57</v>
      </c>
      <c r="M69" s="25">
        <f t="shared" ref="M69:U69" si="77">SUM(M70:M73)</f>
        <v>9</v>
      </c>
      <c r="N69" s="25">
        <f t="shared" si="77"/>
        <v>219948.71808000002</v>
      </c>
      <c r="O69" s="25">
        <f t="shared" si="77"/>
        <v>0</v>
      </c>
      <c r="P69" s="25">
        <f t="shared" si="77"/>
        <v>0</v>
      </c>
      <c r="Q69" s="25">
        <f t="shared" si="77"/>
        <v>2</v>
      </c>
      <c r="R69" s="25">
        <f t="shared" si="77"/>
        <v>19281.808000000001</v>
      </c>
      <c r="S69" s="25">
        <f t="shared" si="77"/>
        <v>2</v>
      </c>
      <c r="T69" s="25">
        <f t="shared" si="77"/>
        <v>19281.808000000001</v>
      </c>
      <c r="U69" s="25">
        <f t="shared" si="77"/>
        <v>1</v>
      </c>
      <c r="V69" s="25">
        <f t="shared" ref="V69:AN69" si="78">SUM(V70:V73)</f>
        <v>13950.9552</v>
      </c>
      <c r="W69" s="25">
        <f t="shared" si="78"/>
        <v>9</v>
      </c>
      <c r="X69" s="25">
        <f t="shared" si="78"/>
        <v>129641.80319999999</v>
      </c>
      <c r="Y69" s="25">
        <f t="shared" si="78"/>
        <v>0</v>
      </c>
      <c r="Z69" s="25">
        <f t="shared" si="78"/>
        <v>0</v>
      </c>
      <c r="AA69" s="25">
        <f t="shared" si="78"/>
        <v>0</v>
      </c>
      <c r="AB69" s="25">
        <f t="shared" si="78"/>
        <v>0</v>
      </c>
      <c r="AC69" s="25">
        <f t="shared" si="78"/>
        <v>0</v>
      </c>
      <c r="AD69" s="25">
        <f t="shared" si="78"/>
        <v>0</v>
      </c>
      <c r="AE69" s="25">
        <f t="shared" si="78"/>
        <v>9</v>
      </c>
      <c r="AF69" s="25">
        <f t="shared" si="78"/>
        <v>210653.75239999997</v>
      </c>
      <c r="AG69" s="25">
        <f t="shared" si="78"/>
        <v>6</v>
      </c>
      <c r="AH69" s="25" t="e">
        <f t="shared" si="78"/>
        <v>#DIV/0!</v>
      </c>
      <c r="AI69" s="25">
        <f t="shared" si="78"/>
        <v>2</v>
      </c>
      <c r="AJ69" s="25">
        <f t="shared" si="78"/>
        <v>36410.020000000004</v>
      </c>
      <c r="AK69" s="25">
        <v>2</v>
      </c>
      <c r="AL69" s="25">
        <v>39924.684799999995</v>
      </c>
      <c r="AM69" s="25">
        <f t="shared" ref="AM69" si="79">SUM(AM70:AM73)</f>
        <v>3</v>
      </c>
      <c r="AN69" s="25">
        <f t="shared" si="78"/>
        <v>121135.1232</v>
      </c>
    </row>
    <row r="70" spans="1:40" ht="30" x14ac:dyDescent="0.25">
      <c r="A70" s="31"/>
      <c r="B70" s="26">
        <v>40</v>
      </c>
      <c r="C70" s="23" t="s">
        <v>107</v>
      </c>
      <c r="D70" s="15">
        <f t="shared" si="14"/>
        <v>10127</v>
      </c>
      <c r="E70" s="15">
        <v>10127</v>
      </c>
      <c r="F70" s="16">
        <v>1.6</v>
      </c>
      <c r="G70" s="22">
        <v>1</v>
      </c>
      <c r="H70" s="15">
        <v>1.4</v>
      </c>
      <c r="I70" s="15">
        <v>1.68</v>
      </c>
      <c r="J70" s="15">
        <v>2.23</v>
      </c>
      <c r="K70" s="15">
        <v>2.39</v>
      </c>
      <c r="L70" s="17">
        <v>2.57</v>
      </c>
      <c r="M70" s="18">
        <v>7</v>
      </c>
      <c r="N70" s="19">
        <f>(M70/12*1*$D70*$F70*$G70*$I70*N$11)+(M70/12*11*$E70*$F70*$G70*$I70*N$12)</f>
        <v>192455.12832000002</v>
      </c>
      <c r="O70" s="18"/>
      <c r="P70" s="19">
        <f t="shared" si="7"/>
        <v>0</v>
      </c>
      <c r="Q70" s="18"/>
      <c r="R70" s="19">
        <f t="shared" si="8"/>
        <v>0</v>
      </c>
      <c r="S70" s="18"/>
      <c r="T70" s="19">
        <f t="shared" si="9"/>
        <v>0</v>
      </c>
      <c r="U70" s="18">
        <v>0</v>
      </c>
      <c r="V70" s="19">
        <f t="shared" si="35"/>
        <v>0</v>
      </c>
      <c r="W70" s="18">
        <v>0</v>
      </c>
      <c r="X70" s="19">
        <f t="shared" si="41"/>
        <v>0</v>
      </c>
      <c r="Y70" s="18"/>
      <c r="Z70" s="19">
        <f t="shared" si="12"/>
        <v>0</v>
      </c>
      <c r="AA70" s="18">
        <v>0</v>
      </c>
      <c r="AB70" s="19">
        <f t="shared" ref="AB70:AB73" si="80">(AA70/12*1*$D70*$F70*$G70*$I70*AB$11)+(AA70/12*11*$E70*$F70*$G70*$I70*AB$12)</f>
        <v>0</v>
      </c>
      <c r="AC70" s="18">
        <v>0</v>
      </c>
      <c r="AD70" s="19">
        <f>(AC70/12*1*$D70*$F70*$G70*$H70*AD$11)+(AC70/12*11*$E70*$F70*$G70*$H70*AD$12)</f>
        <v>0</v>
      </c>
      <c r="AE70" s="18">
        <f>2+6</f>
        <v>8</v>
      </c>
      <c r="AF70" s="19">
        <f>(AE70/12*1*$D70*$F70*$G70*$H70*AF$11)+(AE70/12*11*$E70*$F70*$G70*$H70*AF$12)</f>
        <v>198262.35519999996</v>
      </c>
      <c r="AG70" s="19">
        <f t="shared" si="15"/>
        <v>3</v>
      </c>
      <c r="AH70" s="20">
        <f t="shared" si="16"/>
        <v>37.5</v>
      </c>
      <c r="AI70" s="19">
        <v>1</v>
      </c>
      <c r="AJ70" s="19">
        <v>24953.91</v>
      </c>
      <c r="AK70" s="18"/>
      <c r="AL70" s="19">
        <v>0</v>
      </c>
      <c r="AM70" s="18">
        <f>1+2</f>
        <v>3</v>
      </c>
      <c r="AN70" s="19">
        <f>(AM70/12*1*$D70*$F70*$G70*$I70*AN$11)+(AM70/12*11*$E70*$F70*$G70*$I70*AN$12)</f>
        <v>121135.1232</v>
      </c>
    </row>
    <row r="71" spans="1:40" ht="30" x14ac:dyDescent="0.25">
      <c r="A71" s="31"/>
      <c r="B71" s="26">
        <v>41</v>
      </c>
      <c r="C71" s="23" t="s">
        <v>108</v>
      </c>
      <c r="D71" s="15">
        <f t="shared" si="14"/>
        <v>10127</v>
      </c>
      <c r="E71" s="15">
        <v>10127</v>
      </c>
      <c r="F71" s="16">
        <v>3.25</v>
      </c>
      <c r="G71" s="22">
        <v>1</v>
      </c>
      <c r="H71" s="15">
        <v>1.4</v>
      </c>
      <c r="I71" s="15">
        <v>1.68</v>
      </c>
      <c r="J71" s="15">
        <v>2.23</v>
      </c>
      <c r="K71" s="15">
        <v>2.39</v>
      </c>
      <c r="L71" s="17">
        <v>2.57</v>
      </c>
      <c r="M71" s="18"/>
      <c r="N71" s="19">
        <f>(M71/12*1*$D71*$F71*$G71*$I71*N$11)+(M71/12*11*$E71*$F71*$G71*$I71*N$12)</f>
        <v>0</v>
      </c>
      <c r="O71" s="18"/>
      <c r="P71" s="19">
        <f t="shared" si="7"/>
        <v>0</v>
      </c>
      <c r="Q71" s="18"/>
      <c r="R71" s="19">
        <f t="shared" si="8"/>
        <v>0</v>
      </c>
      <c r="S71" s="18"/>
      <c r="T71" s="19">
        <f t="shared" si="9"/>
        <v>0</v>
      </c>
      <c r="U71" s="18"/>
      <c r="V71" s="19">
        <f t="shared" si="35"/>
        <v>0</v>
      </c>
      <c r="W71" s="18"/>
      <c r="X71" s="19">
        <f t="shared" si="41"/>
        <v>0</v>
      </c>
      <c r="Y71" s="18"/>
      <c r="Z71" s="19">
        <f t="shared" si="12"/>
        <v>0</v>
      </c>
      <c r="AA71" s="18"/>
      <c r="AB71" s="19">
        <f t="shared" si="80"/>
        <v>0</v>
      </c>
      <c r="AC71" s="18"/>
      <c r="AD71" s="19">
        <f>(AC71/12*1*$D71*$F71*$G71*$H71*AD$11)+(AC71/12*11*$E71*$F71*$G71*$H71*AD$12)</f>
        <v>0</v>
      </c>
      <c r="AE71" s="18"/>
      <c r="AF71" s="19">
        <f>(AE71/12*1*$D71*$F71*$G71*$H71*AF$11)+(AE71/12*11*$E71*$F71*$G71*$H71*AF$12)</f>
        <v>0</v>
      </c>
      <c r="AG71" s="19">
        <f t="shared" si="15"/>
        <v>0</v>
      </c>
      <c r="AH71" s="20" t="e">
        <f t="shared" si="16"/>
        <v>#DIV/0!</v>
      </c>
      <c r="AI71" s="19"/>
      <c r="AJ71" s="19"/>
      <c r="AK71" s="18"/>
      <c r="AL71" s="19">
        <v>0</v>
      </c>
      <c r="AM71" s="18"/>
      <c r="AN71" s="19">
        <f>(AM71/12*1*$D71*$F71*$G71*$I71*AN$11)+(AM71/12*11*$E71*$F71*$G71*$I71*AN$12)</f>
        <v>0</v>
      </c>
    </row>
    <row r="72" spans="1:40" ht="30" x14ac:dyDescent="0.25">
      <c r="A72" s="31"/>
      <c r="B72" s="26">
        <v>42</v>
      </c>
      <c r="C72" s="14" t="s">
        <v>109</v>
      </c>
      <c r="D72" s="15">
        <f t="shared" si="14"/>
        <v>10127</v>
      </c>
      <c r="E72" s="15">
        <v>10127</v>
      </c>
      <c r="F72" s="16">
        <v>3.18</v>
      </c>
      <c r="G72" s="22">
        <v>1</v>
      </c>
      <c r="H72" s="15">
        <v>1.4</v>
      </c>
      <c r="I72" s="15">
        <v>1.68</v>
      </c>
      <c r="J72" s="15">
        <v>2.23</v>
      </c>
      <c r="K72" s="15">
        <v>2.39</v>
      </c>
      <c r="L72" s="17">
        <v>2.57</v>
      </c>
      <c r="M72" s="18"/>
      <c r="N72" s="19">
        <f>(M72/12*1*$D72*$F72*$G72*$I72*N$11)+(M72/12*11*$E72*$F72*$G72*$I72*N$12)</f>
        <v>0</v>
      </c>
      <c r="O72" s="18"/>
      <c r="P72" s="19">
        <f t="shared" si="7"/>
        <v>0</v>
      </c>
      <c r="Q72" s="18"/>
      <c r="R72" s="19">
        <f t="shared" si="8"/>
        <v>0</v>
      </c>
      <c r="S72" s="18"/>
      <c r="T72" s="19">
        <f t="shared" si="9"/>
        <v>0</v>
      </c>
      <c r="U72" s="18"/>
      <c r="V72" s="19">
        <f t="shared" si="35"/>
        <v>0</v>
      </c>
      <c r="W72" s="18"/>
      <c r="X72" s="19">
        <f t="shared" si="41"/>
        <v>0</v>
      </c>
      <c r="Y72" s="18"/>
      <c r="Z72" s="19">
        <f t="shared" si="12"/>
        <v>0</v>
      </c>
      <c r="AA72" s="18"/>
      <c r="AB72" s="19">
        <f t="shared" si="80"/>
        <v>0</v>
      </c>
      <c r="AC72" s="18"/>
      <c r="AD72" s="19">
        <f>(AC72/12*1*$D72*$F72*$G72*$H72*AD$11)+(AC72/12*11*$E72*$F72*$G72*$H72*AD$12)</f>
        <v>0</v>
      </c>
      <c r="AE72" s="18"/>
      <c r="AF72" s="19">
        <f>(AE72/12*1*$D72*$F72*$G72*$H72*AF$11)+(AE72/12*11*$E72*$F72*$G72*$H72*AF$12)</f>
        <v>0</v>
      </c>
      <c r="AG72" s="19">
        <f t="shared" si="15"/>
        <v>0</v>
      </c>
      <c r="AH72" s="20" t="e">
        <f t="shared" si="16"/>
        <v>#DIV/0!</v>
      </c>
      <c r="AI72" s="19"/>
      <c r="AJ72" s="19"/>
      <c r="AK72" s="18"/>
      <c r="AL72" s="19">
        <v>0</v>
      </c>
      <c r="AM72" s="18"/>
      <c r="AN72" s="19">
        <f>(AM72/12*1*$D72*$F72*$G72*$I72*AN$11)+(AM72/12*11*$E72*$F72*$G72*$I72*AN$12)</f>
        <v>0</v>
      </c>
    </row>
    <row r="73" spans="1:40" x14ac:dyDescent="0.25">
      <c r="A73" s="31"/>
      <c r="B73" s="26">
        <v>43</v>
      </c>
      <c r="C73" s="14" t="s">
        <v>110</v>
      </c>
      <c r="D73" s="15">
        <f t="shared" si="14"/>
        <v>10127</v>
      </c>
      <c r="E73" s="15">
        <v>10127</v>
      </c>
      <c r="F73" s="16">
        <v>0.8</v>
      </c>
      <c r="G73" s="22">
        <v>1</v>
      </c>
      <c r="H73" s="15">
        <v>1.4</v>
      </c>
      <c r="I73" s="15">
        <v>1.68</v>
      </c>
      <c r="J73" s="15">
        <v>2.23</v>
      </c>
      <c r="K73" s="15">
        <v>2.39</v>
      </c>
      <c r="L73" s="17">
        <v>2.57</v>
      </c>
      <c r="M73" s="18">
        <v>2</v>
      </c>
      <c r="N73" s="19">
        <f>(M73/12*1*$D73*$F73*$G73*$I73*N$11)+(M73/12*11*$E73*$F73*$G73*$I73*N$12)</f>
        <v>27493.589759999995</v>
      </c>
      <c r="O73" s="18"/>
      <c r="P73" s="19">
        <f t="shared" si="7"/>
        <v>0</v>
      </c>
      <c r="Q73" s="18">
        <v>2</v>
      </c>
      <c r="R73" s="19">
        <f t="shared" si="8"/>
        <v>19281.808000000001</v>
      </c>
      <c r="S73" s="18">
        <v>2</v>
      </c>
      <c r="T73" s="19">
        <f t="shared" si="9"/>
        <v>19281.808000000001</v>
      </c>
      <c r="U73" s="18">
        <v>1</v>
      </c>
      <c r="V73" s="19">
        <f t="shared" si="35"/>
        <v>13950.9552</v>
      </c>
      <c r="W73" s="18">
        <v>9</v>
      </c>
      <c r="X73" s="19">
        <f t="shared" si="41"/>
        <v>129641.80319999999</v>
      </c>
      <c r="Y73" s="18"/>
      <c r="Z73" s="19">
        <f t="shared" si="12"/>
        <v>0</v>
      </c>
      <c r="AA73" s="18"/>
      <c r="AB73" s="19">
        <f t="shared" si="80"/>
        <v>0</v>
      </c>
      <c r="AC73" s="18"/>
      <c r="AD73" s="19">
        <f>(AC73/12*1*$D73*$F73*$G73*$H73*AD$11)+(AC73/12*11*$E73*$F73*$G73*$H73*AD$12)</f>
        <v>0</v>
      </c>
      <c r="AE73" s="18">
        <f>6-5</f>
        <v>1</v>
      </c>
      <c r="AF73" s="19">
        <f>(AE73/12*1*$D73*$F73*$G73*$H73*AF$11)+(AE73/12*11*$E73*$F73*$G73*$H73*AF$12)</f>
        <v>12391.397199999998</v>
      </c>
      <c r="AG73" s="19">
        <f t="shared" si="15"/>
        <v>3</v>
      </c>
      <c r="AH73" s="20">
        <f t="shared" si="16"/>
        <v>300</v>
      </c>
      <c r="AI73" s="19">
        <v>1</v>
      </c>
      <c r="AJ73" s="19">
        <v>11456.11</v>
      </c>
      <c r="AK73" s="18">
        <v>2</v>
      </c>
      <c r="AL73" s="19">
        <v>39924.684799999995</v>
      </c>
      <c r="AM73" s="18"/>
      <c r="AN73" s="19">
        <f>(AM73/12*1*$D73*$F73*$G73*$I73*AN$11)+(AM73/12*11*$E73*$F73*$G73*$I73*AN$12)</f>
        <v>0</v>
      </c>
    </row>
    <row r="74" spans="1:40" s="41" customFormat="1" x14ac:dyDescent="0.25">
      <c r="A74" s="31">
        <v>19</v>
      </c>
      <c r="B74" s="31"/>
      <c r="C74" s="32" t="s">
        <v>111</v>
      </c>
      <c r="D74" s="15">
        <f t="shared" si="14"/>
        <v>10127</v>
      </c>
      <c r="E74" s="15">
        <v>10127</v>
      </c>
      <c r="F74" s="36"/>
      <c r="G74" s="35"/>
      <c r="H74" s="33"/>
      <c r="I74" s="33"/>
      <c r="J74" s="33"/>
      <c r="K74" s="33"/>
      <c r="L74" s="17">
        <v>2.57</v>
      </c>
      <c r="M74" s="25">
        <f t="shared" ref="M74:U74" si="81">SUM(M75:M85)</f>
        <v>0</v>
      </c>
      <c r="N74" s="25">
        <f t="shared" si="81"/>
        <v>0</v>
      </c>
      <c r="O74" s="25">
        <f t="shared" si="81"/>
        <v>0</v>
      </c>
      <c r="P74" s="25">
        <f t="shared" si="81"/>
        <v>0</v>
      </c>
      <c r="Q74" s="25">
        <f t="shared" si="81"/>
        <v>4</v>
      </c>
      <c r="R74" s="25">
        <f t="shared" si="81"/>
        <v>24102.259999999995</v>
      </c>
      <c r="S74" s="25">
        <f t="shared" si="81"/>
        <v>0</v>
      </c>
      <c r="T74" s="25">
        <f t="shared" si="81"/>
        <v>0</v>
      </c>
      <c r="U74" s="25">
        <f t="shared" si="81"/>
        <v>0</v>
      </c>
      <c r="V74" s="25">
        <f t="shared" ref="V74:AN74" si="82">SUM(V75:V85)</f>
        <v>0</v>
      </c>
      <c r="W74" s="25">
        <f t="shared" si="82"/>
        <v>0</v>
      </c>
      <c r="X74" s="25">
        <f t="shared" si="82"/>
        <v>0</v>
      </c>
      <c r="Y74" s="25">
        <f t="shared" si="82"/>
        <v>0</v>
      </c>
      <c r="Z74" s="25">
        <f t="shared" si="82"/>
        <v>0</v>
      </c>
      <c r="AA74" s="25">
        <f t="shared" si="82"/>
        <v>0</v>
      </c>
      <c r="AB74" s="25">
        <f t="shared" si="82"/>
        <v>0</v>
      </c>
      <c r="AC74" s="25">
        <f t="shared" si="82"/>
        <v>0</v>
      </c>
      <c r="AD74" s="25">
        <f t="shared" si="82"/>
        <v>0</v>
      </c>
      <c r="AE74" s="25">
        <f t="shared" si="82"/>
        <v>0</v>
      </c>
      <c r="AF74" s="25">
        <f t="shared" si="82"/>
        <v>0</v>
      </c>
      <c r="AG74" s="25">
        <f t="shared" si="82"/>
        <v>0</v>
      </c>
      <c r="AH74" s="25" t="e">
        <f t="shared" si="82"/>
        <v>#DIV/0!</v>
      </c>
      <c r="AI74" s="25">
        <f t="shared" si="82"/>
        <v>0</v>
      </c>
      <c r="AJ74" s="25">
        <f t="shared" si="82"/>
        <v>0</v>
      </c>
      <c r="AK74" s="25">
        <v>0</v>
      </c>
      <c r="AL74" s="25">
        <v>0</v>
      </c>
      <c r="AM74" s="25">
        <f t="shared" ref="AM74" si="83">SUM(AM75:AM85)</f>
        <v>0</v>
      </c>
      <c r="AN74" s="25">
        <f t="shared" si="82"/>
        <v>0</v>
      </c>
    </row>
    <row r="75" spans="1:40" x14ac:dyDescent="0.25">
      <c r="A75" s="31"/>
      <c r="B75" s="26">
        <v>44</v>
      </c>
      <c r="C75" s="14" t="s">
        <v>112</v>
      </c>
      <c r="D75" s="15">
        <f t="shared" si="14"/>
        <v>10127</v>
      </c>
      <c r="E75" s="15">
        <v>10127</v>
      </c>
      <c r="F75" s="16">
        <v>3.64</v>
      </c>
      <c r="G75" s="22">
        <v>1</v>
      </c>
      <c r="H75" s="15">
        <v>1.4</v>
      </c>
      <c r="I75" s="15">
        <v>1.68</v>
      </c>
      <c r="J75" s="15">
        <v>2.23</v>
      </c>
      <c r="K75" s="15">
        <v>2.39</v>
      </c>
      <c r="L75" s="17">
        <v>2.57</v>
      </c>
      <c r="M75" s="18">
        <v>0</v>
      </c>
      <c r="N75" s="19">
        <f t="shared" ref="N75:N85" si="84">(M75/12*1*$D75*$F75*$G75*$I75*N$11)+(M75/12*11*$E75*$F75*$G75*$I75*N$12)</f>
        <v>0</v>
      </c>
      <c r="O75" s="18"/>
      <c r="P75" s="19">
        <f t="shared" si="7"/>
        <v>0</v>
      </c>
      <c r="Q75" s="18"/>
      <c r="R75" s="19">
        <f t="shared" si="8"/>
        <v>0</v>
      </c>
      <c r="S75" s="18"/>
      <c r="T75" s="19">
        <f t="shared" si="9"/>
        <v>0</v>
      </c>
      <c r="U75" s="18">
        <v>0</v>
      </c>
      <c r="V75" s="19">
        <f t="shared" si="35"/>
        <v>0</v>
      </c>
      <c r="W75" s="18">
        <v>0</v>
      </c>
      <c r="X75" s="19">
        <f t="shared" si="41"/>
        <v>0</v>
      </c>
      <c r="Y75" s="18"/>
      <c r="Z75" s="19">
        <f t="shared" si="12"/>
        <v>0</v>
      </c>
      <c r="AA75" s="18">
        <v>0</v>
      </c>
      <c r="AB75" s="19">
        <f t="shared" ref="AB75:AB85" si="85">(AA75/12*1*$D75*$F75*$G75*$I75*AB$11)+(AA75/12*11*$E75*$F75*$G75*$I75*AB$12)</f>
        <v>0</v>
      </c>
      <c r="AC75" s="18">
        <v>0</v>
      </c>
      <c r="AD75" s="19">
        <f t="shared" ref="AD75:AD85" si="86">(AC75/12*1*$D75*$F75*$G75*$H75*AD$11)+(AC75/12*11*$E75*$F75*$G75*$H75*AD$12)</f>
        <v>0</v>
      </c>
      <c r="AE75" s="18"/>
      <c r="AF75" s="19">
        <f t="shared" ref="AF75:AF85" si="87">(AE75/12*1*$D75*$F75*$G75*$H75*AF$11)+(AE75/12*11*$E75*$F75*$G75*$H75*AF$12)</f>
        <v>0</v>
      </c>
      <c r="AG75" s="19">
        <f t="shared" si="15"/>
        <v>0</v>
      </c>
      <c r="AH75" s="20" t="e">
        <f t="shared" si="16"/>
        <v>#DIV/0!</v>
      </c>
      <c r="AI75" s="19"/>
      <c r="AJ75" s="19"/>
      <c r="AK75" s="18"/>
      <c r="AL75" s="19">
        <v>0</v>
      </c>
      <c r="AM75" s="18">
        <v>0</v>
      </c>
      <c r="AN75" s="19">
        <f t="shared" ref="AN75:AN85" si="88">(AM75/12*1*$D75*$F75*$G75*$I75*AN$11)+(AM75/12*11*$E75*$F75*$G75*$I75*AN$12)</f>
        <v>0</v>
      </c>
    </row>
    <row r="76" spans="1:40" x14ac:dyDescent="0.25">
      <c r="A76" s="31"/>
      <c r="B76" s="26">
        <v>45</v>
      </c>
      <c r="C76" s="14" t="s">
        <v>113</v>
      </c>
      <c r="D76" s="15">
        <f t="shared" si="14"/>
        <v>10127</v>
      </c>
      <c r="E76" s="15">
        <v>10127</v>
      </c>
      <c r="F76" s="16">
        <v>4.0199999999999996</v>
      </c>
      <c r="G76" s="22">
        <v>1</v>
      </c>
      <c r="H76" s="15">
        <v>1.4</v>
      </c>
      <c r="I76" s="15">
        <v>1.68</v>
      </c>
      <c r="J76" s="15">
        <v>2.23</v>
      </c>
      <c r="K76" s="15">
        <v>2.39</v>
      </c>
      <c r="L76" s="17">
        <v>2.57</v>
      </c>
      <c r="M76" s="18">
        <v>0</v>
      </c>
      <c r="N76" s="19">
        <f t="shared" si="84"/>
        <v>0</v>
      </c>
      <c r="O76" s="18"/>
      <c r="P76" s="19">
        <f t="shared" si="7"/>
        <v>0</v>
      </c>
      <c r="Q76" s="18"/>
      <c r="R76" s="19">
        <f t="shared" si="8"/>
        <v>0</v>
      </c>
      <c r="S76" s="18"/>
      <c r="T76" s="19">
        <f t="shared" si="9"/>
        <v>0</v>
      </c>
      <c r="U76" s="18">
        <v>0</v>
      </c>
      <c r="V76" s="19">
        <f t="shared" si="35"/>
        <v>0</v>
      </c>
      <c r="W76" s="18">
        <v>0</v>
      </c>
      <c r="X76" s="19">
        <f t="shared" si="41"/>
        <v>0</v>
      </c>
      <c r="Y76" s="18"/>
      <c r="Z76" s="19">
        <f t="shared" si="12"/>
        <v>0</v>
      </c>
      <c r="AA76" s="18">
        <v>0</v>
      </c>
      <c r="AB76" s="19">
        <f t="shared" si="85"/>
        <v>0</v>
      </c>
      <c r="AC76" s="18">
        <v>0</v>
      </c>
      <c r="AD76" s="19">
        <f t="shared" si="86"/>
        <v>0</v>
      </c>
      <c r="AE76" s="18"/>
      <c r="AF76" s="19">
        <f t="shared" si="87"/>
        <v>0</v>
      </c>
      <c r="AG76" s="19">
        <f t="shared" si="15"/>
        <v>0</v>
      </c>
      <c r="AH76" s="20" t="e">
        <f t="shared" si="16"/>
        <v>#DIV/0!</v>
      </c>
      <c r="AI76" s="19"/>
      <c r="AJ76" s="19"/>
      <c r="AK76" s="18"/>
      <c r="AL76" s="19">
        <v>0</v>
      </c>
      <c r="AM76" s="18">
        <v>0</v>
      </c>
      <c r="AN76" s="19">
        <f t="shared" si="88"/>
        <v>0</v>
      </c>
    </row>
    <row r="77" spans="1:40" x14ac:dyDescent="0.25">
      <c r="A77" s="31"/>
      <c r="B77" s="26">
        <v>46</v>
      </c>
      <c r="C77" s="14" t="s">
        <v>114</v>
      </c>
      <c r="D77" s="15">
        <f t="shared" si="14"/>
        <v>10127</v>
      </c>
      <c r="E77" s="15">
        <v>10127</v>
      </c>
      <c r="F77" s="16">
        <v>6.42</v>
      </c>
      <c r="G77" s="22">
        <v>1</v>
      </c>
      <c r="H77" s="15">
        <v>1.4</v>
      </c>
      <c r="I77" s="15">
        <v>1.68</v>
      </c>
      <c r="J77" s="15">
        <v>2.23</v>
      </c>
      <c r="K77" s="15">
        <v>2.39</v>
      </c>
      <c r="L77" s="17">
        <v>2.57</v>
      </c>
      <c r="M77" s="18">
        <v>0</v>
      </c>
      <c r="N77" s="19">
        <f t="shared" si="84"/>
        <v>0</v>
      </c>
      <c r="O77" s="18"/>
      <c r="P77" s="19">
        <f t="shared" si="7"/>
        <v>0</v>
      </c>
      <c r="Q77" s="18"/>
      <c r="R77" s="19">
        <f t="shared" si="8"/>
        <v>0</v>
      </c>
      <c r="S77" s="18"/>
      <c r="T77" s="19">
        <f t="shared" si="9"/>
        <v>0</v>
      </c>
      <c r="U77" s="18">
        <v>0</v>
      </c>
      <c r="V77" s="19">
        <f t="shared" si="35"/>
        <v>0</v>
      </c>
      <c r="W77" s="18">
        <v>0</v>
      </c>
      <c r="X77" s="19">
        <f t="shared" si="41"/>
        <v>0</v>
      </c>
      <c r="Y77" s="18"/>
      <c r="Z77" s="19">
        <f t="shared" si="12"/>
        <v>0</v>
      </c>
      <c r="AA77" s="18">
        <v>0</v>
      </c>
      <c r="AB77" s="19">
        <f t="shared" si="85"/>
        <v>0</v>
      </c>
      <c r="AC77" s="18">
        <v>0</v>
      </c>
      <c r="AD77" s="19">
        <f t="shared" si="86"/>
        <v>0</v>
      </c>
      <c r="AE77" s="18"/>
      <c r="AF77" s="19">
        <f t="shared" si="87"/>
        <v>0</v>
      </c>
      <c r="AG77" s="19">
        <f t="shared" si="15"/>
        <v>0</v>
      </c>
      <c r="AH77" s="20" t="e">
        <f t="shared" si="16"/>
        <v>#DIV/0!</v>
      </c>
      <c r="AI77" s="19"/>
      <c r="AJ77" s="19"/>
      <c r="AK77" s="18"/>
      <c r="AL77" s="19">
        <v>0</v>
      </c>
      <c r="AM77" s="18">
        <v>0</v>
      </c>
      <c r="AN77" s="19">
        <f t="shared" si="88"/>
        <v>0</v>
      </c>
    </row>
    <row r="78" spans="1:40" ht="30" x14ac:dyDescent="0.25">
      <c r="A78" s="31"/>
      <c r="B78" s="26">
        <v>47</v>
      </c>
      <c r="C78" s="23" t="s">
        <v>115</v>
      </c>
      <c r="D78" s="15">
        <f t="shared" si="14"/>
        <v>10127</v>
      </c>
      <c r="E78" s="15">
        <v>10127</v>
      </c>
      <c r="F78" s="16">
        <v>2.35</v>
      </c>
      <c r="G78" s="22">
        <v>1</v>
      </c>
      <c r="H78" s="15">
        <v>1.4</v>
      </c>
      <c r="I78" s="15">
        <v>1.68</v>
      </c>
      <c r="J78" s="15">
        <v>2.23</v>
      </c>
      <c r="K78" s="15">
        <v>2.39</v>
      </c>
      <c r="L78" s="17">
        <v>2.57</v>
      </c>
      <c r="M78" s="18"/>
      <c r="N78" s="19">
        <f t="shared" si="84"/>
        <v>0</v>
      </c>
      <c r="O78" s="18"/>
      <c r="P78" s="19">
        <f t="shared" si="7"/>
        <v>0</v>
      </c>
      <c r="Q78" s="18"/>
      <c r="R78" s="19">
        <f t="shared" si="8"/>
        <v>0</v>
      </c>
      <c r="S78" s="18"/>
      <c r="T78" s="19">
        <f t="shared" si="9"/>
        <v>0</v>
      </c>
      <c r="U78" s="18"/>
      <c r="V78" s="19">
        <f t="shared" si="35"/>
        <v>0</v>
      </c>
      <c r="W78" s="18"/>
      <c r="X78" s="19">
        <f t="shared" si="41"/>
        <v>0</v>
      </c>
      <c r="Y78" s="18"/>
      <c r="Z78" s="19">
        <f t="shared" si="12"/>
        <v>0</v>
      </c>
      <c r="AA78" s="18"/>
      <c r="AB78" s="19">
        <f t="shared" si="85"/>
        <v>0</v>
      </c>
      <c r="AC78" s="18"/>
      <c r="AD78" s="19">
        <f t="shared" si="86"/>
        <v>0</v>
      </c>
      <c r="AE78" s="18"/>
      <c r="AF78" s="19">
        <f t="shared" si="87"/>
        <v>0</v>
      </c>
      <c r="AG78" s="19">
        <f t="shared" si="15"/>
        <v>0</v>
      </c>
      <c r="AH78" s="20" t="e">
        <f t="shared" si="16"/>
        <v>#DIV/0!</v>
      </c>
      <c r="AI78" s="19">
        <v>0</v>
      </c>
      <c r="AJ78" s="19">
        <v>0</v>
      </c>
      <c r="AK78" s="18"/>
      <c r="AL78" s="19">
        <v>0</v>
      </c>
      <c r="AM78" s="18"/>
      <c r="AN78" s="19">
        <f t="shared" si="88"/>
        <v>0</v>
      </c>
    </row>
    <row r="79" spans="1:40" ht="30" x14ac:dyDescent="0.25">
      <c r="A79" s="31"/>
      <c r="B79" s="26">
        <v>48</v>
      </c>
      <c r="C79" s="23" t="s">
        <v>116</v>
      </c>
      <c r="D79" s="15">
        <f t="shared" si="14"/>
        <v>10127</v>
      </c>
      <c r="E79" s="15">
        <v>10127</v>
      </c>
      <c r="F79" s="16">
        <v>2.48</v>
      </c>
      <c r="G79" s="22">
        <v>1</v>
      </c>
      <c r="H79" s="15">
        <v>1.4</v>
      </c>
      <c r="I79" s="15">
        <v>1.68</v>
      </c>
      <c r="J79" s="15">
        <v>2.23</v>
      </c>
      <c r="K79" s="15">
        <v>2.39</v>
      </c>
      <c r="L79" s="17">
        <v>2.57</v>
      </c>
      <c r="M79" s="18"/>
      <c r="N79" s="19">
        <f t="shared" si="84"/>
        <v>0</v>
      </c>
      <c r="O79" s="18"/>
      <c r="P79" s="19">
        <f t="shared" si="7"/>
        <v>0</v>
      </c>
      <c r="Q79" s="18"/>
      <c r="R79" s="19">
        <f t="shared" si="8"/>
        <v>0</v>
      </c>
      <c r="S79" s="18"/>
      <c r="T79" s="19">
        <f t="shared" si="9"/>
        <v>0</v>
      </c>
      <c r="U79" s="18"/>
      <c r="V79" s="19">
        <f t="shared" si="35"/>
        <v>0</v>
      </c>
      <c r="W79" s="18"/>
      <c r="X79" s="19">
        <f t="shared" si="41"/>
        <v>0</v>
      </c>
      <c r="Y79" s="18"/>
      <c r="Z79" s="19">
        <f t="shared" si="12"/>
        <v>0</v>
      </c>
      <c r="AA79" s="18"/>
      <c r="AB79" s="19">
        <f t="shared" si="85"/>
        <v>0</v>
      </c>
      <c r="AC79" s="18"/>
      <c r="AD79" s="19">
        <f t="shared" si="86"/>
        <v>0</v>
      </c>
      <c r="AE79" s="18"/>
      <c r="AF79" s="19">
        <f t="shared" si="87"/>
        <v>0</v>
      </c>
      <c r="AG79" s="19">
        <f t="shared" si="15"/>
        <v>0</v>
      </c>
      <c r="AH79" s="20" t="e">
        <f t="shared" si="16"/>
        <v>#DIV/0!</v>
      </c>
      <c r="AI79" s="19">
        <v>0</v>
      </c>
      <c r="AJ79" s="19">
        <v>0</v>
      </c>
      <c r="AK79" s="18"/>
      <c r="AL79" s="19">
        <v>0</v>
      </c>
      <c r="AM79" s="18"/>
      <c r="AN79" s="19">
        <f t="shared" si="88"/>
        <v>0</v>
      </c>
    </row>
    <row r="80" spans="1:40" ht="45" x14ac:dyDescent="0.25">
      <c r="A80" s="31"/>
      <c r="B80" s="26">
        <v>49</v>
      </c>
      <c r="C80" s="23" t="s">
        <v>117</v>
      </c>
      <c r="D80" s="15">
        <f t="shared" si="14"/>
        <v>10127</v>
      </c>
      <c r="E80" s="15">
        <v>10127</v>
      </c>
      <c r="F80" s="16">
        <v>0.5</v>
      </c>
      <c r="G80" s="22">
        <v>1</v>
      </c>
      <c r="H80" s="15">
        <v>1.4</v>
      </c>
      <c r="I80" s="15">
        <v>1.68</v>
      </c>
      <c r="J80" s="15">
        <v>2.23</v>
      </c>
      <c r="K80" s="15">
        <v>2.39</v>
      </c>
      <c r="L80" s="17">
        <v>2.57</v>
      </c>
      <c r="M80" s="18"/>
      <c r="N80" s="19">
        <f t="shared" si="84"/>
        <v>0</v>
      </c>
      <c r="O80" s="18"/>
      <c r="P80" s="19">
        <f t="shared" si="7"/>
        <v>0</v>
      </c>
      <c r="Q80" s="18">
        <v>4</v>
      </c>
      <c r="R80" s="19">
        <f t="shared" si="8"/>
        <v>24102.259999999995</v>
      </c>
      <c r="S80" s="18"/>
      <c r="T80" s="19">
        <f t="shared" si="9"/>
        <v>0</v>
      </c>
      <c r="U80" s="18"/>
      <c r="V80" s="19">
        <f t="shared" si="35"/>
        <v>0</v>
      </c>
      <c r="W80" s="18"/>
      <c r="X80" s="19">
        <f t="shared" si="41"/>
        <v>0</v>
      </c>
      <c r="Y80" s="18"/>
      <c r="Z80" s="19">
        <f t="shared" si="12"/>
        <v>0</v>
      </c>
      <c r="AA80" s="18"/>
      <c r="AB80" s="19">
        <f t="shared" si="85"/>
        <v>0</v>
      </c>
      <c r="AC80" s="18"/>
      <c r="AD80" s="19">
        <f t="shared" si="86"/>
        <v>0</v>
      </c>
      <c r="AE80" s="25"/>
      <c r="AF80" s="19">
        <f t="shared" si="87"/>
        <v>0</v>
      </c>
      <c r="AG80" s="19">
        <f t="shared" si="15"/>
        <v>0</v>
      </c>
      <c r="AH80" s="20" t="e">
        <f t="shared" si="16"/>
        <v>#DIV/0!</v>
      </c>
      <c r="AI80" s="19">
        <v>0</v>
      </c>
      <c r="AJ80" s="19">
        <v>0</v>
      </c>
      <c r="AK80" s="18"/>
      <c r="AL80" s="19">
        <v>0</v>
      </c>
      <c r="AM80" s="18"/>
      <c r="AN80" s="19">
        <f t="shared" si="88"/>
        <v>0</v>
      </c>
    </row>
    <row r="81" spans="1:40" ht="30" x14ac:dyDescent="0.25">
      <c r="A81" s="31"/>
      <c r="B81" s="26">
        <v>50</v>
      </c>
      <c r="C81" s="14" t="s">
        <v>118</v>
      </c>
      <c r="D81" s="15">
        <f t="shared" si="14"/>
        <v>10127</v>
      </c>
      <c r="E81" s="15">
        <v>10127</v>
      </c>
      <c r="F81" s="16">
        <v>7.77</v>
      </c>
      <c r="G81" s="22">
        <v>1</v>
      </c>
      <c r="H81" s="15">
        <v>1.4</v>
      </c>
      <c r="I81" s="15">
        <v>1.68</v>
      </c>
      <c r="J81" s="15">
        <v>2.23</v>
      </c>
      <c r="K81" s="15">
        <v>2.39</v>
      </c>
      <c r="L81" s="17">
        <v>2.57</v>
      </c>
      <c r="M81" s="18">
        <v>0</v>
      </c>
      <c r="N81" s="19">
        <f t="shared" si="84"/>
        <v>0</v>
      </c>
      <c r="O81" s="18"/>
      <c r="P81" s="19">
        <f t="shared" ref="P81:P146" si="89">(O81/12*1*$D81*$F81*$G81*$H81*P$11)+(O81/12*4*$E81*$F81*$G81*$H81*P$12)+(O81/12*7*$E81*$F81*$G81*$H81*P$13)</f>
        <v>0</v>
      </c>
      <c r="Q81" s="18"/>
      <c r="R81" s="19">
        <f t="shared" ref="R81:R146" si="90">(Q81/12*1*$D81*$F81*$G81*$H81*R$11)+(Q81/12*4*$E81*$F81*$G81*$H81*R$12)+(Q81/12*7*$E81*$F81*$G81*$H81*R$13)</f>
        <v>0</v>
      </c>
      <c r="S81" s="18"/>
      <c r="T81" s="19">
        <f t="shared" ref="T81:T146" si="91">(S81/12*1*$D81*$F81*$G81*$H81*T$11)+(S81/12*4*$E81*$F81*$G81*$H81*T$12)+(S81/12*7*$E81*$F81*$G81*$H81*T$13)</f>
        <v>0</v>
      </c>
      <c r="U81" s="18">
        <v>0</v>
      </c>
      <c r="V81" s="19">
        <f t="shared" si="35"/>
        <v>0</v>
      </c>
      <c r="W81" s="18">
        <v>0</v>
      </c>
      <c r="X81" s="19">
        <f t="shared" si="41"/>
        <v>0</v>
      </c>
      <c r="Y81" s="18"/>
      <c r="Z81" s="19">
        <f t="shared" ref="Z81:Z85" si="92">(Y81/12*1*$D81*$F81*$G81*$H81*Z$11)+(Y81/12*4*$E81*$F81*$G81*$H81*Z$12)+(Y81/12*7*$E81*$F81*$G81*$H81*Z$13)</f>
        <v>0</v>
      </c>
      <c r="AA81" s="18">
        <v>0</v>
      </c>
      <c r="AB81" s="19">
        <f t="shared" si="85"/>
        <v>0</v>
      </c>
      <c r="AC81" s="18">
        <v>0</v>
      </c>
      <c r="AD81" s="19">
        <f t="shared" si="86"/>
        <v>0</v>
      </c>
      <c r="AE81" s="18"/>
      <c r="AF81" s="19">
        <f t="shared" si="87"/>
        <v>0</v>
      </c>
      <c r="AG81" s="19">
        <f t="shared" si="15"/>
        <v>0</v>
      </c>
      <c r="AH81" s="20" t="e">
        <f t="shared" si="16"/>
        <v>#DIV/0!</v>
      </c>
      <c r="AI81" s="19">
        <v>0</v>
      </c>
      <c r="AJ81" s="19">
        <v>0</v>
      </c>
      <c r="AK81" s="18"/>
      <c r="AL81" s="19">
        <v>0</v>
      </c>
      <c r="AM81" s="18">
        <v>0</v>
      </c>
      <c r="AN81" s="19">
        <f t="shared" si="88"/>
        <v>0</v>
      </c>
    </row>
    <row r="82" spans="1:40" ht="45" x14ac:dyDescent="0.25">
      <c r="A82" s="31"/>
      <c r="B82" s="26">
        <v>51</v>
      </c>
      <c r="C82" s="14" t="s">
        <v>119</v>
      </c>
      <c r="D82" s="15">
        <f t="shared" ref="D82:D145" si="93">D81</f>
        <v>10127</v>
      </c>
      <c r="E82" s="15">
        <v>10127</v>
      </c>
      <c r="F82" s="16">
        <v>6.3</v>
      </c>
      <c r="G82" s="22">
        <v>1</v>
      </c>
      <c r="H82" s="15">
        <v>1.4</v>
      </c>
      <c r="I82" s="15">
        <v>1.68</v>
      </c>
      <c r="J82" s="15">
        <v>2.23</v>
      </c>
      <c r="K82" s="15">
        <v>2.39</v>
      </c>
      <c r="L82" s="17">
        <v>2.57</v>
      </c>
      <c r="M82" s="18">
        <v>0</v>
      </c>
      <c r="N82" s="19">
        <f t="shared" si="84"/>
        <v>0</v>
      </c>
      <c r="O82" s="18"/>
      <c r="P82" s="19">
        <f t="shared" si="89"/>
        <v>0</v>
      </c>
      <c r="Q82" s="18"/>
      <c r="R82" s="19">
        <f t="shared" si="90"/>
        <v>0</v>
      </c>
      <c r="S82" s="18"/>
      <c r="T82" s="19">
        <f t="shared" si="91"/>
        <v>0</v>
      </c>
      <c r="U82" s="18">
        <v>0</v>
      </c>
      <c r="V82" s="19">
        <f t="shared" si="35"/>
        <v>0</v>
      </c>
      <c r="W82" s="18">
        <v>0</v>
      </c>
      <c r="X82" s="19">
        <f t="shared" si="41"/>
        <v>0</v>
      </c>
      <c r="Y82" s="18"/>
      <c r="Z82" s="19">
        <f t="shared" si="92"/>
        <v>0</v>
      </c>
      <c r="AA82" s="18">
        <v>0</v>
      </c>
      <c r="AB82" s="19">
        <f t="shared" si="85"/>
        <v>0</v>
      </c>
      <c r="AC82" s="18">
        <v>0</v>
      </c>
      <c r="AD82" s="19">
        <f t="shared" si="86"/>
        <v>0</v>
      </c>
      <c r="AE82" s="18"/>
      <c r="AF82" s="19">
        <f t="shared" si="87"/>
        <v>0</v>
      </c>
      <c r="AG82" s="19">
        <f t="shared" ref="AG82:AG144" si="94">AI82/4*12</f>
        <v>0</v>
      </c>
      <c r="AH82" s="20" t="e">
        <f t="shared" ref="AH82:AH144" si="95">AG82/AE82*100</f>
        <v>#DIV/0!</v>
      </c>
      <c r="AI82" s="19">
        <v>0</v>
      </c>
      <c r="AJ82" s="19">
        <v>0</v>
      </c>
      <c r="AK82" s="18"/>
      <c r="AL82" s="19">
        <v>0</v>
      </c>
      <c r="AM82" s="18">
        <v>0</v>
      </c>
      <c r="AN82" s="19">
        <f t="shared" si="88"/>
        <v>0</v>
      </c>
    </row>
    <row r="83" spans="1:40" ht="60" x14ac:dyDescent="0.25">
      <c r="A83" s="31"/>
      <c r="B83" s="26">
        <v>52</v>
      </c>
      <c r="C83" s="23" t="s">
        <v>120</v>
      </c>
      <c r="D83" s="15">
        <f t="shared" si="93"/>
        <v>10127</v>
      </c>
      <c r="E83" s="15">
        <v>10127</v>
      </c>
      <c r="F83" s="16">
        <v>3.73</v>
      </c>
      <c r="G83" s="22">
        <v>1</v>
      </c>
      <c r="H83" s="15">
        <v>1.4</v>
      </c>
      <c r="I83" s="15">
        <v>1.68</v>
      </c>
      <c r="J83" s="15">
        <v>2.23</v>
      </c>
      <c r="K83" s="15">
        <v>2.39</v>
      </c>
      <c r="L83" s="17">
        <v>2.57</v>
      </c>
      <c r="M83" s="18">
        <v>0</v>
      </c>
      <c r="N83" s="19">
        <f t="shared" si="84"/>
        <v>0</v>
      </c>
      <c r="O83" s="18"/>
      <c r="P83" s="19">
        <f t="shared" si="89"/>
        <v>0</v>
      </c>
      <c r="Q83" s="18"/>
      <c r="R83" s="19">
        <f t="shared" si="90"/>
        <v>0</v>
      </c>
      <c r="S83" s="18"/>
      <c r="T83" s="19">
        <f t="shared" si="91"/>
        <v>0</v>
      </c>
      <c r="U83" s="18">
        <v>0</v>
      </c>
      <c r="V83" s="19">
        <f t="shared" si="35"/>
        <v>0</v>
      </c>
      <c r="W83" s="18">
        <v>0</v>
      </c>
      <c r="X83" s="19">
        <f t="shared" si="41"/>
        <v>0</v>
      </c>
      <c r="Y83" s="18"/>
      <c r="Z83" s="19">
        <f t="shared" si="92"/>
        <v>0</v>
      </c>
      <c r="AA83" s="18">
        <v>0</v>
      </c>
      <c r="AB83" s="19">
        <f t="shared" si="85"/>
        <v>0</v>
      </c>
      <c r="AC83" s="18">
        <v>0</v>
      </c>
      <c r="AD83" s="19">
        <f t="shared" si="86"/>
        <v>0</v>
      </c>
      <c r="AE83" s="18"/>
      <c r="AF83" s="19">
        <f t="shared" si="87"/>
        <v>0</v>
      </c>
      <c r="AG83" s="19">
        <f t="shared" si="94"/>
        <v>0</v>
      </c>
      <c r="AH83" s="20" t="e">
        <f t="shared" si="95"/>
        <v>#DIV/0!</v>
      </c>
      <c r="AI83" s="19">
        <v>0</v>
      </c>
      <c r="AJ83" s="19">
        <v>0</v>
      </c>
      <c r="AK83" s="18"/>
      <c r="AL83" s="19">
        <v>0</v>
      </c>
      <c r="AM83" s="18">
        <v>0</v>
      </c>
      <c r="AN83" s="19">
        <f t="shared" si="88"/>
        <v>0</v>
      </c>
    </row>
    <row r="84" spans="1:40" ht="60" x14ac:dyDescent="0.25">
      <c r="A84" s="31"/>
      <c r="B84" s="26">
        <v>53</v>
      </c>
      <c r="C84" s="23" t="s">
        <v>121</v>
      </c>
      <c r="D84" s="15">
        <f t="shared" si="93"/>
        <v>10127</v>
      </c>
      <c r="E84" s="15">
        <v>10127</v>
      </c>
      <c r="F84" s="16">
        <v>5.0999999999999996</v>
      </c>
      <c r="G84" s="22">
        <v>1</v>
      </c>
      <c r="H84" s="15">
        <v>1.4</v>
      </c>
      <c r="I84" s="15">
        <v>1.68</v>
      </c>
      <c r="J84" s="15">
        <v>2.23</v>
      </c>
      <c r="K84" s="15">
        <v>2.39</v>
      </c>
      <c r="L84" s="17">
        <v>2.57</v>
      </c>
      <c r="M84" s="18"/>
      <c r="N84" s="19">
        <f t="shared" si="84"/>
        <v>0</v>
      </c>
      <c r="O84" s="18"/>
      <c r="P84" s="19">
        <f t="shared" si="89"/>
        <v>0</v>
      </c>
      <c r="Q84" s="18"/>
      <c r="R84" s="19">
        <f t="shared" si="90"/>
        <v>0</v>
      </c>
      <c r="S84" s="18"/>
      <c r="T84" s="19">
        <f t="shared" si="91"/>
        <v>0</v>
      </c>
      <c r="U84" s="18"/>
      <c r="V84" s="19">
        <f t="shared" si="35"/>
        <v>0</v>
      </c>
      <c r="W84" s="18"/>
      <c r="X84" s="19">
        <f t="shared" si="41"/>
        <v>0</v>
      </c>
      <c r="Y84" s="18"/>
      <c r="Z84" s="19">
        <f t="shared" si="92"/>
        <v>0</v>
      </c>
      <c r="AA84" s="18"/>
      <c r="AB84" s="19">
        <f t="shared" si="85"/>
        <v>0</v>
      </c>
      <c r="AC84" s="18"/>
      <c r="AD84" s="19">
        <f t="shared" si="86"/>
        <v>0</v>
      </c>
      <c r="AE84" s="18"/>
      <c r="AF84" s="19">
        <f t="shared" si="87"/>
        <v>0</v>
      </c>
      <c r="AG84" s="19">
        <f t="shared" si="94"/>
        <v>0</v>
      </c>
      <c r="AH84" s="20" t="e">
        <f t="shared" si="95"/>
        <v>#DIV/0!</v>
      </c>
      <c r="AI84" s="19">
        <v>0</v>
      </c>
      <c r="AJ84" s="19">
        <v>0</v>
      </c>
      <c r="AK84" s="18"/>
      <c r="AL84" s="19">
        <v>0</v>
      </c>
      <c r="AM84" s="18"/>
      <c r="AN84" s="19">
        <f t="shared" si="88"/>
        <v>0</v>
      </c>
    </row>
    <row r="85" spans="1:40" ht="61.5" customHeight="1" x14ac:dyDescent="0.25">
      <c r="A85" s="31"/>
      <c r="B85" s="26">
        <v>54</v>
      </c>
      <c r="C85" s="14" t="s">
        <v>122</v>
      </c>
      <c r="D85" s="15">
        <f t="shared" si="93"/>
        <v>10127</v>
      </c>
      <c r="E85" s="15">
        <v>10127</v>
      </c>
      <c r="F85" s="16">
        <v>14.41</v>
      </c>
      <c r="G85" s="22">
        <v>1</v>
      </c>
      <c r="H85" s="15">
        <v>1.4</v>
      </c>
      <c r="I85" s="15">
        <v>1.68</v>
      </c>
      <c r="J85" s="15">
        <v>2.23</v>
      </c>
      <c r="K85" s="15">
        <v>2.39</v>
      </c>
      <c r="L85" s="17">
        <v>2.57</v>
      </c>
      <c r="M85" s="18"/>
      <c r="N85" s="19">
        <f t="shared" si="84"/>
        <v>0</v>
      </c>
      <c r="O85" s="18"/>
      <c r="P85" s="19">
        <f t="shared" si="89"/>
        <v>0</v>
      </c>
      <c r="Q85" s="18"/>
      <c r="R85" s="19">
        <f t="shared" si="90"/>
        <v>0</v>
      </c>
      <c r="S85" s="18"/>
      <c r="T85" s="19">
        <f t="shared" si="91"/>
        <v>0</v>
      </c>
      <c r="U85" s="18"/>
      <c r="V85" s="19">
        <f t="shared" si="35"/>
        <v>0</v>
      </c>
      <c r="W85" s="18"/>
      <c r="X85" s="19">
        <f t="shared" si="41"/>
        <v>0</v>
      </c>
      <c r="Y85" s="18"/>
      <c r="Z85" s="19">
        <f t="shared" si="92"/>
        <v>0</v>
      </c>
      <c r="AA85" s="18"/>
      <c r="AB85" s="19">
        <f t="shared" si="85"/>
        <v>0</v>
      </c>
      <c r="AC85" s="18"/>
      <c r="AD85" s="19">
        <f t="shared" si="86"/>
        <v>0</v>
      </c>
      <c r="AE85" s="18"/>
      <c r="AF85" s="19">
        <f t="shared" si="87"/>
        <v>0</v>
      </c>
      <c r="AG85" s="19">
        <f t="shared" si="94"/>
        <v>0</v>
      </c>
      <c r="AH85" s="20" t="e">
        <f t="shared" si="95"/>
        <v>#DIV/0!</v>
      </c>
      <c r="AI85" s="19">
        <v>0</v>
      </c>
      <c r="AJ85" s="19">
        <v>0</v>
      </c>
      <c r="AK85" s="18"/>
      <c r="AL85" s="19">
        <v>0</v>
      </c>
      <c r="AM85" s="18"/>
      <c r="AN85" s="19">
        <f t="shared" si="88"/>
        <v>0</v>
      </c>
    </row>
    <row r="86" spans="1:40" s="41" customFormat="1" x14ac:dyDescent="0.25">
      <c r="A86" s="31">
        <v>20</v>
      </c>
      <c r="B86" s="31"/>
      <c r="C86" s="32" t="s">
        <v>123</v>
      </c>
      <c r="D86" s="15">
        <f t="shared" si="93"/>
        <v>10127</v>
      </c>
      <c r="E86" s="15">
        <v>10127</v>
      </c>
      <c r="F86" s="36"/>
      <c r="G86" s="35"/>
      <c r="H86" s="33"/>
      <c r="I86" s="33"/>
      <c r="J86" s="33"/>
      <c r="K86" s="33"/>
      <c r="L86" s="17">
        <v>2.57</v>
      </c>
      <c r="M86" s="25">
        <f t="shared" ref="M86:U86" si="96">SUM(M87:M92)</f>
        <v>0</v>
      </c>
      <c r="N86" s="25">
        <f t="shared" si="96"/>
        <v>0</v>
      </c>
      <c r="O86" s="25">
        <f t="shared" si="96"/>
        <v>0</v>
      </c>
      <c r="P86" s="25">
        <f t="shared" si="96"/>
        <v>0</v>
      </c>
      <c r="Q86" s="25">
        <f t="shared" si="96"/>
        <v>251</v>
      </c>
      <c r="R86" s="25">
        <f t="shared" si="96"/>
        <v>3193067.4047999997</v>
      </c>
      <c r="S86" s="25">
        <f t="shared" si="96"/>
        <v>32</v>
      </c>
      <c r="T86" s="25">
        <f t="shared" si="96"/>
        <v>285370.75839999993</v>
      </c>
      <c r="U86" s="25">
        <f t="shared" si="96"/>
        <v>10</v>
      </c>
      <c r="V86" s="25">
        <f t="shared" ref="V86:AN86" si="97">SUM(V87:V92)</f>
        <v>129046.33560000002</v>
      </c>
      <c r="W86" s="25">
        <f t="shared" si="97"/>
        <v>6</v>
      </c>
      <c r="X86" s="25">
        <f t="shared" si="97"/>
        <v>79945.778640000004</v>
      </c>
      <c r="Y86" s="25">
        <f t="shared" si="97"/>
        <v>17</v>
      </c>
      <c r="Z86" s="25">
        <f t="shared" si="97"/>
        <v>157548.43953333329</v>
      </c>
      <c r="AA86" s="25">
        <f t="shared" si="97"/>
        <v>0</v>
      </c>
      <c r="AB86" s="25">
        <f t="shared" si="97"/>
        <v>0</v>
      </c>
      <c r="AC86" s="25">
        <f t="shared" si="97"/>
        <v>0</v>
      </c>
      <c r="AD86" s="25">
        <f t="shared" si="97"/>
        <v>0</v>
      </c>
      <c r="AE86" s="25">
        <f t="shared" si="97"/>
        <v>11</v>
      </c>
      <c r="AF86" s="25">
        <f t="shared" si="97"/>
        <v>254333.42752999996</v>
      </c>
      <c r="AG86" s="25">
        <f t="shared" si="97"/>
        <v>9</v>
      </c>
      <c r="AH86" s="25" t="e">
        <f t="shared" si="97"/>
        <v>#DIV/0!</v>
      </c>
      <c r="AI86" s="25">
        <f t="shared" si="97"/>
        <v>3</v>
      </c>
      <c r="AJ86" s="25">
        <f t="shared" si="97"/>
        <v>48972.07</v>
      </c>
      <c r="AK86" s="25">
        <v>0</v>
      </c>
      <c r="AL86" s="25">
        <v>0</v>
      </c>
      <c r="AM86" s="25">
        <f t="shared" ref="AM86" si="98">SUM(AM87:AM92)</f>
        <v>4</v>
      </c>
      <c r="AN86" s="25">
        <f t="shared" si="97"/>
        <v>74699.992639999982</v>
      </c>
    </row>
    <row r="87" spans="1:40" ht="29.25" customHeight="1" x14ac:dyDescent="0.25">
      <c r="A87" s="31"/>
      <c r="B87" s="26">
        <v>55</v>
      </c>
      <c r="C87" s="14" t="s">
        <v>124</v>
      </c>
      <c r="D87" s="15">
        <f t="shared" si="93"/>
        <v>10127</v>
      </c>
      <c r="E87" s="15">
        <v>10127</v>
      </c>
      <c r="F87" s="16">
        <v>0.74</v>
      </c>
      <c r="G87" s="22">
        <v>1</v>
      </c>
      <c r="H87" s="15">
        <v>1.4</v>
      </c>
      <c r="I87" s="15">
        <v>1.68</v>
      </c>
      <c r="J87" s="15">
        <v>2.23</v>
      </c>
      <c r="K87" s="15">
        <v>2.39</v>
      </c>
      <c r="L87" s="17">
        <v>2.57</v>
      </c>
      <c r="M87" s="18"/>
      <c r="N87" s="19">
        <f t="shared" ref="N87:N92" si="99">(M87/12*1*$D87*$F87*$G87*$I87*N$11)+(M87/12*11*$E87*$F87*$G87*$I87*N$12)</f>
        <v>0</v>
      </c>
      <c r="O87" s="18"/>
      <c r="P87" s="19">
        <f t="shared" si="89"/>
        <v>0</v>
      </c>
      <c r="Q87" s="18">
        <v>88</v>
      </c>
      <c r="R87" s="19">
        <f t="shared" si="90"/>
        <v>784769.58559999987</v>
      </c>
      <c r="S87" s="18">
        <v>32</v>
      </c>
      <c r="T87" s="19">
        <f t="shared" si="91"/>
        <v>285370.75839999993</v>
      </c>
      <c r="U87" s="18">
        <v>10</v>
      </c>
      <c r="V87" s="19">
        <f t="shared" si="35"/>
        <v>129046.33560000002</v>
      </c>
      <c r="W87" s="18">
        <v>6</v>
      </c>
      <c r="X87" s="19">
        <f t="shared" si="41"/>
        <v>79945.778640000004</v>
      </c>
      <c r="Y87" s="18">
        <v>17</v>
      </c>
      <c r="Z87" s="19">
        <f t="shared" ref="Z87:Z92" si="100">(Y87/12*1*$D87*$F87*$G87*$H87*Z$11)+(Y87/12*4*$E87*$F87*$G87*$H87*Z$12)+(Y87/12*7*$E87*$F87*$G87*$H87*Z$13)</f>
        <v>157548.43953333329</v>
      </c>
      <c r="AA87" s="18"/>
      <c r="AB87" s="19">
        <f t="shared" ref="AB87:AB92" si="101">(AA87/12*1*$D87*$F87*$G87*$I87*AB$11)+(AA87/12*11*$E87*$F87*$G87*$I87*AB$12)</f>
        <v>0</v>
      </c>
      <c r="AC87" s="18"/>
      <c r="AD87" s="19">
        <f t="shared" ref="AD87:AD92" si="102">(AC87/12*1*$D87*$F87*$G87*$H87*AD$11)+(AC87/12*11*$E87*$F87*$G87*$H87*AD$12)</f>
        <v>0</v>
      </c>
      <c r="AE87" s="18">
        <f>2+3-3</f>
        <v>2</v>
      </c>
      <c r="AF87" s="19">
        <f t="shared" ref="AF87:AF92" si="103">(AE87/12*1*$D87*$F87*$G87*$H87*AF$11)+(AE87/12*11*$E87*$F87*$G87*$H87*AF$12)</f>
        <v>22924.084819999996</v>
      </c>
      <c r="AG87" s="19">
        <f t="shared" si="94"/>
        <v>6</v>
      </c>
      <c r="AH87" s="20">
        <f t="shared" si="95"/>
        <v>300</v>
      </c>
      <c r="AI87" s="19">
        <v>2</v>
      </c>
      <c r="AJ87" s="19">
        <v>23082.38</v>
      </c>
      <c r="AK87" s="18"/>
      <c r="AL87" s="19">
        <v>0</v>
      </c>
      <c r="AM87" s="18">
        <v>4</v>
      </c>
      <c r="AN87" s="19">
        <f t="shared" ref="AN87:AN92" si="104">(AM87/12*1*$D87*$F87*$G87*$I87*AN$11)+(AM87/12*11*$E87*$F87*$G87*$I87*AN$12)</f>
        <v>74699.992639999982</v>
      </c>
    </row>
    <row r="88" spans="1:40" ht="45" x14ac:dyDescent="0.25">
      <c r="A88" s="31"/>
      <c r="B88" s="26">
        <v>56</v>
      </c>
      <c r="C88" s="14" t="s">
        <v>125</v>
      </c>
      <c r="D88" s="15">
        <f t="shared" si="93"/>
        <v>10127</v>
      </c>
      <c r="E88" s="15">
        <v>10127</v>
      </c>
      <c r="F88" s="16">
        <v>1.1200000000000001</v>
      </c>
      <c r="G88" s="22">
        <v>1</v>
      </c>
      <c r="H88" s="15">
        <v>1.4</v>
      </c>
      <c r="I88" s="15">
        <v>1.68</v>
      </c>
      <c r="J88" s="15">
        <v>2.23</v>
      </c>
      <c r="K88" s="15">
        <v>2.39</v>
      </c>
      <c r="L88" s="17">
        <v>2.57</v>
      </c>
      <c r="M88" s="18"/>
      <c r="N88" s="19">
        <f t="shared" si="99"/>
        <v>0</v>
      </c>
      <c r="O88" s="18"/>
      <c r="P88" s="19">
        <f t="shared" si="89"/>
        <v>0</v>
      </c>
      <c r="Q88" s="18">
        <v>131</v>
      </c>
      <c r="R88" s="19">
        <f t="shared" si="90"/>
        <v>1768141.7936</v>
      </c>
      <c r="S88" s="18"/>
      <c r="T88" s="19">
        <f t="shared" si="91"/>
        <v>0</v>
      </c>
      <c r="U88" s="18"/>
      <c r="V88" s="19">
        <f t="shared" si="35"/>
        <v>0</v>
      </c>
      <c r="W88" s="18"/>
      <c r="X88" s="19">
        <f t="shared" si="41"/>
        <v>0</v>
      </c>
      <c r="Y88" s="18"/>
      <c r="Z88" s="19">
        <f t="shared" si="100"/>
        <v>0</v>
      </c>
      <c r="AA88" s="18"/>
      <c r="AB88" s="19">
        <f t="shared" si="101"/>
        <v>0</v>
      </c>
      <c r="AC88" s="18"/>
      <c r="AD88" s="19">
        <f t="shared" si="102"/>
        <v>0</v>
      </c>
      <c r="AE88" s="18"/>
      <c r="AF88" s="19">
        <f t="shared" si="103"/>
        <v>0</v>
      </c>
      <c r="AG88" s="19">
        <f t="shared" si="94"/>
        <v>0</v>
      </c>
      <c r="AH88" s="20" t="e">
        <f t="shared" si="95"/>
        <v>#DIV/0!</v>
      </c>
      <c r="AI88" s="19">
        <v>0</v>
      </c>
      <c r="AJ88" s="19">
        <v>0</v>
      </c>
      <c r="AK88" s="18"/>
      <c r="AL88" s="19">
        <v>0</v>
      </c>
      <c r="AM88" s="18"/>
      <c r="AN88" s="19">
        <f t="shared" si="104"/>
        <v>0</v>
      </c>
    </row>
    <row r="89" spans="1:40" ht="45" x14ac:dyDescent="0.25">
      <c r="A89" s="31"/>
      <c r="B89" s="26">
        <v>57</v>
      </c>
      <c r="C89" s="14" t="s">
        <v>126</v>
      </c>
      <c r="D89" s="15">
        <f t="shared" si="93"/>
        <v>10127</v>
      </c>
      <c r="E89" s="15">
        <v>10127</v>
      </c>
      <c r="F89" s="16">
        <v>1.66</v>
      </c>
      <c r="G89" s="22">
        <v>1</v>
      </c>
      <c r="H89" s="15">
        <v>1.4</v>
      </c>
      <c r="I89" s="15">
        <v>1.68</v>
      </c>
      <c r="J89" s="15">
        <v>2.23</v>
      </c>
      <c r="K89" s="15">
        <v>2.39</v>
      </c>
      <c r="L89" s="17">
        <v>2.57</v>
      </c>
      <c r="M89" s="18"/>
      <c r="N89" s="19">
        <f t="shared" si="99"/>
        <v>0</v>
      </c>
      <c r="O89" s="18"/>
      <c r="P89" s="19">
        <f t="shared" si="89"/>
        <v>0</v>
      </c>
      <c r="Q89" s="18">
        <v>32</v>
      </c>
      <c r="R89" s="19">
        <f t="shared" si="90"/>
        <v>640156.02559999982</v>
      </c>
      <c r="S89" s="18"/>
      <c r="T89" s="19">
        <f t="shared" si="91"/>
        <v>0</v>
      </c>
      <c r="U89" s="18"/>
      <c r="V89" s="19">
        <f t="shared" si="35"/>
        <v>0</v>
      </c>
      <c r="W89" s="18"/>
      <c r="X89" s="19">
        <f t="shared" si="41"/>
        <v>0</v>
      </c>
      <c r="Y89" s="18"/>
      <c r="Z89" s="19">
        <f t="shared" si="100"/>
        <v>0</v>
      </c>
      <c r="AA89" s="18"/>
      <c r="AB89" s="19">
        <f t="shared" si="101"/>
        <v>0</v>
      </c>
      <c r="AC89" s="18"/>
      <c r="AD89" s="19">
        <f t="shared" si="102"/>
        <v>0</v>
      </c>
      <c r="AE89" s="18">
        <f>3+6</f>
        <v>9</v>
      </c>
      <c r="AF89" s="19">
        <f t="shared" si="103"/>
        <v>231409.34270999997</v>
      </c>
      <c r="AG89" s="19">
        <f t="shared" si="94"/>
        <v>3</v>
      </c>
      <c r="AH89" s="20">
        <f t="shared" si="95"/>
        <v>33.333333333333329</v>
      </c>
      <c r="AI89" s="19">
        <v>1</v>
      </c>
      <c r="AJ89" s="19">
        <v>25889.69</v>
      </c>
      <c r="AK89" s="18"/>
      <c r="AL89" s="19">
        <v>0</v>
      </c>
      <c r="AM89" s="18"/>
      <c r="AN89" s="19">
        <f t="shared" si="104"/>
        <v>0</v>
      </c>
    </row>
    <row r="90" spans="1:40" ht="45" x14ac:dyDescent="0.25">
      <c r="A90" s="31"/>
      <c r="B90" s="26">
        <v>58</v>
      </c>
      <c r="C90" s="14" t="s">
        <v>127</v>
      </c>
      <c r="D90" s="15">
        <f t="shared" si="93"/>
        <v>10127</v>
      </c>
      <c r="E90" s="15">
        <v>10127</v>
      </c>
      <c r="F90" s="16">
        <v>2</v>
      </c>
      <c r="G90" s="22">
        <v>1</v>
      </c>
      <c r="H90" s="15">
        <v>1.4</v>
      </c>
      <c r="I90" s="15">
        <v>1.68</v>
      </c>
      <c r="J90" s="15">
        <v>2.23</v>
      </c>
      <c r="K90" s="15">
        <v>2.39</v>
      </c>
      <c r="L90" s="17">
        <v>2.57</v>
      </c>
      <c r="M90" s="18"/>
      <c r="N90" s="19">
        <f t="shared" si="99"/>
        <v>0</v>
      </c>
      <c r="O90" s="18"/>
      <c r="P90" s="19">
        <f t="shared" si="89"/>
        <v>0</v>
      </c>
      <c r="Q90" s="18"/>
      <c r="R90" s="19">
        <f t="shared" si="90"/>
        <v>0</v>
      </c>
      <c r="S90" s="18"/>
      <c r="T90" s="19">
        <f t="shared" si="91"/>
        <v>0</v>
      </c>
      <c r="U90" s="18"/>
      <c r="V90" s="19">
        <f t="shared" si="35"/>
        <v>0</v>
      </c>
      <c r="W90" s="18"/>
      <c r="X90" s="19">
        <f t="shared" si="41"/>
        <v>0</v>
      </c>
      <c r="Y90" s="18"/>
      <c r="Z90" s="19">
        <f t="shared" si="100"/>
        <v>0</v>
      </c>
      <c r="AA90" s="18"/>
      <c r="AB90" s="19">
        <f t="shared" si="101"/>
        <v>0</v>
      </c>
      <c r="AC90" s="18"/>
      <c r="AD90" s="19">
        <f t="shared" si="102"/>
        <v>0</v>
      </c>
      <c r="AE90" s="18"/>
      <c r="AF90" s="19">
        <f t="shared" si="103"/>
        <v>0</v>
      </c>
      <c r="AG90" s="19">
        <f t="shared" si="94"/>
        <v>0</v>
      </c>
      <c r="AH90" s="20" t="e">
        <f t="shared" si="95"/>
        <v>#DIV/0!</v>
      </c>
      <c r="AI90" s="19"/>
      <c r="AJ90" s="19"/>
      <c r="AK90" s="18"/>
      <c r="AL90" s="19">
        <v>0</v>
      </c>
      <c r="AM90" s="18"/>
      <c r="AN90" s="19">
        <f t="shared" si="104"/>
        <v>0</v>
      </c>
    </row>
    <row r="91" spans="1:40" ht="45" x14ac:dyDescent="0.25">
      <c r="A91" s="31"/>
      <c r="B91" s="26">
        <v>59</v>
      </c>
      <c r="C91" s="14" t="s">
        <v>128</v>
      </c>
      <c r="D91" s="15">
        <f t="shared" si="93"/>
        <v>10127</v>
      </c>
      <c r="E91" s="15">
        <v>10127</v>
      </c>
      <c r="F91" s="16">
        <v>2.46</v>
      </c>
      <c r="G91" s="22">
        <v>1</v>
      </c>
      <c r="H91" s="15">
        <v>1.4</v>
      </c>
      <c r="I91" s="15">
        <v>1.68</v>
      </c>
      <c r="J91" s="15">
        <v>2.23</v>
      </c>
      <c r="K91" s="15">
        <v>2.39</v>
      </c>
      <c r="L91" s="17">
        <v>2.57</v>
      </c>
      <c r="M91" s="18"/>
      <c r="N91" s="19">
        <f t="shared" si="99"/>
        <v>0</v>
      </c>
      <c r="O91" s="18"/>
      <c r="P91" s="19">
        <f t="shared" si="89"/>
        <v>0</v>
      </c>
      <c r="Q91" s="18"/>
      <c r="R91" s="19">
        <f t="shared" si="90"/>
        <v>0</v>
      </c>
      <c r="S91" s="18"/>
      <c r="T91" s="19">
        <f t="shared" si="91"/>
        <v>0</v>
      </c>
      <c r="U91" s="18"/>
      <c r="V91" s="19">
        <f t="shared" si="35"/>
        <v>0</v>
      </c>
      <c r="W91" s="18"/>
      <c r="X91" s="19">
        <f t="shared" si="41"/>
        <v>0</v>
      </c>
      <c r="Y91" s="18"/>
      <c r="Z91" s="19">
        <f t="shared" si="100"/>
        <v>0</v>
      </c>
      <c r="AA91" s="18"/>
      <c r="AB91" s="19">
        <f t="shared" si="101"/>
        <v>0</v>
      </c>
      <c r="AC91" s="18"/>
      <c r="AD91" s="19">
        <f t="shared" si="102"/>
        <v>0</v>
      </c>
      <c r="AE91" s="18"/>
      <c r="AF91" s="19">
        <f t="shared" si="103"/>
        <v>0</v>
      </c>
      <c r="AG91" s="19">
        <f t="shared" si="94"/>
        <v>0</v>
      </c>
      <c r="AH91" s="20" t="e">
        <f t="shared" si="95"/>
        <v>#DIV/0!</v>
      </c>
      <c r="AI91" s="19"/>
      <c r="AJ91" s="19"/>
      <c r="AK91" s="18"/>
      <c r="AL91" s="19">
        <v>0</v>
      </c>
      <c r="AM91" s="18"/>
      <c r="AN91" s="19">
        <f t="shared" si="104"/>
        <v>0</v>
      </c>
    </row>
    <row r="92" spans="1:40" ht="30" x14ac:dyDescent="0.25">
      <c r="A92" s="31"/>
      <c r="B92" s="26">
        <v>60</v>
      </c>
      <c r="C92" s="14" t="s">
        <v>129</v>
      </c>
      <c r="D92" s="15">
        <f t="shared" si="93"/>
        <v>10127</v>
      </c>
      <c r="E92" s="15">
        <v>10127</v>
      </c>
      <c r="F92" s="16">
        <v>45.5</v>
      </c>
      <c r="G92" s="22">
        <v>1</v>
      </c>
      <c r="H92" s="15">
        <v>1.4</v>
      </c>
      <c r="I92" s="15">
        <v>1.68</v>
      </c>
      <c r="J92" s="15">
        <v>2.23</v>
      </c>
      <c r="K92" s="15">
        <v>2.39</v>
      </c>
      <c r="L92" s="17">
        <v>2.57</v>
      </c>
      <c r="M92" s="18"/>
      <c r="N92" s="19">
        <f t="shared" si="99"/>
        <v>0</v>
      </c>
      <c r="O92" s="18"/>
      <c r="P92" s="19">
        <f t="shared" si="89"/>
        <v>0</v>
      </c>
      <c r="Q92" s="18"/>
      <c r="R92" s="19">
        <f t="shared" si="90"/>
        <v>0</v>
      </c>
      <c r="S92" s="18"/>
      <c r="T92" s="19">
        <f t="shared" si="91"/>
        <v>0</v>
      </c>
      <c r="U92" s="18"/>
      <c r="V92" s="19">
        <f t="shared" si="35"/>
        <v>0</v>
      </c>
      <c r="W92" s="18"/>
      <c r="X92" s="19">
        <f t="shared" si="41"/>
        <v>0</v>
      </c>
      <c r="Y92" s="18"/>
      <c r="Z92" s="19">
        <f t="shared" si="100"/>
        <v>0</v>
      </c>
      <c r="AA92" s="18"/>
      <c r="AB92" s="19">
        <f t="shared" si="101"/>
        <v>0</v>
      </c>
      <c r="AC92" s="18"/>
      <c r="AD92" s="19">
        <f t="shared" si="102"/>
        <v>0</v>
      </c>
      <c r="AE92" s="18"/>
      <c r="AF92" s="19">
        <f t="shared" si="103"/>
        <v>0</v>
      </c>
      <c r="AG92" s="19">
        <f t="shared" si="94"/>
        <v>0</v>
      </c>
      <c r="AH92" s="20" t="e">
        <f t="shared" si="95"/>
        <v>#DIV/0!</v>
      </c>
      <c r="AI92" s="19"/>
      <c r="AJ92" s="19"/>
      <c r="AK92" s="18"/>
      <c r="AL92" s="19">
        <v>0</v>
      </c>
      <c r="AM92" s="18"/>
      <c r="AN92" s="19">
        <f t="shared" si="104"/>
        <v>0</v>
      </c>
    </row>
    <row r="93" spans="1:40" s="41" customFormat="1" x14ac:dyDescent="0.25">
      <c r="A93" s="31">
        <v>21</v>
      </c>
      <c r="B93" s="31"/>
      <c r="C93" s="32" t="s">
        <v>130</v>
      </c>
      <c r="D93" s="15">
        <f t="shared" si="93"/>
        <v>10127</v>
      </c>
      <c r="E93" s="15">
        <v>10127</v>
      </c>
      <c r="F93" s="33"/>
      <c r="G93" s="35"/>
      <c r="H93" s="33"/>
      <c r="I93" s="33"/>
      <c r="J93" s="33"/>
      <c r="K93" s="33"/>
      <c r="L93" s="17">
        <v>2.57</v>
      </c>
      <c r="M93" s="25">
        <f t="shared" ref="M93:U93" si="105">SUM(M94:M99)</f>
        <v>51</v>
      </c>
      <c r="N93" s="25">
        <f t="shared" si="105"/>
        <v>341779.68770399998</v>
      </c>
      <c r="O93" s="25">
        <f t="shared" si="105"/>
        <v>0</v>
      </c>
      <c r="P93" s="25">
        <f t="shared" si="105"/>
        <v>0</v>
      </c>
      <c r="Q93" s="25">
        <f t="shared" si="105"/>
        <v>18</v>
      </c>
      <c r="R93" s="25">
        <f t="shared" si="105"/>
        <v>84598.9326</v>
      </c>
      <c r="S93" s="25">
        <f t="shared" si="105"/>
        <v>70</v>
      </c>
      <c r="T93" s="25">
        <f t="shared" si="105"/>
        <v>328995.84899999993</v>
      </c>
      <c r="U93" s="25">
        <f t="shared" si="105"/>
        <v>15</v>
      </c>
      <c r="V93" s="25">
        <f t="shared" ref="V93:AN93" si="106">SUM(V94:V99)</f>
        <v>102016.35990000001</v>
      </c>
      <c r="W93" s="25">
        <f t="shared" si="106"/>
        <v>5</v>
      </c>
      <c r="X93" s="25">
        <f t="shared" si="106"/>
        <v>35111.3217</v>
      </c>
      <c r="Y93" s="25">
        <f t="shared" si="106"/>
        <v>6</v>
      </c>
      <c r="Z93" s="25">
        <f t="shared" si="106"/>
        <v>29305.512599999998</v>
      </c>
      <c r="AA93" s="25">
        <f t="shared" si="106"/>
        <v>0</v>
      </c>
      <c r="AB93" s="25">
        <f t="shared" si="106"/>
        <v>0</v>
      </c>
      <c r="AC93" s="25">
        <f t="shared" si="106"/>
        <v>0</v>
      </c>
      <c r="AD93" s="25">
        <f t="shared" si="106"/>
        <v>0</v>
      </c>
      <c r="AE93" s="25">
        <f t="shared" si="106"/>
        <v>309</v>
      </c>
      <c r="AF93" s="25">
        <f t="shared" si="106"/>
        <v>4899093.7754850006</v>
      </c>
      <c r="AG93" s="25">
        <f t="shared" si="106"/>
        <v>507</v>
      </c>
      <c r="AH93" s="25" t="e">
        <f t="shared" si="106"/>
        <v>#DIV/0!</v>
      </c>
      <c r="AI93" s="25">
        <f t="shared" si="106"/>
        <v>169</v>
      </c>
      <c r="AJ93" s="25">
        <f t="shared" si="106"/>
        <v>1913386.7899999996</v>
      </c>
      <c r="AK93" s="25">
        <v>0</v>
      </c>
      <c r="AL93" s="25">
        <v>0</v>
      </c>
      <c r="AM93" s="25">
        <f t="shared" ref="AM93" si="107">SUM(AM94:AM99)</f>
        <v>0</v>
      </c>
      <c r="AN93" s="25">
        <f t="shared" si="106"/>
        <v>0</v>
      </c>
    </row>
    <row r="94" spans="1:40" x14ac:dyDescent="0.25">
      <c r="A94" s="31"/>
      <c r="B94" s="26">
        <v>61</v>
      </c>
      <c r="C94" s="14" t="s">
        <v>131</v>
      </c>
      <c r="D94" s="15">
        <f t="shared" si="93"/>
        <v>10127</v>
      </c>
      <c r="E94" s="15">
        <v>10127</v>
      </c>
      <c r="F94" s="16">
        <v>0.39</v>
      </c>
      <c r="G94" s="22">
        <v>1</v>
      </c>
      <c r="H94" s="15">
        <v>1.4</v>
      </c>
      <c r="I94" s="15">
        <v>1.68</v>
      </c>
      <c r="J94" s="15">
        <v>2.23</v>
      </c>
      <c r="K94" s="15">
        <v>2.39</v>
      </c>
      <c r="L94" s="17">
        <v>2.57</v>
      </c>
      <c r="M94" s="18">
        <f>24+27</f>
        <v>51</v>
      </c>
      <c r="N94" s="19">
        <f t="shared" ref="N94:N99" si="108">(M94/12*1*$D94*$F94*$G94*$I94*N$11)+(M94/12*11*$E94*$F94*$G94*$I94*N$12)</f>
        <v>341779.68770399998</v>
      </c>
      <c r="O94" s="18"/>
      <c r="P94" s="19">
        <f t="shared" si="89"/>
        <v>0</v>
      </c>
      <c r="Q94" s="18">
        <v>18</v>
      </c>
      <c r="R94" s="19">
        <f t="shared" si="90"/>
        <v>84598.9326</v>
      </c>
      <c r="S94" s="18">
        <v>70</v>
      </c>
      <c r="T94" s="19">
        <f t="shared" si="91"/>
        <v>328995.84899999993</v>
      </c>
      <c r="U94" s="18">
        <v>15</v>
      </c>
      <c r="V94" s="19">
        <f t="shared" si="35"/>
        <v>102016.35990000001</v>
      </c>
      <c r="W94" s="18">
        <v>5</v>
      </c>
      <c r="X94" s="19">
        <f t="shared" si="41"/>
        <v>35111.3217</v>
      </c>
      <c r="Y94" s="18">
        <v>6</v>
      </c>
      <c r="Z94" s="19">
        <f t="shared" ref="Z94:Z157" si="109">(Y94/12*1*$D94*$F94*$G94*$H94*Z$11)+(Y94/12*4*$E94*$F94*$G94*$H94*Z$12)+(Y94/12*7*$E94*$F94*$G94*$H94*Z$13)</f>
        <v>29305.512599999998</v>
      </c>
      <c r="AA94" s="18"/>
      <c r="AB94" s="19">
        <f t="shared" ref="AB94:AB99" si="110">(AA94/12*1*$D94*$F94*$G94*$I94*AB$11)+(AA94/12*11*$E94*$F94*$G94*$I94*AB$12)</f>
        <v>0</v>
      </c>
      <c r="AC94" s="18"/>
      <c r="AD94" s="19">
        <f t="shared" ref="AD94:AD99" si="111">(AC94/12*1*$D94*$F94*$G94*$H94*AD$11)+(AC94/12*11*$E94*$F94*$G94*$H94*AD$12)</f>
        <v>0</v>
      </c>
      <c r="AE94" s="18">
        <f>96+30-51</f>
        <v>75</v>
      </c>
      <c r="AF94" s="19">
        <f t="shared" ref="AF94:AF99" si="112">(AE94/12*1*$D94*$F94*$G94*$H94*AF$11)+(AE94/12*11*$E94*$F94*$G94*$H94*AF$12)</f>
        <v>453060.46012499998</v>
      </c>
      <c r="AG94" s="19">
        <f t="shared" si="94"/>
        <v>249</v>
      </c>
      <c r="AH94" s="20">
        <f t="shared" si="95"/>
        <v>332</v>
      </c>
      <c r="AI94" s="19">
        <v>83</v>
      </c>
      <c r="AJ94" s="19">
        <v>495505.30999999994</v>
      </c>
      <c r="AK94" s="18"/>
      <c r="AL94" s="19">
        <v>0</v>
      </c>
      <c r="AM94" s="18"/>
      <c r="AN94" s="19">
        <f t="shared" ref="AN94:AN99" si="113">(AM94/12*1*$D94*$F94*$G94*$I94*AN$11)+(AM94/12*11*$E94*$F94*$G94*$I94*AN$12)</f>
        <v>0</v>
      </c>
    </row>
    <row r="95" spans="1:40" ht="30" x14ac:dyDescent="0.25">
      <c r="A95" s="31"/>
      <c r="B95" s="26">
        <v>62</v>
      </c>
      <c r="C95" s="14" t="s">
        <v>132</v>
      </c>
      <c r="D95" s="15">
        <f t="shared" si="93"/>
        <v>10127</v>
      </c>
      <c r="E95" s="15">
        <v>10127</v>
      </c>
      <c r="F95" s="16">
        <v>0.96</v>
      </c>
      <c r="G95" s="22">
        <v>1</v>
      </c>
      <c r="H95" s="15">
        <v>1.4</v>
      </c>
      <c r="I95" s="15">
        <v>1.68</v>
      </c>
      <c r="J95" s="15">
        <v>2.23</v>
      </c>
      <c r="K95" s="15">
        <v>2.39</v>
      </c>
      <c r="L95" s="17">
        <v>2.57</v>
      </c>
      <c r="M95" s="25"/>
      <c r="N95" s="19">
        <f t="shared" si="108"/>
        <v>0</v>
      </c>
      <c r="O95" s="25"/>
      <c r="P95" s="19">
        <f t="shared" si="89"/>
        <v>0</v>
      </c>
      <c r="Q95" s="25"/>
      <c r="R95" s="19">
        <f t="shared" si="90"/>
        <v>0</v>
      </c>
      <c r="S95" s="25"/>
      <c r="T95" s="19">
        <f t="shared" si="91"/>
        <v>0</v>
      </c>
      <c r="U95" s="25"/>
      <c r="V95" s="19">
        <f t="shared" si="35"/>
        <v>0</v>
      </c>
      <c r="W95" s="25"/>
      <c r="X95" s="19">
        <f t="shared" si="41"/>
        <v>0</v>
      </c>
      <c r="Y95" s="25"/>
      <c r="Z95" s="19">
        <f t="shared" si="109"/>
        <v>0</v>
      </c>
      <c r="AA95" s="25"/>
      <c r="AB95" s="19">
        <f t="shared" si="110"/>
        <v>0</v>
      </c>
      <c r="AC95" s="25"/>
      <c r="AD95" s="19">
        <f t="shared" si="111"/>
        <v>0</v>
      </c>
      <c r="AE95" s="18">
        <f>144-40</f>
        <v>104</v>
      </c>
      <c r="AF95" s="19">
        <f t="shared" si="112"/>
        <v>1546446.3705599997</v>
      </c>
      <c r="AG95" s="19">
        <f t="shared" si="94"/>
        <v>195</v>
      </c>
      <c r="AH95" s="20">
        <f t="shared" si="95"/>
        <v>187.5</v>
      </c>
      <c r="AI95" s="19">
        <v>65</v>
      </c>
      <c r="AJ95" s="19">
        <v>957277.61999999976</v>
      </c>
      <c r="AK95" s="25"/>
      <c r="AL95" s="19">
        <v>0</v>
      </c>
      <c r="AM95" s="25"/>
      <c r="AN95" s="19">
        <f t="shared" si="113"/>
        <v>0</v>
      </c>
    </row>
    <row r="96" spans="1:40" ht="30" x14ac:dyDescent="0.25">
      <c r="A96" s="31"/>
      <c r="B96" s="26">
        <v>63</v>
      </c>
      <c r="C96" s="14" t="s">
        <v>133</v>
      </c>
      <c r="D96" s="15">
        <f t="shared" si="93"/>
        <v>10127</v>
      </c>
      <c r="E96" s="15">
        <v>10127</v>
      </c>
      <c r="F96" s="16">
        <v>1.44</v>
      </c>
      <c r="G96" s="22">
        <v>1</v>
      </c>
      <c r="H96" s="15">
        <v>1.4</v>
      </c>
      <c r="I96" s="15">
        <v>1.68</v>
      </c>
      <c r="J96" s="15">
        <v>2.23</v>
      </c>
      <c r="K96" s="15">
        <v>2.39</v>
      </c>
      <c r="L96" s="17">
        <v>2.57</v>
      </c>
      <c r="M96" s="25"/>
      <c r="N96" s="19">
        <f t="shared" si="108"/>
        <v>0</v>
      </c>
      <c r="O96" s="25"/>
      <c r="P96" s="19">
        <f t="shared" si="89"/>
        <v>0</v>
      </c>
      <c r="Q96" s="25"/>
      <c r="R96" s="19">
        <f t="shared" si="90"/>
        <v>0</v>
      </c>
      <c r="S96" s="25"/>
      <c r="T96" s="19">
        <f t="shared" si="91"/>
        <v>0</v>
      </c>
      <c r="U96" s="25"/>
      <c r="V96" s="19">
        <f t="shared" si="35"/>
        <v>0</v>
      </c>
      <c r="W96" s="25"/>
      <c r="X96" s="19">
        <f t="shared" si="41"/>
        <v>0</v>
      </c>
      <c r="Y96" s="25"/>
      <c r="Z96" s="19">
        <f t="shared" si="109"/>
        <v>0</v>
      </c>
      <c r="AA96" s="25"/>
      <c r="AB96" s="19">
        <f t="shared" si="110"/>
        <v>0</v>
      </c>
      <c r="AC96" s="25"/>
      <c r="AD96" s="19">
        <f t="shared" si="111"/>
        <v>0</v>
      </c>
      <c r="AE96" s="18">
        <f>60+70</f>
        <v>130</v>
      </c>
      <c r="AF96" s="19">
        <f t="shared" si="112"/>
        <v>2899586.9448000006</v>
      </c>
      <c r="AG96" s="19">
        <f t="shared" si="94"/>
        <v>63</v>
      </c>
      <c r="AH96" s="20">
        <f t="shared" si="95"/>
        <v>48.46153846153846</v>
      </c>
      <c r="AI96" s="19">
        <v>21</v>
      </c>
      <c r="AJ96" s="19">
        <v>460603.85999999993</v>
      </c>
      <c r="AK96" s="25"/>
      <c r="AL96" s="19">
        <v>0</v>
      </c>
      <c r="AM96" s="25"/>
      <c r="AN96" s="19">
        <f t="shared" si="113"/>
        <v>0</v>
      </c>
    </row>
    <row r="97" spans="1:40" ht="30" x14ac:dyDescent="0.25">
      <c r="A97" s="31"/>
      <c r="B97" s="26">
        <v>64</v>
      </c>
      <c r="C97" s="14" t="s">
        <v>134</v>
      </c>
      <c r="D97" s="15">
        <f t="shared" si="93"/>
        <v>10127</v>
      </c>
      <c r="E97" s="15">
        <v>10127</v>
      </c>
      <c r="F97" s="16">
        <v>1.95</v>
      </c>
      <c r="G97" s="22">
        <v>1</v>
      </c>
      <c r="H97" s="15">
        <v>1.4</v>
      </c>
      <c r="I97" s="15">
        <v>1.68</v>
      </c>
      <c r="J97" s="15">
        <v>2.23</v>
      </c>
      <c r="K97" s="15">
        <v>2.39</v>
      </c>
      <c r="L97" s="17">
        <v>2.57</v>
      </c>
      <c r="M97" s="25"/>
      <c r="N97" s="19">
        <f t="shared" si="108"/>
        <v>0</v>
      </c>
      <c r="O97" s="25"/>
      <c r="P97" s="19">
        <f t="shared" si="89"/>
        <v>0</v>
      </c>
      <c r="Q97" s="25"/>
      <c r="R97" s="19">
        <f t="shared" si="90"/>
        <v>0</v>
      </c>
      <c r="S97" s="25"/>
      <c r="T97" s="19">
        <f t="shared" si="91"/>
        <v>0</v>
      </c>
      <c r="U97" s="25"/>
      <c r="V97" s="19">
        <f t="shared" ref="V97:V158" si="114">(U97/12*1*$D97*$F97*$G97*$I97*V$11)+(U97/12*4*$E97*$F97*$G97*$I97*V$12)+(U97/12*7*$E97*$F97*$G97*$I97*V$13)</f>
        <v>0</v>
      </c>
      <c r="W97" s="25"/>
      <c r="X97" s="19">
        <f t="shared" si="41"/>
        <v>0</v>
      </c>
      <c r="Y97" s="25"/>
      <c r="Z97" s="19">
        <f t="shared" si="109"/>
        <v>0</v>
      </c>
      <c r="AA97" s="25"/>
      <c r="AB97" s="19">
        <f t="shared" si="110"/>
        <v>0</v>
      </c>
      <c r="AC97" s="25"/>
      <c r="AD97" s="19">
        <f t="shared" si="111"/>
        <v>0</v>
      </c>
      <c r="AE97" s="18"/>
      <c r="AF97" s="19">
        <f t="shared" si="112"/>
        <v>0</v>
      </c>
      <c r="AG97" s="19">
        <f t="shared" si="94"/>
        <v>0</v>
      </c>
      <c r="AH97" s="20" t="e">
        <f t="shared" si="95"/>
        <v>#DIV/0!</v>
      </c>
      <c r="AI97" s="19">
        <v>0</v>
      </c>
      <c r="AJ97" s="19">
        <v>0</v>
      </c>
      <c r="AK97" s="25"/>
      <c r="AL97" s="19">
        <v>0</v>
      </c>
      <c r="AM97" s="25"/>
      <c r="AN97" s="19">
        <f t="shared" si="113"/>
        <v>0</v>
      </c>
    </row>
    <row r="98" spans="1:40" ht="30" x14ac:dyDescent="0.25">
      <c r="A98" s="31"/>
      <c r="B98" s="26">
        <v>65</v>
      </c>
      <c r="C98" s="14" t="s">
        <v>135</v>
      </c>
      <c r="D98" s="15">
        <f t="shared" si="93"/>
        <v>10127</v>
      </c>
      <c r="E98" s="15">
        <v>10127</v>
      </c>
      <c r="F98" s="16">
        <v>2.17</v>
      </c>
      <c r="G98" s="22">
        <v>1</v>
      </c>
      <c r="H98" s="15">
        <v>1.4</v>
      </c>
      <c r="I98" s="15">
        <v>1.68</v>
      </c>
      <c r="J98" s="15">
        <v>2.23</v>
      </c>
      <c r="K98" s="15">
        <v>2.39</v>
      </c>
      <c r="L98" s="17">
        <v>2.57</v>
      </c>
      <c r="M98" s="25"/>
      <c r="N98" s="19">
        <f t="shared" si="108"/>
        <v>0</v>
      </c>
      <c r="O98" s="25"/>
      <c r="P98" s="19">
        <f t="shared" si="89"/>
        <v>0</v>
      </c>
      <c r="Q98" s="25"/>
      <c r="R98" s="19">
        <f t="shared" si="90"/>
        <v>0</v>
      </c>
      <c r="S98" s="25"/>
      <c r="T98" s="19">
        <f t="shared" si="91"/>
        <v>0</v>
      </c>
      <c r="U98" s="25"/>
      <c r="V98" s="19">
        <f t="shared" si="114"/>
        <v>0</v>
      </c>
      <c r="W98" s="25"/>
      <c r="X98" s="19">
        <f t="shared" si="41"/>
        <v>0</v>
      </c>
      <c r="Y98" s="25"/>
      <c r="Z98" s="19">
        <f t="shared" si="109"/>
        <v>0</v>
      </c>
      <c r="AA98" s="25"/>
      <c r="AB98" s="19">
        <f t="shared" si="110"/>
        <v>0</v>
      </c>
      <c r="AC98" s="25"/>
      <c r="AD98" s="19">
        <f t="shared" si="111"/>
        <v>0</v>
      </c>
      <c r="AE98" s="25"/>
      <c r="AF98" s="19">
        <f t="shared" si="112"/>
        <v>0</v>
      </c>
      <c r="AG98" s="19">
        <f t="shared" si="94"/>
        <v>0</v>
      </c>
      <c r="AH98" s="20" t="e">
        <f t="shared" si="95"/>
        <v>#DIV/0!</v>
      </c>
      <c r="AI98" s="19"/>
      <c r="AJ98" s="19"/>
      <c r="AK98" s="25"/>
      <c r="AL98" s="19">
        <v>0</v>
      </c>
      <c r="AM98" s="25"/>
      <c r="AN98" s="19">
        <f t="shared" si="113"/>
        <v>0</v>
      </c>
    </row>
    <row r="99" spans="1:40" ht="30" x14ac:dyDescent="0.25">
      <c r="A99" s="31"/>
      <c r="B99" s="26">
        <v>66</v>
      </c>
      <c r="C99" s="14" t="s">
        <v>136</v>
      </c>
      <c r="D99" s="15">
        <f t="shared" si="93"/>
        <v>10127</v>
      </c>
      <c r="E99" s="15">
        <v>10127</v>
      </c>
      <c r="F99" s="16">
        <v>3.84</v>
      </c>
      <c r="G99" s="22">
        <v>1</v>
      </c>
      <c r="H99" s="15">
        <v>1.4</v>
      </c>
      <c r="I99" s="15">
        <v>1.68</v>
      </c>
      <c r="J99" s="15">
        <v>2.23</v>
      </c>
      <c r="K99" s="15">
        <v>2.39</v>
      </c>
      <c r="L99" s="17">
        <v>2.57</v>
      </c>
      <c r="M99" s="25"/>
      <c r="N99" s="19">
        <f t="shared" si="108"/>
        <v>0</v>
      </c>
      <c r="O99" s="25"/>
      <c r="P99" s="19">
        <f t="shared" si="89"/>
        <v>0</v>
      </c>
      <c r="Q99" s="25"/>
      <c r="R99" s="19">
        <f t="shared" si="90"/>
        <v>0</v>
      </c>
      <c r="S99" s="25"/>
      <c r="T99" s="19">
        <f t="shared" si="91"/>
        <v>0</v>
      </c>
      <c r="U99" s="25"/>
      <c r="V99" s="19">
        <f t="shared" si="114"/>
        <v>0</v>
      </c>
      <c r="W99" s="25"/>
      <c r="X99" s="19">
        <f t="shared" si="41"/>
        <v>0</v>
      </c>
      <c r="Y99" s="25"/>
      <c r="Z99" s="19">
        <f t="shared" si="109"/>
        <v>0</v>
      </c>
      <c r="AA99" s="25"/>
      <c r="AB99" s="19">
        <f t="shared" si="110"/>
        <v>0</v>
      </c>
      <c r="AC99" s="25"/>
      <c r="AD99" s="19">
        <f t="shared" si="111"/>
        <v>0</v>
      </c>
      <c r="AE99" s="25"/>
      <c r="AF99" s="19">
        <f t="shared" si="112"/>
        <v>0</v>
      </c>
      <c r="AG99" s="19">
        <f t="shared" si="94"/>
        <v>0</v>
      </c>
      <c r="AH99" s="20" t="e">
        <f t="shared" si="95"/>
        <v>#DIV/0!</v>
      </c>
      <c r="AI99" s="19">
        <v>0</v>
      </c>
      <c r="AJ99" s="19">
        <v>0</v>
      </c>
      <c r="AK99" s="25"/>
      <c r="AL99" s="19">
        <v>0</v>
      </c>
      <c r="AM99" s="25"/>
      <c r="AN99" s="19">
        <f t="shared" si="113"/>
        <v>0</v>
      </c>
    </row>
    <row r="100" spans="1:40" s="41" customFormat="1" x14ac:dyDescent="0.25">
      <c r="A100" s="31">
        <v>22</v>
      </c>
      <c r="B100" s="31"/>
      <c r="C100" s="32" t="s">
        <v>137</v>
      </c>
      <c r="D100" s="15">
        <f t="shared" si="93"/>
        <v>10127</v>
      </c>
      <c r="E100" s="15">
        <v>10127</v>
      </c>
      <c r="F100" s="36"/>
      <c r="G100" s="35"/>
      <c r="H100" s="33"/>
      <c r="I100" s="33"/>
      <c r="J100" s="33"/>
      <c r="K100" s="33"/>
      <c r="L100" s="17">
        <v>2.57</v>
      </c>
      <c r="M100" s="25">
        <f t="shared" ref="M100:U100" si="115">SUM(M101:M102)</f>
        <v>24</v>
      </c>
      <c r="N100" s="25">
        <f t="shared" si="115"/>
        <v>464641.666944</v>
      </c>
      <c r="O100" s="25">
        <f t="shared" si="115"/>
        <v>0</v>
      </c>
      <c r="P100" s="25">
        <f t="shared" si="115"/>
        <v>0</v>
      </c>
      <c r="Q100" s="25">
        <f t="shared" si="115"/>
        <v>0</v>
      </c>
      <c r="R100" s="25">
        <f t="shared" si="115"/>
        <v>0</v>
      </c>
      <c r="S100" s="25">
        <f t="shared" si="115"/>
        <v>5</v>
      </c>
      <c r="T100" s="25">
        <f t="shared" si="115"/>
        <v>53627.5285</v>
      </c>
      <c r="U100" s="25">
        <f t="shared" si="115"/>
        <v>0</v>
      </c>
      <c r="V100" s="25">
        <f t="shared" ref="V100:AN100" si="116">SUM(V101:V102)</f>
        <v>0</v>
      </c>
      <c r="W100" s="25">
        <f t="shared" si="116"/>
        <v>4</v>
      </c>
      <c r="X100" s="25">
        <f t="shared" si="116"/>
        <v>166373.64744</v>
      </c>
      <c r="Y100" s="25">
        <f t="shared" si="116"/>
        <v>0</v>
      </c>
      <c r="Z100" s="25">
        <f t="shared" si="116"/>
        <v>0</v>
      </c>
      <c r="AA100" s="25">
        <f t="shared" si="116"/>
        <v>0</v>
      </c>
      <c r="AB100" s="25">
        <f t="shared" si="116"/>
        <v>0</v>
      </c>
      <c r="AC100" s="25">
        <f t="shared" si="116"/>
        <v>0</v>
      </c>
      <c r="AD100" s="25">
        <f t="shared" si="116"/>
        <v>0</v>
      </c>
      <c r="AE100" s="25">
        <f t="shared" si="116"/>
        <v>0</v>
      </c>
      <c r="AF100" s="25">
        <f t="shared" si="116"/>
        <v>0</v>
      </c>
      <c r="AG100" s="25">
        <f t="shared" si="116"/>
        <v>0</v>
      </c>
      <c r="AH100" s="25" t="e">
        <f t="shared" si="116"/>
        <v>#DIV/0!</v>
      </c>
      <c r="AI100" s="25">
        <f t="shared" si="116"/>
        <v>0</v>
      </c>
      <c r="AJ100" s="25">
        <f t="shared" si="116"/>
        <v>0</v>
      </c>
      <c r="AK100" s="25">
        <v>0</v>
      </c>
      <c r="AL100" s="25">
        <v>0</v>
      </c>
      <c r="AM100" s="25">
        <f t="shared" ref="AM100" si="117">SUM(AM101:AM102)</f>
        <v>0</v>
      </c>
      <c r="AN100" s="25">
        <f t="shared" si="116"/>
        <v>0</v>
      </c>
    </row>
    <row r="101" spans="1:40" ht="45" x14ac:dyDescent="0.25">
      <c r="A101" s="31"/>
      <c r="B101" s="26">
        <v>67</v>
      </c>
      <c r="C101" s="23" t="s">
        <v>138</v>
      </c>
      <c r="D101" s="15">
        <f t="shared" si="93"/>
        <v>10127</v>
      </c>
      <c r="E101" s="15">
        <v>10127</v>
      </c>
      <c r="F101" s="16">
        <v>2.31</v>
      </c>
      <c r="G101" s="22">
        <v>1</v>
      </c>
      <c r="H101" s="15">
        <v>1.4</v>
      </c>
      <c r="I101" s="15">
        <v>1.68</v>
      </c>
      <c r="J101" s="15">
        <v>2.23</v>
      </c>
      <c r="K101" s="15">
        <v>2.39</v>
      </c>
      <c r="L101" s="17">
        <v>2.57</v>
      </c>
      <c r="M101" s="18">
        <v>4</v>
      </c>
      <c r="N101" s="19">
        <f>(M101/12*1*$D101*$F101*$G101*$I101*N$11)+(M101/12*11*$E101*$F101*$G101*$I101*N$12)</f>
        <v>158775.48086399998</v>
      </c>
      <c r="O101" s="18"/>
      <c r="P101" s="19">
        <f t="shared" si="89"/>
        <v>0</v>
      </c>
      <c r="Q101" s="18"/>
      <c r="R101" s="19">
        <f t="shared" si="90"/>
        <v>0</v>
      </c>
      <c r="S101" s="18"/>
      <c r="T101" s="19">
        <f t="shared" si="91"/>
        <v>0</v>
      </c>
      <c r="U101" s="18"/>
      <c r="V101" s="19">
        <f t="shared" si="114"/>
        <v>0</v>
      </c>
      <c r="W101" s="18">
        <v>4</v>
      </c>
      <c r="X101" s="19">
        <f t="shared" si="41"/>
        <v>166373.64744</v>
      </c>
      <c r="Y101" s="18"/>
      <c r="Z101" s="19">
        <f t="shared" si="109"/>
        <v>0</v>
      </c>
      <c r="AA101" s="18"/>
      <c r="AB101" s="19">
        <f t="shared" ref="AB101:AB102" si="118">(AA101/12*1*$D101*$F101*$G101*$I101*AB$11)+(AA101/12*11*$E101*$F101*$G101*$I101*AB$12)</f>
        <v>0</v>
      </c>
      <c r="AC101" s="18"/>
      <c r="AD101" s="19">
        <f>(AC101/12*1*$D101*$F101*$G101*$H101*AD$11)+(AC101/12*11*$E101*$F101*$G101*$H101*AD$12)</f>
        <v>0</v>
      </c>
      <c r="AE101" s="18"/>
      <c r="AF101" s="19">
        <f>(AE101/12*1*$D101*$F101*$G101*$H101*AF$11)+(AE101/12*11*$E101*$F101*$G101*$H101*AF$12)</f>
        <v>0</v>
      </c>
      <c r="AG101" s="19">
        <f t="shared" si="94"/>
        <v>0</v>
      </c>
      <c r="AH101" s="20" t="e">
        <f t="shared" si="95"/>
        <v>#DIV/0!</v>
      </c>
      <c r="AI101" s="19">
        <v>0</v>
      </c>
      <c r="AJ101" s="19">
        <v>0</v>
      </c>
      <c r="AK101" s="18"/>
      <c r="AL101" s="19">
        <v>0</v>
      </c>
      <c r="AM101" s="18"/>
      <c r="AN101" s="19">
        <f>(AM101/12*1*$D101*$F101*$G101*$I101*AN$11)+(AM101/12*11*$E101*$F101*$G101*$I101*AN$12)</f>
        <v>0</v>
      </c>
    </row>
    <row r="102" spans="1:40" ht="30" x14ac:dyDescent="0.25">
      <c r="A102" s="31"/>
      <c r="B102" s="26">
        <v>68</v>
      </c>
      <c r="C102" s="23" t="s">
        <v>139</v>
      </c>
      <c r="D102" s="15">
        <f t="shared" si="93"/>
        <v>10127</v>
      </c>
      <c r="E102" s="15">
        <v>10127</v>
      </c>
      <c r="F102" s="21">
        <v>0.89</v>
      </c>
      <c r="G102" s="22">
        <v>1</v>
      </c>
      <c r="H102" s="15">
        <v>1.4</v>
      </c>
      <c r="I102" s="15">
        <v>1.68</v>
      </c>
      <c r="J102" s="15">
        <v>2.23</v>
      </c>
      <c r="K102" s="15">
        <v>2.39</v>
      </c>
      <c r="L102" s="17">
        <v>2.57</v>
      </c>
      <c r="M102" s="18">
        <v>20</v>
      </c>
      <c r="N102" s="19">
        <f>(M102/12*1*$D102*$F102*$G102*$I102*N$11)+(M102/12*11*$E102*$F102*$G102*$I102*N$12)</f>
        <v>305866.18608000001</v>
      </c>
      <c r="O102" s="18"/>
      <c r="P102" s="19">
        <f t="shared" si="89"/>
        <v>0</v>
      </c>
      <c r="Q102" s="18"/>
      <c r="R102" s="19">
        <f t="shared" si="90"/>
        <v>0</v>
      </c>
      <c r="S102" s="18">
        <v>5</v>
      </c>
      <c r="T102" s="19">
        <f t="shared" si="91"/>
        <v>53627.5285</v>
      </c>
      <c r="U102" s="18"/>
      <c r="V102" s="19">
        <f t="shared" si="114"/>
        <v>0</v>
      </c>
      <c r="W102" s="18"/>
      <c r="X102" s="19">
        <f t="shared" si="41"/>
        <v>0</v>
      </c>
      <c r="Y102" s="18"/>
      <c r="Z102" s="19">
        <f t="shared" si="109"/>
        <v>0</v>
      </c>
      <c r="AA102" s="18"/>
      <c r="AB102" s="19">
        <f t="shared" si="118"/>
        <v>0</v>
      </c>
      <c r="AC102" s="18"/>
      <c r="AD102" s="19">
        <f>(AC102/12*1*$D102*$F102*$G102*$H102*AD$11)+(AC102/12*11*$E102*$F102*$G102*$H102*AD$12)</f>
        <v>0</v>
      </c>
      <c r="AE102" s="25"/>
      <c r="AF102" s="19">
        <f>(AE102/12*1*$D102*$F102*$G102*$H102*AF$11)+(AE102/12*11*$E102*$F102*$G102*$H102*AF$12)</f>
        <v>0</v>
      </c>
      <c r="AG102" s="19">
        <f t="shared" si="94"/>
        <v>0</v>
      </c>
      <c r="AH102" s="20" t="e">
        <f t="shared" si="95"/>
        <v>#DIV/0!</v>
      </c>
      <c r="AI102" s="19">
        <v>0</v>
      </c>
      <c r="AJ102" s="19">
        <v>0</v>
      </c>
      <c r="AK102" s="18"/>
      <c r="AL102" s="19">
        <v>0</v>
      </c>
      <c r="AM102" s="18"/>
      <c r="AN102" s="19">
        <f>(AM102/12*1*$D102*$F102*$G102*$I102*AN$11)+(AM102/12*11*$E102*$F102*$G102*$I102*AN$12)</f>
        <v>0</v>
      </c>
    </row>
    <row r="103" spans="1:40" s="41" customFormat="1" x14ac:dyDescent="0.25">
      <c r="A103" s="31">
        <v>23</v>
      </c>
      <c r="B103" s="31"/>
      <c r="C103" s="32" t="s">
        <v>140</v>
      </c>
      <c r="D103" s="15">
        <f t="shared" si="93"/>
        <v>10127</v>
      </c>
      <c r="E103" s="15">
        <v>10127</v>
      </c>
      <c r="F103" s="36"/>
      <c r="G103" s="35"/>
      <c r="H103" s="33"/>
      <c r="I103" s="33"/>
      <c r="J103" s="33"/>
      <c r="K103" s="33"/>
      <c r="L103" s="17">
        <v>2.57</v>
      </c>
      <c r="M103" s="25">
        <f t="shared" ref="M103:U103" si="119">SUM(M104)</f>
        <v>130</v>
      </c>
      <c r="N103" s="25">
        <f t="shared" si="119"/>
        <v>2010468.7512000005</v>
      </c>
      <c r="O103" s="25">
        <f t="shared" si="119"/>
        <v>200</v>
      </c>
      <c r="P103" s="25">
        <f t="shared" si="119"/>
        <v>2169203.4000000004</v>
      </c>
      <c r="Q103" s="25">
        <f t="shared" si="119"/>
        <v>43</v>
      </c>
      <c r="R103" s="25">
        <f t="shared" si="119"/>
        <v>466378.73100000003</v>
      </c>
      <c r="S103" s="25">
        <f t="shared" si="119"/>
        <v>521</v>
      </c>
      <c r="T103" s="25">
        <f t="shared" si="119"/>
        <v>5650774.8569999989</v>
      </c>
      <c r="U103" s="25">
        <f t="shared" si="119"/>
        <v>38</v>
      </c>
      <c r="V103" s="25">
        <f t="shared" ref="V103:AN103" si="120">SUM(V104)</f>
        <v>596403.33480000007</v>
      </c>
      <c r="W103" s="25">
        <f t="shared" si="120"/>
        <v>57</v>
      </c>
      <c r="X103" s="25">
        <f t="shared" si="120"/>
        <v>923697.84780000011</v>
      </c>
      <c r="Y103" s="25">
        <f t="shared" si="120"/>
        <v>17</v>
      </c>
      <c r="Z103" s="25">
        <f t="shared" si="120"/>
        <v>191612.967</v>
      </c>
      <c r="AA103" s="25">
        <f t="shared" si="120"/>
        <v>15</v>
      </c>
      <c r="AB103" s="25">
        <f t="shared" si="120"/>
        <v>251423.43408000001</v>
      </c>
      <c r="AC103" s="25">
        <f t="shared" si="120"/>
        <v>7</v>
      </c>
      <c r="AD103" s="25">
        <f t="shared" si="120"/>
        <v>97582.252950000009</v>
      </c>
      <c r="AE103" s="25">
        <f t="shared" si="120"/>
        <v>12</v>
      </c>
      <c r="AF103" s="25">
        <f t="shared" si="120"/>
        <v>167283.86220000003</v>
      </c>
      <c r="AG103" s="25">
        <f t="shared" si="120"/>
        <v>39</v>
      </c>
      <c r="AH103" s="25">
        <f t="shared" si="120"/>
        <v>325</v>
      </c>
      <c r="AI103" s="25">
        <f t="shared" si="120"/>
        <v>13</v>
      </c>
      <c r="AJ103" s="25">
        <f t="shared" si="120"/>
        <v>172139.49</v>
      </c>
      <c r="AK103" s="25">
        <v>12</v>
      </c>
      <c r="AL103" s="25">
        <v>269491.62239999999</v>
      </c>
      <c r="AM103" s="25">
        <f t="shared" ref="AM103" si="121">SUM(AM104)</f>
        <v>5</v>
      </c>
      <c r="AN103" s="25">
        <f t="shared" si="120"/>
        <v>113564.17800000003</v>
      </c>
    </row>
    <row r="104" spans="1:40" x14ac:dyDescent="0.25">
      <c r="A104" s="31"/>
      <c r="B104" s="26">
        <v>69</v>
      </c>
      <c r="C104" s="14" t="s">
        <v>141</v>
      </c>
      <c r="D104" s="15">
        <f t="shared" si="93"/>
        <v>10127</v>
      </c>
      <c r="E104" s="15">
        <v>10127</v>
      </c>
      <c r="F104" s="16">
        <v>0.9</v>
      </c>
      <c r="G104" s="22">
        <v>1</v>
      </c>
      <c r="H104" s="15">
        <v>1.4</v>
      </c>
      <c r="I104" s="15">
        <v>1.68</v>
      </c>
      <c r="J104" s="15">
        <v>2.23</v>
      </c>
      <c r="K104" s="15">
        <v>2.39</v>
      </c>
      <c r="L104" s="17">
        <v>2.57</v>
      </c>
      <c r="M104" s="18">
        <f>150-20</f>
        <v>130</v>
      </c>
      <c r="N104" s="19">
        <f>(M104/12*1*$D104*$F104*$G104*$I104*N$11)+(M104/12*11*$E104*$F104*$G104*$I104*N$12)</f>
        <v>2010468.7512000005</v>
      </c>
      <c r="O104" s="18">
        <v>200</v>
      </c>
      <c r="P104" s="19">
        <f t="shared" si="89"/>
        <v>2169203.4000000004</v>
      </c>
      <c r="Q104" s="18">
        <v>43</v>
      </c>
      <c r="R104" s="19">
        <f t="shared" si="90"/>
        <v>466378.73100000003</v>
      </c>
      <c r="S104" s="18">
        <v>521</v>
      </c>
      <c r="T104" s="19">
        <f t="shared" si="91"/>
        <v>5650774.8569999989</v>
      </c>
      <c r="U104" s="18">
        <v>38</v>
      </c>
      <c r="V104" s="19">
        <f t="shared" si="114"/>
        <v>596403.33480000007</v>
      </c>
      <c r="W104" s="18">
        <v>57</v>
      </c>
      <c r="X104" s="19">
        <f t="shared" si="41"/>
        <v>923697.84780000011</v>
      </c>
      <c r="Y104" s="18">
        <v>17</v>
      </c>
      <c r="Z104" s="19">
        <f t="shared" si="109"/>
        <v>191612.967</v>
      </c>
      <c r="AA104" s="18">
        <v>15</v>
      </c>
      <c r="AB104" s="19">
        <f>(AA104/12*1*$D104*$F104*$G104*$I104*AB$11)+(AA104/12*11*$E104*$F104*$G104*$I104*AB$12)</f>
        <v>251423.43408000001</v>
      </c>
      <c r="AC104" s="18">
        <f>10-3</f>
        <v>7</v>
      </c>
      <c r="AD104" s="19">
        <f>(AC104/12*1*$D104*$F104*$G104*$H104*AD$11)+(AC104/12*11*$E104*$F104*$G104*$H104*AD$12)</f>
        <v>97582.252950000009</v>
      </c>
      <c r="AE104" s="18">
        <f>16-4</f>
        <v>12</v>
      </c>
      <c r="AF104" s="19">
        <f>(AE104/12*1*$D104*$F104*$G104*$H104*AF$11)+(AE104/12*11*$E104*$F104*$G104*$H104*AF$12)</f>
        <v>167283.86220000003</v>
      </c>
      <c r="AG104" s="19">
        <f t="shared" si="94"/>
        <v>39</v>
      </c>
      <c r="AH104" s="20">
        <f t="shared" si="95"/>
        <v>325</v>
      </c>
      <c r="AI104" s="19">
        <v>13</v>
      </c>
      <c r="AJ104" s="19">
        <v>172139.49</v>
      </c>
      <c r="AK104" s="18">
        <v>12</v>
      </c>
      <c r="AL104" s="19">
        <v>269491.62239999999</v>
      </c>
      <c r="AM104" s="18">
        <f>7-2</f>
        <v>5</v>
      </c>
      <c r="AN104" s="19">
        <f>(AM104/12*1*$D104*$F104*$G104*$I104*AN$11)+(AM104/12*11*$E104*$F104*$G104*$I104*AN$12)</f>
        <v>113564.17800000003</v>
      </c>
    </row>
    <row r="105" spans="1:40" s="41" customFormat="1" x14ac:dyDescent="0.25">
      <c r="A105" s="31">
        <v>24</v>
      </c>
      <c r="B105" s="31"/>
      <c r="C105" s="32" t="s">
        <v>142</v>
      </c>
      <c r="D105" s="15">
        <f t="shared" si="93"/>
        <v>10127</v>
      </c>
      <c r="E105" s="15">
        <v>10127</v>
      </c>
      <c r="F105" s="36"/>
      <c r="G105" s="35"/>
      <c r="H105" s="33"/>
      <c r="I105" s="33"/>
      <c r="J105" s="33"/>
      <c r="K105" s="33"/>
      <c r="L105" s="17">
        <v>2.57</v>
      </c>
      <c r="M105" s="25">
        <f t="shared" ref="M105:U105" si="122">SUM(M106)</f>
        <v>0</v>
      </c>
      <c r="N105" s="25">
        <f t="shared" si="122"/>
        <v>0</v>
      </c>
      <c r="O105" s="25">
        <f t="shared" si="122"/>
        <v>0</v>
      </c>
      <c r="P105" s="25">
        <f t="shared" si="122"/>
        <v>0</v>
      </c>
      <c r="Q105" s="25">
        <f t="shared" si="122"/>
        <v>15</v>
      </c>
      <c r="R105" s="25">
        <f t="shared" si="122"/>
        <v>263919.74699999997</v>
      </c>
      <c r="S105" s="25">
        <f t="shared" si="122"/>
        <v>0</v>
      </c>
      <c r="T105" s="25">
        <f t="shared" si="122"/>
        <v>0</v>
      </c>
      <c r="U105" s="25">
        <f t="shared" si="122"/>
        <v>23</v>
      </c>
      <c r="V105" s="25">
        <f t="shared" ref="V105:AN105" si="123">SUM(V106)</f>
        <v>585591.34452000004</v>
      </c>
      <c r="W105" s="25">
        <f t="shared" si="123"/>
        <v>6</v>
      </c>
      <c r="X105" s="25">
        <f t="shared" si="123"/>
        <v>157730.86056</v>
      </c>
      <c r="Y105" s="25">
        <f t="shared" si="123"/>
        <v>12</v>
      </c>
      <c r="Z105" s="25">
        <f t="shared" si="123"/>
        <v>219415.63279999999</v>
      </c>
      <c r="AA105" s="25">
        <f t="shared" si="123"/>
        <v>42</v>
      </c>
      <c r="AB105" s="25">
        <f t="shared" si="123"/>
        <v>1142021.1094656</v>
      </c>
      <c r="AC105" s="25">
        <f t="shared" si="123"/>
        <v>0</v>
      </c>
      <c r="AD105" s="25">
        <f t="shared" si="123"/>
        <v>0</v>
      </c>
      <c r="AE105" s="25">
        <f t="shared" si="123"/>
        <v>34</v>
      </c>
      <c r="AF105" s="25">
        <f t="shared" si="123"/>
        <v>768886.19626000011</v>
      </c>
      <c r="AG105" s="25">
        <f t="shared" si="123"/>
        <v>24</v>
      </c>
      <c r="AH105" s="25">
        <f t="shared" si="123"/>
        <v>70.588235294117652</v>
      </c>
      <c r="AI105" s="25">
        <f t="shared" si="123"/>
        <v>8</v>
      </c>
      <c r="AJ105" s="25">
        <f t="shared" si="123"/>
        <v>174711.44</v>
      </c>
      <c r="AK105" s="25">
        <v>11</v>
      </c>
      <c r="AL105" s="25">
        <v>400744.02367999993</v>
      </c>
      <c r="AM105" s="25">
        <f t="shared" ref="AM105" si="124">SUM(AM106)</f>
        <v>1</v>
      </c>
      <c r="AN105" s="25">
        <f t="shared" si="123"/>
        <v>36845.266639999994</v>
      </c>
    </row>
    <row r="106" spans="1:40" ht="45" x14ac:dyDescent="0.25">
      <c r="A106" s="31"/>
      <c r="B106" s="26">
        <v>70</v>
      </c>
      <c r="C106" s="14" t="s">
        <v>143</v>
      </c>
      <c r="D106" s="15">
        <f t="shared" si="93"/>
        <v>10127</v>
      </c>
      <c r="E106" s="15">
        <v>10127</v>
      </c>
      <c r="F106" s="16">
        <v>1.46</v>
      </c>
      <c r="G106" s="22">
        <v>1</v>
      </c>
      <c r="H106" s="15">
        <v>1.4</v>
      </c>
      <c r="I106" s="15">
        <v>1.68</v>
      </c>
      <c r="J106" s="15">
        <v>2.23</v>
      </c>
      <c r="K106" s="15">
        <v>2.39</v>
      </c>
      <c r="L106" s="17">
        <v>2.57</v>
      </c>
      <c r="M106" s="18"/>
      <c r="N106" s="19">
        <f>(M106/12*1*$D106*$F106*$G106*$I106*N$11)+(M106/12*11*$E106*$F106*$G106*$I106*N$12)</f>
        <v>0</v>
      </c>
      <c r="O106" s="18"/>
      <c r="P106" s="19">
        <f t="shared" si="89"/>
        <v>0</v>
      </c>
      <c r="Q106" s="18">
        <v>15</v>
      </c>
      <c r="R106" s="19">
        <f t="shared" si="90"/>
        <v>263919.74699999997</v>
      </c>
      <c r="S106" s="18"/>
      <c r="T106" s="19">
        <f t="shared" si="91"/>
        <v>0</v>
      </c>
      <c r="U106" s="18">
        <v>23</v>
      </c>
      <c r="V106" s="19">
        <f t="shared" si="114"/>
        <v>585591.34452000004</v>
      </c>
      <c r="W106" s="18">
        <v>6</v>
      </c>
      <c r="X106" s="19">
        <f t="shared" si="41"/>
        <v>157730.86056</v>
      </c>
      <c r="Y106" s="18">
        <v>12</v>
      </c>
      <c r="Z106" s="19">
        <f t="shared" si="109"/>
        <v>219415.63279999999</v>
      </c>
      <c r="AA106" s="18">
        <f>40+2</f>
        <v>42</v>
      </c>
      <c r="AB106" s="19">
        <f>(AA106/12*1*$D106*$F106*$G106*$I106*AB$11)+(AA106/12*11*$E106*$F106*$G106*$I106*AB$12)</f>
        <v>1142021.1094656</v>
      </c>
      <c r="AC106" s="18"/>
      <c r="AD106" s="19">
        <f>(AC106/12*1*$D106*$F106*$G106*$H106*AD$11)+(AC106/12*11*$E106*$F106*$G106*$H106*AD$12)</f>
        <v>0</v>
      </c>
      <c r="AE106" s="18">
        <f>14+20</f>
        <v>34</v>
      </c>
      <c r="AF106" s="19">
        <f>(AE106/12*1*$D106*$F106*$G106*$H106*AF$11)+(AE106/12*11*$E106*$F106*$G106*$H106*AF$12)</f>
        <v>768886.19626000011</v>
      </c>
      <c r="AG106" s="19">
        <f t="shared" si="94"/>
        <v>24</v>
      </c>
      <c r="AH106" s="20">
        <f t="shared" si="95"/>
        <v>70.588235294117652</v>
      </c>
      <c r="AI106" s="19">
        <v>8</v>
      </c>
      <c r="AJ106" s="19">
        <v>174711.44</v>
      </c>
      <c r="AK106" s="18">
        <v>11</v>
      </c>
      <c r="AL106" s="19">
        <v>400744.02367999993</v>
      </c>
      <c r="AM106" s="18">
        <v>1</v>
      </c>
      <c r="AN106" s="19">
        <f>(AM106/12*1*$D106*$F106*$G106*$I106*AN$11)+(AM106/12*11*$E106*$F106*$G106*$I106*AN$12)</f>
        <v>36845.266639999994</v>
      </c>
    </row>
    <row r="107" spans="1:40" s="41" customFormat="1" x14ac:dyDescent="0.25">
      <c r="A107" s="31">
        <v>25</v>
      </c>
      <c r="B107" s="31"/>
      <c r="C107" s="32" t="s">
        <v>144</v>
      </c>
      <c r="D107" s="15">
        <f t="shared" si="93"/>
        <v>10127</v>
      </c>
      <c r="E107" s="15">
        <v>10127</v>
      </c>
      <c r="F107" s="36"/>
      <c r="G107" s="35"/>
      <c r="H107" s="33"/>
      <c r="I107" s="33"/>
      <c r="J107" s="33"/>
      <c r="K107" s="33"/>
      <c r="L107" s="17">
        <v>2.57</v>
      </c>
      <c r="M107" s="25">
        <f t="shared" ref="M107:U107" si="125">SUM(M108:M110)</f>
        <v>0</v>
      </c>
      <c r="N107" s="25">
        <f t="shared" si="125"/>
        <v>0</v>
      </c>
      <c r="O107" s="25">
        <f t="shared" si="125"/>
        <v>0</v>
      </c>
      <c r="P107" s="25">
        <f t="shared" si="125"/>
        <v>0</v>
      </c>
      <c r="Q107" s="25">
        <f t="shared" si="125"/>
        <v>0</v>
      </c>
      <c r="R107" s="25">
        <f t="shared" si="125"/>
        <v>0</v>
      </c>
      <c r="S107" s="25">
        <f t="shared" si="125"/>
        <v>0</v>
      </c>
      <c r="T107" s="25">
        <f t="shared" si="125"/>
        <v>0</v>
      </c>
      <c r="U107" s="25">
        <f t="shared" si="125"/>
        <v>0</v>
      </c>
      <c r="V107" s="25">
        <f t="shared" ref="V107:AN107" si="126">SUM(V108:V110)</f>
        <v>0</v>
      </c>
      <c r="W107" s="25">
        <f t="shared" si="126"/>
        <v>0</v>
      </c>
      <c r="X107" s="25">
        <f t="shared" si="126"/>
        <v>0</v>
      </c>
      <c r="Y107" s="25">
        <f t="shared" si="126"/>
        <v>0</v>
      </c>
      <c r="Z107" s="25">
        <f t="shared" si="126"/>
        <v>0</v>
      </c>
      <c r="AA107" s="25">
        <f t="shared" si="126"/>
        <v>0</v>
      </c>
      <c r="AB107" s="25">
        <f t="shared" si="126"/>
        <v>0</v>
      </c>
      <c r="AC107" s="25">
        <f t="shared" si="126"/>
        <v>0</v>
      </c>
      <c r="AD107" s="25">
        <f t="shared" si="126"/>
        <v>0</v>
      </c>
      <c r="AE107" s="25">
        <f t="shared" si="126"/>
        <v>0</v>
      </c>
      <c r="AF107" s="25">
        <f t="shared" si="126"/>
        <v>0</v>
      </c>
      <c r="AG107" s="25">
        <f t="shared" si="126"/>
        <v>0</v>
      </c>
      <c r="AH107" s="25" t="e">
        <f t="shared" si="126"/>
        <v>#DIV/0!</v>
      </c>
      <c r="AI107" s="25">
        <f t="shared" si="126"/>
        <v>0</v>
      </c>
      <c r="AJ107" s="25">
        <f t="shared" si="126"/>
        <v>0</v>
      </c>
      <c r="AK107" s="25">
        <v>0</v>
      </c>
      <c r="AL107" s="25">
        <v>0</v>
      </c>
      <c r="AM107" s="25">
        <f t="shared" ref="AM107" si="127">SUM(AM108:AM110)</f>
        <v>0</v>
      </c>
      <c r="AN107" s="25">
        <f t="shared" si="126"/>
        <v>0</v>
      </c>
    </row>
    <row r="108" spans="1:40" ht="30" x14ac:dyDescent="0.25">
      <c r="A108" s="31"/>
      <c r="B108" s="26">
        <v>71</v>
      </c>
      <c r="C108" s="23" t="s">
        <v>145</v>
      </c>
      <c r="D108" s="15">
        <f t="shared" si="93"/>
        <v>10127</v>
      </c>
      <c r="E108" s="15">
        <v>10127</v>
      </c>
      <c r="F108" s="16">
        <v>1.84</v>
      </c>
      <c r="G108" s="22">
        <v>1</v>
      </c>
      <c r="H108" s="15">
        <v>1.4</v>
      </c>
      <c r="I108" s="15">
        <v>1.68</v>
      </c>
      <c r="J108" s="15">
        <v>2.23</v>
      </c>
      <c r="K108" s="15">
        <v>2.39</v>
      </c>
      <c r="L108" s="17">
        <v>2.57</v>
      </c>
      <c r="M108" s="18"/>
      <c r="N108" s="19">
        <f>(M108/12*1*$D108*$F108*$G108*$I108*N$11)+(M108/12*11*$E108*$F108*$G108*$I108*N$12)</f>
        <v>0</v>
      </c>
      <c r="O108" s="18"/>
      <c r="P108" s="19">
        <f t="shared" si="89"/>
        <v>0</v>
      </c>
      <c r="Q108" s="18"/>
      <c r="R108" s="19">
        <f t="shared" si="90"/>
        <v>0</v>
      </c>
      <c r="S108" s="18"/>
      <c r="T108" s="19">
        <f t="shared" si="91"/>
        <v>0</v>
      </c>
      <c r="U108" s="18"/>
      <c r="V108" s="19">
        <f t="shared" si="114"/>
        <v>0</v>
      </c>
      <c r="W108" s="18"/>
      <c r="X108" s="19">
        <f t="shared" si="41"/>
        <v>0</v>
      </c>
      <c r="Y108" s="18"/>
      <c r="Z108" s="19">
        <f t="shared" si="109"/>
        <v>0</v>
      </c>
      <c r="AA108" s="18"/>
      <c r="AB108" s="19">
        <f t="shared" ref="AB108:AB110" si="128">(AA108/12*1*$D108*$F108*$G108*$I108*AB$11)+(AA108/12*11*$E108*$F108*$G108*$I108*AB$12)</f>
        <v>0</v>
      </c>
      <c r="AC108" s="18"/>
      <c r="AD108" s="19">
        <f>(AC108/12*1*$D108*$F108*$G108*$H108*AD$11)+(AC108/12*11*$E108*$F108*$G108*$H108*AD$12)</f>
        <v>0</v>
      </c>
      <c r="AE108" s="18"/>
      <c r="AF108" s="19">
        <f>(AE108/12*1*$D108*$F108*$G108*$H108*AF$11)+(AE108/12*11*$E108*$F108*$G108*$H108*AF$12)</f>
        <v>0</v>
      </c>
      <c r="AG108" s="19">
        <f t="shared" si="94"/>
        <v>0</v>
      </c>
      <c r="AH108" s="20" t="e">
        <f t="shared" si="95"/>
        <v>#DIV/0!</v>
      </c>
      <c r="AI108" s="19"/>
      <c r="AJ108" s="19"/>
      <c r="AK108" s="18"/>
      <c r="AL108" s="19">
        <v>0</v>
      </c>
      <c r="AM108" s="18"/>
      <c r="AN108" s="19">
        <f>(AM108/12*1*$D108*$F108*$G108*$I108*AN$11)+(AM108/12*11*$E108*$F108*$G108*$I108*AN$12)</f>
        <v>0</v>
      </c>
    </row>
    <row r="109" spans="1:40" x14ac:dyDescent="0.25">
      <c r="A109" s="31"/>
      <c r="B109" s="26">
        <v>72</v>
      </c>
      <c r="C109" s="14" t="s">
        <v>146</v>
      </c>
      <c r="D109" s="15">
        <f t="shared" si="93"/>
        <v>10127</v>
      </c>
      <c r="E109" s="15">
        <v>10127</v>
      </c>
      <c r="F109" s="16">
        <v>2.1800000000000002</v>
      </c>
      <c r="G109" s="22">
        <v>1</v>
      </c>
      <c r="H109" s="15">
        <v>1.4</v>
      </c>
      <c r="I109" s="15">
        <v>1.68</v>
      </c>
      <c r="J109" s="15">
        <v>2.23</v>
      </c>
      <c r="K109" s="15">
        <v>2.39</v>
      </c>
      <c r="L109" s="17">
        <v>2.57</v>
      </c>
      <c r="M109" s="18"/>
      <c r="N109" s="19">
        <f>(M109/12*1*$D109*$F109*$G109*$I109*N$11)+(M109/12*11*$E109*$F109*$G109*$I109*N$12)</f>
        <v>0</v>
      </c>
      <c r="O109" s="18"/>
      <c r="P109" s="19">
        <f t="shared" si="89"/>
        <v>0</v>
      </c>
      <c r="Q109" s="18"/>
      <c r="R109" s="19">
        <f t="shared" si="90"/>
        <v>0</v>
      </c>
      <c r="S109" s="18"/>
      <c r="T109" s="19">
        <f t="shared" si="91"/>
        <v>0</v>
      </c>
      <c r="U109" s="18"/>
      <c r="V109" s="19">
        <f t="shared" si="114"/>
        <v>0</v>
      </c>
      <c r="W109" s="18"/>
      <c r="X109" s="19">
        <f t="shared" ref="X109:X110" si="129">(W109/12*1*$D109*$F109*$G109*$I109*X$11)+(W109/12*4*$E109*$F109*$G109*$I109*X$12)+(W109/12*7*$E109*$F109*$G109*$I109*X$13)</f>
        <v>0</v>
      </c>
      <c r="Y109" s="18"/>
      <c r="Z109" s="19">
        <f t="shared" si="109"/>
        <v>0</v>
      </c>
      <c r="AA109" s="18"/>
      <c r="AB109" s="19">
        <f t="shared" si="128"/>
        <v>0</v>
      </c>
      <c r="AC109" s="18"/>
      <c r="AD109" s="19">
        <f>(AC109/12*1*$D109*$F109*$G109*$H109*AD$11)+(AC109/12*11*$E109*$F109*$G109*$H109*AD$12)</f>
        <v>0</v>
      </c>
      <c r="AE109" s="25"/>
      <c r="AF109" s="19">
        <f>(AE109/12*1*$D109*$F109*$G109*$H109*AF$11)+(AE109/12*11*$E109*$F109*$G109*$H109*AF$12)</f>
        <v>0</v>
      </c>
      <c r="AG109" s="19">
        <f t="shared" si="94"/>
        <v>0</v>
      </c>
      <c r="AH109" s="20" t="e">
        <f t="shared" si="95"/>
        <v>#DIV/0!</v>
      </c>
      <c r="AI109" s="19"/>
      <c r="AJ109" s="19"/>
      <c r="AK109" s="18"/>
      <c r="AL109" s="19">
        <v>0</v>
      </c>
      <c r="AM109" s="18"/>
      <c r="AN109" s="19">
        <f>(AM109/12*1*$D109*$F109*$G109*$I109*AN$11)+(AM109/12*11*$E109*$F109*$G109*$I109*AN$12)</f>
        <v>0</v>
      </c>
    </row>
    <row r="110" spans="1:40" x14ac:dyDescent="0.25">
      <c r="A110" s="31"/>
      <c r="B110" s="26">
        <v>73</v>
      </c>
      <c r="C110" s="14" t="s">
        <v>147</v>
      </c>
      <c r="D110" s="15">
        <f t="shared" si="93"/>
        <v>10127</v>
      </c>
      <c r="E110" s="15">
        <v>10127</v>
      </c>
      <c r="F110" s="16">
        <v>4.3099999999999996</v>
      </c>
      <c r="G110" s="22">
        <v>1</v>
      </c>
      <c r="H110" s="15">
        <v>1.4</v>
      </c>
      <c r="I110" s="15">
        <v>1.68</v>
      </c>
      <c r="J110" s="15">
        <v>2.23</v>
      </c>
      <c r="K110" s="15">
        <v>2.39</v>
      </c>
      <c r="L110" s="17">
        <v>2.57</v>
      </c>
      <c r="M110" s="18"/>
      <c r="N110" s="19">
        <f>(M110/12*1*$D110*$F110*$G110*$I110*N$11)+(M110/12*11*$E110*$F110*$G110*$I110*N$12)</f>
        <v>0</v>
      </c>
      <c r="O110" s="18"/>
      <c r="P110" s="19">
        <f t="shared" si="89"/>
        <v>0</v>
      </c>
      <c r="Q110" s="18"/>
      <c r="R110" s="19">
        <f t="shared" si="90"/>
        <v>0</v>
      </c>
      <c r="S110" s="18"/>
      <c r="T110" s="19">
        <f t="shared" si="91"/>
        <v>0</v>
      </c>
      <c r="U110" s="18"/>
      <c r="V110" s="19">
        <f t="shared" si="114"/>
        <v>0</v>
      </c>
      <c r="W110" s="18"/>
      <c r="X110" s="19">
        <f t="shared" si="129"/>
        <v>0</v>
      </c>
      <c r="Y110" s="18"/>
      <c r="Z110" s="19">
        <f t="shared" si="109"/>
        <v>0</v>
      </c>
      <c r="AA110" s="18"/>
      <c r="AB110" s="19">
        <f t="shared" si="128"/>
        <v>0</v>
      </c>
      <c r="AC110" s="18"/>
      <c r="AD110" s="19">
        <f>(AC110/12*1*$D110*$F110*$G110*$H110*AD$11)+(AC110/12*11*$E110*$F110*$G110*$H110*AD$12)</f>
        <v>0</v>
      </c>
      <c r="AE110" s="25"/>
      <c r="AF110" s="19">
        <f>(AE110/12*1*$D110*$F110*$G110*$H110*AF$11)+(AE110/12*11*$E110*$F110*$G110*$H110*AF$12)</f>
        <v>0</v>
      </c>
      <c r="AG110" s="19">
        <f t="shared" si="94"/>
        <v>0</v>
      </c>
      <c r="AH110" s="20" t="e">
        <f t="shared" si="95"/>
        <v>#DIV/0!</v>
      </c>
      <c r="AI110" s="19">
        <v>0</v>
      </c>
      <c r="AJ110" s="19">
        <v>0</v>
      </c>
      <c r="AK110" s="18"/>
      <c r="AL110" s="19">
        <v>0</v>
      </c>
      <c r="AM110" s="18"/>
      <c r="AN110" s="19">
        <f>(AM110/12*1*$D110*$F110*$G110*$I110*AN$11)+(AM110/12*11*$E110*$F110*$G110*$I110*AN$12)</f>
        <v>0</v>
      </c>
    </row>
    <row r="111" spans="1:40" s="41" customFormat="1" x14ac:dyDescent="0.25">
      <c r="A111" s="31">
        <v>26</v>
      </c>
      <c r="B111" s="31"/>
      <c r="C111" s="32" t="s">
        <v>148</v>
      </c>
      <c r="D111" s="15">
        <f t="shared" si="93"/>
        <v>10127</v>
      </c>
      <c r="E111" s="15">
        <v>10127</v>
      </c>
      <c r="F111" s="36"/>
      <c r="G111" s="35"/>
      <c r="H111" s="33"/>
      <c r="I111" s="33"/>
      <c r="J111" s="33"/>
      <c r="K111" s="33"/>
      <c r="L111" s="17">
        <v>2.57</v>
      </c>
      <c r="M111" s="25">
        <f t="shared" ref="M111:U111" si="130">SUM(M112)</f>
        <v>0</v>
      </c>
      <c r="N111" s="25">
        <f t="shared" si="130"/>
        <v>0</v>
      </c>
      <c r="O111" s="25">
        <f t="shared" si="130"/>
        <v>0</v>
      </c>
      <c r="P111" s="25">
        <f t="shared" si="130"/>
        <v>0</v>
      </c>
      <c r="Q111" s="25">
        <f t="shared" si="130"/>
        <v>0</v>
      </c>
      <c r="R111" s="25">
        <f t="shared" si="130"/>
        <v>0</v>
      </c>
      <c r="S111" s="25">
        <f t="shared" si="130"/>
        <v>0</v>
      </c>
      <c r="T111" s="25">
        <f t="shared" si="130"/>
        <v>0</v>
      </c>
      <c r="U111" s="25">
        <f t="shared" si="130"/>
        <v>0</v>
      </c>
      <c r="V111" s="25">
        <f t="shared" ref="V111:AN111" si="131">SUM(V112)</f>
        <v>0</v>
      </c>
      <c r="W111" s="25">
        <f t="shared" si="131"/>
        <v>0</v>
      </c>
      <c r="X111" s="25">
        <f t="shared" si="131"/>
        <v>0</v>
      </c>
      <c r="Y111" s="25">
        <f t="shared" si="131"/>
        <v>0</v>
      </c>
      <c r="Z111" s="25">
        <f t="shared" si="131"/>
        <v>0</v>
      </c>
      <c r="AA111" s="25">
        <f t="shared" si="131"/>
        <v>0</v>
      </c>
      <c r="AB111" s="25">
        <f t="shared" si="131"/>
        <v>0</v>
      </c>
      <c r="AC111" s="25">
        <f t="shared" si="131"/>
        <v>0</v>
      </c>
      <c r="AD111" s="25">
        <f t="shared" si="131"/>
        <v>0</v>
      </c>
      <c r="AE111" s="25">
        <f t="shared" si="131"/>
        <v>0</v>
      </c>
      <c r="AF111" s="25">
        <f t="shared" si="131"/>
        <v>0</v>
      </c>
      <c r="AG111" s="25">
        <f t="shared" si="131"/>
        <v>0</v>
      </c>
      <c r="AH111" s="25" t="e">
        <f t="shared" si="131"/>
        <v>#DIV/0!</v>
      </c>
      <c r="AI111" s="25">
        <f t="shared" si="131"/>
        <v>0</v>
      </c>
      <c r="AJ111" s="25">
        <f t="shared" si="131"/>
        <v>0</v>
      </c>
      <c r="AK111" s="25">
        <v>0</v>
      </c>
      <c r="AL111" s="25">
        <v>0</v>
      </c>
      <c r="AM111" s="25">
        <f t="shared" ref="AM111" si="132">SUM(AM112)</f>
        <v>0</v>
      </c>
      <c r="AN111" s="25">
        <f t="shared" si="131"/>
        <v>0</v>
      </c>
    </row>
    <row r="112" spans="1:40" ht="45" x14ac:dyDescent="0.25">
      <c r="A112" s="31"/>
      <c r="B112" s="6">
        <v>74</v>
      </c>
      <c r="C112" s="14" t="s">
        <v>149</v>
      </c>
      <c r="D112" s="15">
        <f t="shared" si="93"/>
        <v>10127</v>
      </c>
      <c r="E112" s="15">
        <v>10127</v>
      </c>
      <c r="F112" s="16">
        <v>0.98</v>
      </c>
      <c r="G112" s="22">
        <v>1</v>
      </c>
      <c r="H112" s="15">
        <v>1.4</v>
      </c>
      <c r="I112" s="15">
        <v>1.68</v>
      </c>
      <c r="J112" s="15">
        <v>2.23</v>
      </c>
      <c r="K112" s="15">
        <v>2.39</v>
      </c>
      <c r="L112" s="17">
        <v>2.57</v>
      </c>
      <c r="M112" s="18"/>
      <c r="N112" s="19">
        <f>(M112/12*1*$D112*$F112*$G112*$I112*N$11)+(M112/12*11*$E112*$F112*$G112*$I112*N$12)</f>
        <v>0</v>
      </c>
      <c r="O112" s="18"/>
      <c r="P112" s="19">
        <f t="shared" si="89"/>
        <v>0</v>
      </c>
      <c r="Q112" s="18"/>
      <c r="R112" s="19">
        <f t="shared" si="90"/>
        <v>0</v>
      </c>
      <c r="S112" s="18"/>
      <c r="T112" s="19">
        <f t="shared" si="91"/>
        <v>0</v>
      </c>
      <c r="U112" s="18"/>
      <c r="V112" s="19">
        <f t="shared" si="114"/>
        <v>0</v>
      </c>
      <c r="W112" s="18"/>
      <c r="X112" s="19">
        <f t="shared" ref="X112" si="133">(W112/12*1*$D112*$F112*$G112*$I112*X$11)+(W112/12*4*$E112*$F112*$G112*$I112*X$12)+(W112/12*7*$E112*$F112*$G112*$I112*X$13)</f>
        <v>0</v>
      </c>
      <c r="Y112" s="18"/>
      <c r="Z112" s="19">
        <f t="shared" si="109"/>
        <v>0</v>
      </c>
      <c r="AA112" s="18"/>
      <c r="AB112" s="19">
        <f>(AA112/12*1*$D112*$F112*$G112*$I112*AB$11)+(AA112/12*11*$E112*$F112*$G112*$I112*AB$12)</f>
        <v>0</v>
      </c>
      <c r="AC112" s="18"/>
      <c r="AD112" s="19">
        <f>(AC112/12*1*$D112*$F112*$G112*$H112*AD$11)+(AC112/12*11*$E112*$F112*$G112*$H112*AD$12)</f>
        <v>0</v>
      </c>
      <c r="AE112" s="27"/>
      <c r="AF112" s="19">
        <f>(AE112/12*1*$D112*$F112*$G112*$H112*AF$11)+(AE112/12*11*$E112*$F112*$G112*$H112*AF$12)</f>
        <v>0</v>
      </c>
      <c r="AG112" s="19">
        <f t="shared" si="94"/>
        <v>0</v>
      </c>
      <c r="AH112" s="20" t="e">
        <f t="shared" si="95"/>
        <v>#DIV/0!</v>
      </c>
      <c r="AI112" s="19">
        <v>0</v>
      </c>
      <c r="AJ112" s="19">
        <v>0</v>
      </c>
      <c r="AK112" s="18"/>
      <c r="AL112" s="19">
        <v>0</v>
      </c>
      <c r="AM112" s="18"/>
      <c r="AN112" s="19">
        <f>(AM112/12*1*$D112*$F112*$G112*$I112*AN$11)+(AM112/12*11*$E112*$F112*$G112*$I112*AN$12)</f>
        <v>0</v>
      </c>
    </row>
    <row r="113" spans="1:40" s="41" customFormat="1" x14ac:dyDescent="0.25">
      <c r="A113" s="31">
        <v>27</v>
      </c>
      <c r="B113" s="31"/>
      <c r="C113" s="32" t="s">
        <v>150</v>
      </c>
      <c r="D113" s="15">
        <f t="shared" si="93"/>
        <v>10127</v>
      </c>
      <c r="E113" s="15">
        <v>10127</v>
      </c>
      <c r="F113" s="36"/>
      <c r="G113" s="35"/>
      <c r="H113" s="33"/>
      <c r="I113" s="33"/>
      <c r="J113" s="33"/>
      <c r="K113" s="33"/>
      <c r="L113" s="17">
        <v>2.57</v>
      </c>
      <c r="M113" s="25">
        <f t="shared" ref="M113:U113" si="134">SUM(M114)</f>
        <v>0</v>
      </c>
      <c r="N113" s="25">
        <f t="shared" si="134"/>
        <v>0</v>
      </c>
      <c r="O113" s="25">
        <f t="shared" si="134"/>
        <v>0</v>
      </c>
      <c r="P113" s="25">
        <f t="shared" si="134"/>
        <v>0</v>
      </c>
      <c r="Q113" s="25">
        <f t="shared" si="134"/>
        <v>1</v>
      </c>
      <c r="R113" s="25">
        <f t="shared" si="134"/>
        <v>8917.8361999999979</v>
      </c>
      <c r="S113" s="25">
        <f t="shared" si="134"/>
        <v>0</v>
      </c>
      <c r="T113" s="25">
        <f t="shared" si="134"/>
        <v>0</v>
      </c>
      <c r="U113" s="25">
        <f t="shared" si="134"/>
        <v>0</v>
      </c>
      <c r="V113" s="25">
        <f t="shared" ref="V113:AN113" si="135">SUM(V114)</f>
        <v>0</v>
      </c>
      <c r="W113" s="25">
        <f t="shared" si="135"/>
        <v>0</v>
      </c>
      <c r="X113" s="25">
        <f t="shared" si="135"/>
        <v>0</v>
      </c>
      <c r="Y113" s="25">
        <f t="shared" si="135"/>
        <v>8</v>
      </c>
      <c r="Z113" s="25">
        <f t="shared" si="135"/>
        <v>74140.44213333333</v>
      </c>
      <c r="AA113" s="25">
        <f t="shared" si="135"/>
        <v>0</v>
      </c>
      <c r="AB113" s="25">
        <f t="shared" si="135"/>
        <v>0</v>
      </c>
      <c r="AC113" s="25">
        <f t="shared" si="135"/>
        <v>0</v>
      </c>
      <c r="AD113" s="25">
        <f t="shared" si="135"/>
        <v>0</v>
      </c>
      <c r="AE113" s="25">
        <f t="shared" si="135"/>
        <v>0</v>
      </c>
      <c r="AF113" s="25">
        <f t="shared" si="135"/>
        <v>0</v>
      </c>
      <c r="AG113" s="25">
        <f t="shared" si="135"/>
        <v>0</v>
      </c>
      <c r="AH113" s="25" t="e">
        <f t="shared" si="135"/>
        <v>#DIV/0!</v>
      </c>
      <c r="AI113" s="25">
        <f t="shared" si="135"/>
        <v>0</v>
      </c>
      <c r="AJ113" s="25">
        <f t="shared" si="135"/>
        <v>0</v>
      </c>
      <c r="AK113" s="25">
        <v>0</v>
      </c>
      <c r="AL113" s="25">
        <v>0</v>
      </c>
      <c r="AM113" s="25">
        <f t="shared" ref="AM113" si="136">SUM(AM114)</f>
        <v>0</v>
      </c>
      <c r="AN113" s="25">
        <f t="shared" si="135"/>
        <v>0</v>
      </c>
    </row>
    <row r="114" spans="1:40" ht="30" x14ac:dyDescent="0.25">
      <c r="A114" s="31"/>
      <c r="B114" s="26">
        <v>75</v>
      </c>
      <c r="C114" s="23" t="s">
        <v>151</v>
      </c>
      <c r="D114" s="15">
        <f t="shared" si="93"/>
        <v>10127</v>
      </c>
      <c r="E114" s="15">
        <v>10127</v>
      </c>
      <c r="F114" s="21">
        <v>0.74</v>
      </c>
      <c r="G114" s="22">
        <v>1</v>
      </c>
      <c r="H114" s="15">
        <v>1.4</v>
      </c>
      <c r="I114" s="15">
        <v>1.68</v>
      </c>
      <c r="J114" s="15">
        <v>2.23</v>
      </c>
      <c r="K114" s="15">
        <v>2.39</v>
      </c>
      <c r="L114" s="17">
        <v>2.57</v>
      </c>
      <c r="M114" s="18"/>
      <c r="N114" s="19">
        <f>(M114/12*1*$D114*$F114*$G114*$I114*N$11)+(M114/12*11*$E114*$F114*$G114*$I114*N$12)</f>
        <v>0</v>
      </c>
      <c r="O114" s="18"/>
      <c r="P114" s="19">
        <f t="shared" si="89"/>
        <v>0</v>
      </c>
      <c r="Q114" s="18">
        <v>1</v>
      </c>
      <c r="R114" s="19">
        <f t="shared" si="90"/>
        <v>8917.8361999999979</v>
      </c>
      <c r="S114" s="18"/>
      <c r="T114" s="19">
        <f t="shared" si="91"/>
        <v>0</v>
      </c>
      <c r="U114" s="18"/>
      <c r="V114" s="19">
        <f t="shared" si="114"/>
        <v>0</v>
      </c>
      <c r="W114" s="18"/>
      <c r="X114" s="19">
        <f t="shared" ref="X114:X158" si="137">(W114/12*1*$D114*$F114*$G114*$I114*X$11)+(W114/12*4*$E114*$F114*$G114*$I114*X$12)+(W114/12*7*$E114*$F114*$G114*$I114*X$13)</f>
        <v>0</v>
      </c>
      <c r="Y114" s="18">
        <v>8</v>
      </c>
      <c r="Z114" s="19">
        <f t="shared" si="109"/>
        <v>74140.44213333333</v>
      </c>
      <c r="AA114" s="18"/>
      <c r="AB114" s="19">
        <f>(AA114/12*1*$D114*$F114*$G114*$I114*AB$11)+(AA114/12*11*$E114*$F114*$G114*$I114*AB$12)</f>
        <v>0</v>
      </c>
      <c r="AC114" s="18"/>
      <c r="AD114" s="19">
        <f>(AC114/12*1*$D114*$F114*$G114*$H114*AD$11)+(AC114/12*11*$E114*$F114*$G114*$H114*AD$12)</f>
        <v>0</v>
      </c>
      <c r="AE114" s="18"/>
      <c r="AF114" s="19">
        <f>(AE114/12*1*$D114*$F114*$G114*$H114*AF$11)+(AE114/12*11*$E114*$F114*$G114*$H114*AF$12)</f>
        <v>0</v>
      </c>
      <c r="AG114" s="19">
        <f t="shared" si="94"/>
        <v>0</v>
      </c>
      <c r="AH114" s="20" t="e">
        <f t="shared" si="95"/>
        <v>#DIV/0!</v>
      </c>
      <c r="AI114" s="19">
        <v>0</v>
      </c>
      <c r="AJ114" s="19">
        <v>0</v>
      </c>
      <c r="AK114" s="18"/>
      <c r="AL114" s="19">
        <v>0</v>
      </c>
      <c r="AM114" s="18"/>
      <c r="AN114" s="19">
        <f>(AM114/12*1*$D114*$F114*$G114*$I114*AN$11)+(AM114/12*11*$E114*$F114*$G114*$I114*AN$12)</f>
        <v>0</v>
      </c>
    </row>
    <row r="115" spans="1:40" s="41" customFormat="1" x14ac:dyDescent="0.25">
      <c r="A115" s="31">
        <v>28</v>
      </c>
      <c r="B115" s="31"/>
      <c r="C115" s="32" t="s">
        <v>152</v>
      </c>
      <c r="D115" s="15">
        <f t="shared" si="93"/>
        <v>10127</v>
      </c>
      <c r="E115" s="15">
        <v>10127</v>
      </c>
      <c r="F115" s="36">
        <v>2.09</v>
      </c>
      <c r="G115" s="35">
        <v>1</v>
      </c>
      <c r="H115" s="33">
        <v>1.4</v>
      </c>
      <c r="I115" s="33">
        <v>1.68</v>
      </c>
      <c r="J115" s="33">
        <v>2.23</v>
      </c>
      <c r="K115" s="33">
        <v>2.39</v>
      </c>
      <c r="L115" s="17">
        <v>2.57</v>
      </c>
      <c r="M115" s="25">
        <f t="shared" ref="M115:U115" si="138">SUM(M116)</f>
        <v>0</v>
      </c>
      <c r="N115" s="25">
        <f t="shared" si="138"/>
        <v>0</v>
      </c>
      <c r="O115" s="25">
        <f t="shared" si="138"/>
        <v>0</v>
      </c>
      <c r="P115" s="25">
        <f t="shared" si="138"/>
        <v>0</v>
      </c>
      <c r="Q115" s="25">
        <f t="shared" si="138"/>
        <v>0</v>
      </c>
      <c r="R115" s="25">
        <f t="shared" si="138"/>
        <v>0</v>
      </c>
      <c r="S115" s="25">
        <f t="shared" si="138"/>
        <v>0</v>
      </c>
      <c r="T115" s="25">
        <f t="shared" si="138"/>
        <v>0</v>
      </c>
      <c r="U115" s="25">
        <f t="shared" si="138"/>
        <v>0</v>
      </c>
      <c r="V115" s="25">
        <f t="shared" ref="V115:AN115" si="139">SUM(V116)</f>
        <v>0</v>
      </c>
      <c r="W115" s="25">
        <f t="shared" si="139"/>
        <v>0</v>
      </c>
      <c r="X115" s="25">
        <f t="shared" si="139"/>
        <v>0</v>
      </c>
      <c r="Y115" s="25">
        <f t="shared" si="139"/>
        <v>0</v>
      </c>
      <c r="Z115" s="25">
        <f t="shared" si="139"/>
        <v>0</v>
      </c>
      <c r="AA115" s="25">
        <f t="shared" si="139"/>
        <v>0</v>
      </c>
      <c r="AB115" s="25">
        <f t="shared" si="139"/>
        <v>0</v>
      </c>
      <c r="AC115" s="25">
        <f t="shared" si="139"/>
        <v>0</v>
      </c>
      <c r="AD115" s="25">
        <f t="shared" si="139"/>
        <v>0</v>
      </c>
      <c r="AE115" s="25">
        <f t="shared" si="139"/>
        <v>0</v>
      </c>
      <c r="AF115" s="25">
        <f t="shared" si="139"/>
        <v>0</v>
      </c>
      <c r="AG115" s="25">
        <f t="shared" si="139"/>
        <v>0</v>
      </c>
      <c r="AH115" s="25" t="e">
        <f t="shared" si="139"/>
        <v>#DIV/0!</v>
      </c>
      <c r="AI115" s="25">
        <f t="shared" si="139"/>
        <v>0</v>
      </c>
      <c r="AJ115" s="25">
        <f t="shared" si="139"/>
        <v>0</v>
      </c>
      <c r="AK115" s="25">
        <v>0</v>
      </c>
      <c r="AL115" s="25">
        <v>0</v>
      </c>
      <c r="AM115" s="25">
        <f t="shared" ref="AM115" si="140">SUM(AM116)</f>
        <v>0</v>
      </c>
      <c r="AN115" s="25">
        <f t="shared" si="139"/>
        <v>0</v>
      </c>
    </row>
    <row r="116" spans="1:40" ht="45" x14ac:dyDescent="0.25">
      <c r="A116" s="31"/>
      <c r="B116" s="6">
        <v>76</v>
      </c>
      <c r="C116" s="23" t="s">
        <v>153</v>
      </c>
      <c r="D116" s="15">
        <f t="shared" si="93"/>
        <v>10127</v>
      </c>
      <c r="E116" s="15">
        <v>10127</v>
      </c>
      <c r="F116" s="15">
        <v>1.32</v>
      </c>
      <c r="G116" s="22">
        <v>1</v>
      </c>
      <c r="H116" s="15">
        <v>1.4</v>
      </c>
      <c r="I116" s="15">
        <v>1.68</v>
      </c>
      <c r="J116" s="15">
        <v>2.23</v>
      </c>
      <c r="K116" s="15">
        <v>2.39</v>
      </c>
      <c r="L116" s="17">
        <v>2.57</v>
      </c>
      <c r="M116" s="18"/>
      <c r="N116" s="19">
        <f>(M116/12*1*$D116*$F116*$G116*$I116*N$11)+(M116/12*11*$E116*$F116*$G116*$I116*N$12)</f>
        <v>0</v>
      </c>
      <c r="O116" s="18"/>
      <c r="P116" s="19">
        <f t="shared" si="89"/>
        <v>0</v>
      </c>
      <c r="Q116" s="18"/>
      <c r="R116" s="19">
        <f t="shared" si="90"/>
        <v>0</v>
      </c>
      <c r="S116" s="18"/>
      <c r="T116" s="19">
        <f t="shared" si="91"/>
        <v>0</v>
      </c>
      <c r="U116" s="18"/>
      <c r="V116" s="19">
        <f t="shared" si="114"/>
        <v>0</v>
      </c>
      <c r="W116" s="18"/>
      <c r="X116" s="19">
        <f t="shared" si="137"/>
        <v>0</v>
      </c>
      <c r="Y116" s="18"/>
      <c r="Z116" s="19">
        <f t="shared" si="109"/>
        <v>0</v>
      </c>
      <c r="AA116" s="18"/>
      <c r="AB116" s="19">
        <f>(AA116/12*1*$D116*$F116*$G116*$I116*AB$11)+(AA116/12*11*$E116*$F116*$G116*$I116*AB$12)</f>
        <v>0</v>
      </c>
      <c r="AC116" s="18"/>
      <c r="AD116" s="19">
        <f>(AC116/12*1*$D116*$F116*$G116*$H116*AD$11)+(AC116/12*11*$E116*$F116*$G116*$H116*AD$12)</f>
        <v>0</v>
      </c>
      <c r="AE116" s="25"/>
      <c r="AF116" s="19">
        <f>(AE116/12*1*$D116*$F116*$G116*$H116*AF$11)+(AE116/12*11*$E116*$F116*$G116*$H116*AF$12)</f>
        <v>0</v>
      </c>
      <c r="AG116" s="19">
        <f t="shared" si="94"/>
        <v>0</v>
      </c>
      <c r="AH116" s="20" t="e">
        <f t="shared" si="95"/>
        <v>#DIV/0!</v>
      </c>
      <c r="AI116" s="19">
        <v>0</v>
      </c>
      <c r="AJ116" s="19">
        <v>0</v>
      </c>
      <c r="AK116" s="18"/>
      <c r="AL116" s="19">
        <v>0</v>
      </c>
      <c r="AM116" s="18"/>
      <c r="AN116" s="19">
        <f>(AM116/12*1*$D116*$F116*$G116*$I116*AN$11)+(AM116/12*11*$E116*$F116*$G116*$I116*AN$12)</f>
        <v>0</v>
      </c>
    </row>
    <row r="117" spans="1:40" s="41" customFormat="1" x14ac:dyDescent="0.25">
      <c r="A117" s="31">
        <v>29</v>
      </c>
      <c r="B117" s="31"/>
      <c r="C117" s="32" t="s">
        <v>154</v>
      </c>
      <c r="D117" s="15">
        <f t="shared" si="93"/>
        <v>10127</v>
      </c>
      <c r="E117" s="15">
        <v>10127</v>
      </c>
      <c r="F117" s="36"/>
      <c r="G117" s="35"/>
      <c r="H117" s="33"/>
      <c r="I117" s="33"/>
      <c r="J117" s="33"/>
      <c r="K117" s="33"/>
      <c r="L117" s="17">
        <v>2.57</v>
      </c>
      <c r="M117" s="25">
        <f t="shared" ref="M117:U117" si="141">SUM(M118:M121)</f>
        <v>227</v>
      </c>
      <c r="N117" s="25">
        <f t="shared" si="141"/>
        <v>4095685.6995600006</v>
      </c>
      <c r="O117" s="25">
        <f t="shared" si="141"/>
        <v>0</v>
      </c>
      <c r="P117" s="25">
        <f t="shared" si="141"/>
        <v>0</v>
      </c>
      <c r="Q117" s="25">
        <f t="shared" si="141"/>
        <v>886</v>
      </c>
      <c r="R117" s="25">
        <f t="shared" si="141"/>
        <v>11211166.239</v>
      </c>
      <c r="S117" s="25">
        <f t="shared" si="141"/>
        <v>0</v>
      </c>
      <c r="T117" s="25">
        <f t="shared" si="141"/>
        <v>0</v>
      </c>
      <c r="U117" s="25">
        <f t="shared" si="141"/>
        <v>60</v>
      </c>
      <c r="V117" s="25">
        <f t="shared" ref="V117:AN117" si="142">SUM(V118:V121)</f>
        <v>1098637.7220000001</v>
      </c>
      <c r="W117" s="25">
        <f t="shared" si="142"/>
        <v>22</v>
      </c>
      <c r="X117" s="25">
        <f t="shared" si="142"/>
        <v>415934.11859999993</v>
      </c>
      <c r="Y117" s="25">
        <f t="shared" si="142"/>
        <v>110</v>
      </c>
      <c r="Z117" s="25">
        <f t="shared" si="142"/>
        <v>1446490.0449999999</v>
      </c>
      <c r="AA117" s="25">
        <f t="shared" si="142"/>
        <v>18</v>
      </c>
      <c r="AB117" s="25">
        <f t="shared" si="142"/>
        <v>351992.80771200004</v>
      </c>
      <c r="AC117" s="25">
        <f t="shared" si="142"/>
        <v>24</v>
      </c>
      <c r="AD117" s="25">
        <f t="shared" si="142"/>
        <v>390329.01180000004</v>
      </c>
      <c r="AE117" s="25">
        <f t="shared" si="142"/>
        <v>420</v>
      </c>
      <c r="AF117" s="25">
        <f t="shared" si="142"/>
        <v>7253614.13595</v>
      </c>
      <c r="AG117" s="25">
        <f t="shared" si="142"/>
        <v>339</v>
      </c>
      <c r="AH117" s="25" t="e">
        <f t="shared" si="142"/>
        <v>#DIV/0!</v>
      </c>
      <c r="AI117" s="25">
        <f t="shared" si="142"/>
        <v>113</v>
      </c>
      <c r="AJ117" s="25">
        <f t="shared" si="142"/>
        <v>1805068.6599999997</v>
      </c>
      <c r="AK117" s="25">
        <v>44</v>
      </c>
      <c r="AL117" s="25">
        <v>1152825.2735999997</v>
      </c>
      <c r="AM117" s="25">
        <f t="shared" ref="AM117" si="143">SUM(AM118:AM121)</f>
        <v>18</v>
      </c>
      <c r="AN117" s="25">
        <f t="shared" si="142"/>
        <v>476969.54759999999</v>
      </c>
    </row>
    <row r="118" spans="1:40" ht="30" x14ac:dyDescent="0.25">
      <c r="A118" s="31"/>
      <c r="B118" s="26">
        <v>77</v>
      </c>
      <c r="C118" s="14" t="s">
        <v>155</v>
      </c>
      <c r="D118" s="15">
        <f t="shared" si="93"/>
        <v>10127</v>
      </c>
      <c r="E118" s="15">
        <v>10127</v>
      </c>
      <c r="F118" s="16">
        <v>1.44</v>
      </c>
      <c r="G118" s="22">
        <v>1</v>
      </c>
      <c r="H118" s="15">
        <v>1.4</v>
      </c>
      <c r="I118" s="15">
        <v>1.68</v>
      </c>
      <c r="J118" s="15">
        <v>2.23</v>
      </c>
      <c r="K118" s="15">
        <v>2.39</v>
      </c>
      <c r="L118" s="17">
        <v>2.57</v>
      </c>
      <c r="M118" s="18"/>
      <c r="N118" s="19">
        <f>(M118/12*1*$D118*$F118*$G118*$I118*N$11)+(M118/12*11*$E118*$F118*$G118*$I118*N$12)</f>
        <v>0</v>
      </c>
      <c r="O118" s="18"/>
      <c r="P118" s="19">
        <f t="shared" si="89"/>
        <v>0</v>
      </c>
      <c r="Q118" s="18"/>
      <c r="R118" s="19">
        <f t="shared" si="90"/>
        <v>0</v>
      </c>
      <c r="S118" s="18"/>
      <c r="T118" s="19">
        <f t="shared" si="91"/>
        <v>0</v>
      </c>
      <c r="U118" s="18"/>
      <c r="V118" s="19">
        <f t="shared" si="114"/>
        <v>0</v>
      </c>
      <c r="W118" s="18"/>
      <c r="X118" s="19">
        <f t="shared" si="137"/>
        <v>0</v>
      </c>
      <c r="Y118" s="18"/>
      <c r="Z118" s="19">
        <f t="shared" si="109"/>
        <v>0</v>
      </c>
      <c r="AA118" s="18"/>
      <c r="AB118" s="19">
        <f t="shared" ref="AB118:AB121" si="144">(AA118/12*1*$D118*$F118*$G118*$I118*AB$11)+(AA118/12*11*$E118*$F118*$G118*$I118*AB$12)</f>
        <v>0</v>
      </c>
      <c r="AC118" s="18"/>
      <c r="AD118" s="19">
        <f>(AC118/12*1*$D118*$F118*$G118*$H118*AD$11)+(AC118/12*11*$E118*$F118*$G118*$H118*AD$12)</f>
        <v>0</v>
      </c>
      <c r="AE118" s="18">
        <f>30+40</f>
        <v>70</v>
      </c>
      <c r="AF118" s="19">
        <f>(AE118/12*1*$D118*$F118*$G118*$H118*AF$11)+(AE118/12*11*$E118*$F118*$G118*$H118*AF$12)</f>
        <v>1561316.0471999997</v>
      </c>
      <c r="AG118" s="19">
        <f t="shared" si="94"/>
        <v>9</v>
      </c>
      <c r="AH118" s="20">
        <f t="shared" si="95"/>
        <v>12.857142857142856</v>
      </c>
      <c r="AI118" s="19">
        <v>3</v>
      </c>
      <c r="AJ118" s="19">
        <v>63700.539999999994</v>
      </c>
      <c r="AK118" s="18"/>
      <c r="AL118" s="19">
        <v>0</v>
      </c>
      <c r="AM118" s="18"/>
      <c r="AN118" s="19">
        <f>(AM118/12*1*$D118*$F118*$G118*$I118*AN$11)+(AM118/12*11*$E118*$F118*$G118*$I118*AN$12)</f>
        <v>0</v>
      </c>
    </row>
    <row r="119" spans="1:40" ht="30" x14ac:dyDescent="0.25">
      <c r="A119" s="31"/>
      <c r="B119" s="26">
        <v>78</v>
      </c>
      <c r="C119" s="14" t="s">
        <v>156</v>
      </c>
      <c r="D119" s="15">
        <f t="shared" si="93"/>
        <v>10127</v>
      </c>
      <c r="E119" s="15">
        <v>10127</v>
      </c>
      <c r="F119" s="16">
        <v>1.69</v>
      </c>
      <c r="G119" s="22">
        <v>1</v>
      </c>
      <c r="H119" s="15">
        <v>1.4</v>
      </c>
      <c r="I119" s="15">
        <v>1.68</v>
      </c>
      <c r="J119" s="15">
        <v>2.23</v>
      </c>
      <c r="K119" s="15">
        <v>2.39</v>
      </c>
      <c r="L119" s="17">
        <v>2.57</v>
      </c>
      <c r="M119" s="18"/>
      <c r="N119" s="19">
        <f>(M119/12*1*$D119*$F119*$G119*$I119*N$11)+(M119/12*11*$E119*$F119*$G119*$I119*N$12)</f>
        <v>0</v>
      </c>
      <c r="O119" s="18"/>
      <c r="P119" s="19">
        <f t="shared" si="89"/>
        <v>0</v>
      </c>
      <c r="Q119" s="18"/>
      <c r="R119" s="19">
        <f t="shared" si="90"/>
        <v>0</v>
      </c>
      <c r="S119" s="18"/>
      <c r="T119" s="19">
        <f t="shared" si="91"/>
        <v>0</v>
      </c>
      <c r="U119" s="18"/>
      <c r="V119" s="19">
        <f t="shared" si="114"/>
        <v>0</v>
      </c>
      <c r="W119" s="18"/>
      <c r="X119" s="19">
        <f t="shared" si="137"/>
        <v>0</v>
      </c>
      <c r="Y119" s="18"/>
      <c r="Z119" s="19">
        <f t="shared" si="109"/>
        <v>0</v>
      </c>
      <c r="AA119" s="18"/>
      <c r="AB119" s="19">
        <f t="shared" si="144"/>
        <v>0</v>
      </c>
      <c r="AC119" s="18"/>
      <c r="AD119" s="19">
        <f>(AC119/12*1*$D119*$F119*$G119*$H119*AD$11)+(AC119/12*11*$E119*$F119*$G119*$H119*AD$12)</f>
        <v>0</v>
      </c>
      <c r="AE119" s="25"/>
      <c r="AF119" s="19">
        <f>(AE119/12*1*$D119*$F119*$G119*$H119*AF$11)+(AE119/12*11*$E119*$F119*$G119*$H119*AF$12)</f>
        <v>0</v>
      </c>
      <c r="AG119" s="19">
        <f t="shared" si="94"/>
        <v>0</v>
      </c>
      <c r="AH119" s="20" t="e">
        <f t="shared" si="95"/>
        <v>#DIV/0!</v>
      </c>
      <c r="AI119" s="19"/>
      <c r="AJ119" s="19"/>
      <c r="AK119" s="18"/>
      <c r="AL119" s="19">
        <v>0</v>
      </c>
      <c r="AM119" s="18"/>
      <c r="AN119" s="19">
        <f>(AM119/12*1*$D119*$F119*$G119*$I119*AN$11)+(AM119/12*11*$E119*$F119*$G119*$I119*AN$12)</f>
        <v>0</v>
      </c>
    </row>
    <row r="120" spans="1:40" ht="30" x14ac:dyDescent="0.25">
      <c r="A120" s="31"/>
      <c r="B120" s="26">
        <v>79</v>
      </c>
      <c r="C120" s="14" t="s">
        <v>157</v>
      </c>
      <c r="D120" s="15">
        <f t="shared" si="93"/>
        <v>10127</v>
      </c>
      <c r="E120" s="15">
        <v>10127</v>
      </c>
      <c r="F120" s="16">
        <v>2.4900000000000002</v>
      </c>
      <c r="G120" s="22">
        <v>1</v>
      </c>
      <c r="H120" s="15">
        <v>1.4</v>
      </c>
      <c r="I120" s="15">
        <v>1.68</v>
      </c>
      <c r="J120" s="15">
        <v>2.23</v>
      </c>
      <c r="K120" s="15">
        <v>2.39</v>
      </c>
      <c r="L120" s="17">
        <v>2.57</v>
      </c>
      <c r="M120" s="18"/>
      <c r="N120" s="19">
        <f>(M120/12*1*$D120*$F120*$G120*$I120*N$11)+(M120/12*11*$E120*$F120*$G120*$I120*N$12)</f>
        <v>0</v>
      </c>
      <c r="O120" s="18"/>
      <c r="P120" s="19">
        <f t="shared" si="89"/>
        <v>0</v>
      </c>
      <c r="Q120" s="18"/>
      <c r="R120" s="19">
        <f t="shared" si="90"/>
        <v>0</v>
      </c>
      <c r="S120" s="18"/>
      <c r="T120" s="19">
        <f t="shared" si="91"/>
        <v>0</v>
      </c>
      <c r="U120" s="18"/>
      <c r="V120" s="19">
        <f t="shared" si="114"/>
        <v>0</v>
      </c>
      <c r="W120" s="18"/>
      <c r="X120" s="19">
        <f t="shared" si="137"/>
        <v>0</v>
      </c>
      <c r="Y120" s="18"/>
      <c r="Z120" s="19">
        <f t="shared" si="109"/>
        <v>0</v>
      </c>
      <c r="AA120" s="18"/>
      <c r="AB120" s="19">
        <f t="shared" si="144"/>
        <v>0</v>
      </c>
      <c r="AC120" s="18"/>
      <c r="AD120" s="19">
        <f>(AC120/12*1*$D120*$F120*$G120*$H120*AD$11)+(AC120/12*11*$E120*$F120*$G120*$H120*AD$12)</f>
        <v>0</v>
      </c>
      <c r="AE120" s="25"/>
      <c r="AF120" s="19">
        <f>(AE120/12*1*$D120*$F120*$G120*$H120*AF$11)+(AE120/12*11*$E120*$F120*$G120*$H120*AF$12)</f>
        <v>0</v>
      </c>
      <c r="AG120" s="19">
        <f t="shared" si="94"/>
        <v>0</v>
      </c>
      <c r="AH120" s="20" t="e">
        <f t="shared" si="95"/>
        <v>#DIV/0!</v>
      </c>
      <c r="AI120" s="19">
        <v>0</v>
      </c>
      <c r="AJ120" s="19">
        <v>0</v>
      </c>
      <c r="AK120" s="18"/>
      <c r="AL120" s="19">
        <v>0</v>
      </c>
      <c r="AM120" s="18"/>
      <c r="AN120" s="19">
        <f>(AM120/12*1*$D120*$F120*$G120*$I120*AN$11)+(AM120/12*11*$E120*$F120*$G120*$I120*AN$12)</f>
        <v>0</v>
      </c>
    </row>
    <row r="121" spans="1:40" ht="30" x14ac:dyDescent="0.25">
      <c r="A121" s="31"/>
      <c r="B121" s="26">
        <v>80</v>
      </c>
      <c r="C121" s="14" t="s">
        <v>158</v>
      </c>
      <c r="D121" s="15">
        <f t="shared" si="93"/>
        <v>10127</v>
      </c>
      <c r="E121" s="15">
        <v>10127</v>
      </c>
      <c r="F121" s="16">
        <v>1.05</v>
      </c>
      <c r="G121" s="22">
        <v>1</v>
      </c>
      <c r="H121" s="15">
        <v>1.4</v>
      </c>
      <c r="I121" s="15">
        <v>1.68</v>
      </c>
      <c r="J121" s="15">
        <v>2.23</v>
      </c>
      <c r="K121" s="15">
        <v>2.39</v>
      </c>
      <c r="L121" s="17">
        <v>2.57</v>
      </c>
      <c r="M121" s="18">
        <f>10+217</f>
        <v>227</v>
      </c>
      <c r="N121" s="19">
        <f>(M121/12*1*$D121*$F121*$G121*$I121*N$11)+(M121/12*11*$E121*$F121*$G121*$I121*N$12)</f>
        <v>4095685.6995600006</v>
      </c>
      <c r="O121" s="18"/>
      <c r="P121" s="19">
        <f t="shared" si="89"/>
        <v>0</v>
      </c>
      <c r="Q121" s="18">
        <v>886</v>
      </c>
      <c r="R121" s="19">
        <f t="shared" si="90"/>
        <v>11211166.239</v>
      </c>
      <c r="S121" s="18"/>
      <c r="T121" s="19">
        <f t="shared" si="91"/>
        <v>0</v>
      </c>
      <c r="U121" s="18">
        <v>60</v>
      </c>
      <c r="V121" s="19">
        <f t="shared" si="114"/>
        <v>1098637.7220000001</v>
      </c>
      <c r="W121" s="18">
        <v>22</v>
      </c>
      <c r="X121" s="19">
        <f t="shared" si="137"/>
        <v>415934.11859999993</v>
      </c>
      <c r="Y121" s="18">
        <v>110</v>
      </c>
      <c r="Z121" s="19">
        <f t="shared" si="109"/>
        <v>1446490.0449999999</v>
      </c>
      <c r="AA121" s="18">
        <f>22-4</f>
        <v>18</v>
      </c>
      <c r="AB121" s="19">
        <f t="shared" si="144"/>
        <v>351992.80771200004</v>
      </c>
      <c r="AC121" s="18">
        <f>16+8</f>
        <v>24</v>
      </c>
      <c r="AD121" s="19">
        <f>(AC121/12*1*$D121*$F121*$G121*$H121*AD$11)+(AC121/12*11*$E121*$F121*$G121*$H121*AD$12)</f>
        <v>390329.01180000004</v>
      </c>
      <c r="AE121" s="18">
        <f>149+201</f>
        <v>350</v>
      </c>
      <c r="AF121" s="19">
        <f>(AE121/12*1*$D121*$F121*$G121*$H121*AF$11)+(AE121/12*11*$E121*$F121*$G121*$H121*AF$12)</f>
        <v>5692298.0887500001</v>
      </c>
      <c r="AG121" s="19">
        <f t="shared" si="94"/>
        <v>330</v>
      </c>
      <c r="AH121" s="20">
        <f t="shared" si="95"/>
        <v>94.285714285714278</v>
      </c>
      <c r="AI121" s="19">
        <v>110</v>
      </c>
      <c r="AJ121" s="19">
        <v>1741368.1199999996</v>
      </c>
      <c r="AK121" s="18">
        <v>44</v>
      </c>
      <c r="AL121" s="19">
        <v>1152825.2735999997</v>
      </c>
      <c r="AM121" s="18">
        <v>18</v>
      </c>
      <c r="AN121" s="19">
        <f>(AM121/12*1*$D121*$F121*$G121*$I121*AN$11)+(AM121/12*11*$E121*$F121*$G121*$I121*AN$12)</f>
        <v>476969.54759999999</v>
      </c>
    </row>
    <row r="122" spans="1:40" s="41" customFormat="1" x14ac:dyDescent="0.25">
      <c r="A122" s="31">
        <v>30</v>
      </c>
      <c r="B122" s="31"/>
      <c r="C122" s="32" t="s">
        <v>159</v>
      </c>
      <c r="D122" s="15">
        <f t="shared" si="93"/>
        <v>10127</v>
      </c>
      <c r="E122" s="15">
        <v>10127</v>
      </c>
      <c r="F122" s="36"/>
      <c r="G122" s="35"/>
      <c r="H122" s="33"/>
      <c r="I122" s="33"/>
      <c r="J122" s="33"/>
      <c r="K122" s="33"/>
      <c r="L122" s="17">
        <v>2.57</v>
      </c>
      <c r="M122" s="25">
        <f t="shared" ref="M122:U122" si="145">SUM(M123:M128)</f>
        <v>14</v>
      </c>
      <c r="N122" s="25">
        <f t="shared" si="145"/>
        <v>192455.12832000002</v>
      </c>
      <c r="O122" s="25">
        <f t="shared" si="145"/>
        <v>0</v>
      </c>
      <c r="P122" s="25">
        <f t="shared" si="145"/>
        <v>0</v>
      </c>
      <c r="Q122" s="25">
        <f t="shared" si="145"/>
        <v>0</v>
      </c>
      <c r="R122" s="25">
        <f t="shared" si="145"/>
        <v>0</v>
      </c>
      <c r="S122" s="25">
        <f t="shared" si="145"/>
        <v>0</v>
      </c>
      <c r="T122" s="25">
        <f t="shared" si="145"/>
        <v>0</v>
      </c>
      <c r="U122" s="25">
        <f t="shared" si="145"/>
        <v>0</v>
      </c>
      <c r="V122" s="25">
        <f t="shared" ref="V122:AN122" si="146">SUM(V123:V128)</f>
        <v>0</v>
      </c>
      <c r="W122" s="25">
        <f t="shared" si="146"/>
        <v>0</v>
      </c>
      <c r="X122" s="25">
        <f t="shared" si="146"/>
        <v>0</v>
      </c>
      <c r="Y122" s="25">
        <f t="shared" si="146"/>
        <v>0</v>
      </c>
      <c r="Z122" s="25">
        <f t="shared" si="146"/>
        <v>0</v>
      </c>
      <c r="AA122" s="25">
        <f t="shared" si="146"/>
        <v>0</v>
      </c>
      <c r="AB122" s="25">
        <f t="shared" si="146"/>
        <v>0</v>
      </c>
      <c r="AC122" s="25">
        <f t="shared" si="146"/>
        <v>0</v>
      </c>
      <c r="AD122" s="25">
        <f t="shared" si="146"/>
        <v>0</v>
      </c>
      <c r="AE122" s="25">
        <f t="shared" si="146"/>
        <v>0</v>
      </c>
      <c r="AF122" s="25">
        <f t="shared" si="146"/>
        <v>0</v>
      </c>
      <c r="AG122" s="25">
        <f t="shared" si="146"/>
        <v>0</v>
      </c>
      <c r="AH122" s="25" t="e">
        <f t="shared" si="146"/>
        <v>#DIV/0!</v>
      </c>
      <c r="AI122" s="25">
        <f t="shared" si="146"/>
        <v>0</v>
      </c>
      <c r="AJ122" s="25">
        <f t="shared" si="146"/>
        <v>0</v>
      </c>
      <c r="AK122" s="25">
        <v>0</v>
      </c>
      <c r="AL122" s="25">
        <v>0</v>
      </c>
      <c r="AM122" s="25">
        <f t="shared" ref="AM122" si="147">SUM(AM123:AM128)</f>
        <v>0</v>
      </c>
      <c r="AN122" s="25">
        <f t="shared" si="146"/>
        <v>0</v>
      </c>
    </row>
    <row r="123" spans="1:40" ht="45" x14ac:dyDescent="0.25">
      <c r="A123" s="31"/>
      <c r="B123" s="26">
        <v>81</v>
      </c>
      <c r="C123" s="14" t="s">
        <v>160</v>
      </c>
      <c r="D123" s="15">
        <f t="shared" si="93"/>
        <v>10127</v>
      </c>
      <c r="E123" s="15">
        <v>10127</v>
      </c>
      <c r="F123" s="16">
        <v>0.8</v>
      </c>
      <c r="G123" s="22">
        <v>1</v>
      </c>
      <c r="H123" s="15">
        <v>1.4</v>
      </c>
      <c r="I123" s="15">
        <v>1.68</v>
      </c>
      <c r="J123" s="15">
        <v>2.23</v>
      </c>
      <c r="K123" s="15">
        <v>2.39</v>
      </c>
      <c r="L123" s="17">
        <v>2.57</v>
      </c>
      <c r="M123" s="18">
        <v>14</v>
      </c>
      <c r="N123" s="19">
        <f t="shared" ref="N123:N128" si="148">(M123/12*1*$D123*$F123*$G123*$I123*N$11)+(M123/12*11*$E123*$F123*$G123*$I123*N$12)</f>
        <v>192455.12832000002</v>
      </c>
      <c r="O123" s="18"/>
      <c r="P123" s="19">
        <f t="shared" si="89"/>
        <v>0</v>
      </c>
      <c r="Q123" s="18"/>
      <c r="R123" s="19">
        <f t="shared" si="90"/>
        <v>0</v>
      </c>
      <c r="S123" s="18"/>
      <c r="T123" s="19">
        <f t="shared" si="91"/>
        <v>0</v>
      </c>
      <c r="U123" s="18"/>
      <c r="V123" s="19">
        <f t="shared" si="114"/>
        <v>0</v>
      </c>
      <c r="W123" s="18"/>
      <c r="X123" s="19">
        <f t="shared" si="137"/>
        <v>0</v>
      </c>
      <c r="Y123" s="18"/>
      <c r="Z123" s="19">
        <f t="shared" si="109"/>
        <v>0</v>
      </c>
      <c r="AA123" s="18"/>
      <c r="AB123" s="19">
        <f t="shared" ref="AB123:AB128" si="149">(AA123/12*1*$D123*$F123*$G123*$I123*AB$11)+(AA123/12*11*$E123*$F123*$G123*$I123*AB$12)</f>
        <v>0</v>
      </c>
      <c r="AC123" s="18"/>
      <c r="AD123" s="19">
        <f t="shared" ref="AD123:AD128" si="150">(AC123/12*1*$D123*$F123*$G123*$H123*AD$11)+(AC123/12*11*$E123*$F123*$G123*$H123*AD$12)</f>
        <v>0</v>
      </c>
      <c r="AE123" s="18"/>
      <c r="AF123" s="19">
        <f t="shared" ref="AF123:AF128" si="151">(AE123/12*1*$D123*$F123*$G123*$H123*AF$11)+(AE123/12*11*$E123*$F123*$G123*$H123*AF$12)</f>
        <v>0</v>
      </c>
      <c r="AG123" s="19">
        <f t="shared" si="94"/>
        <v>0</v>
      </c>
      <c r="AH123" s="20" t="e">
        <f t="shared" si="95"/>
        <v>#DIV/0!</v>
      </c>
      <c r="AI123" s="19">
        <v>0</v>
      </c>
      <c r="AJ123" s="19">
        <v>0</v>
      </c>
      <c r="AK123" s="18"/>
      <c r="AL123" s="19">
        <v>0</v>
      </c>
      <c r="AM123" s="18"/>
      <c r="AN123" s="19">
        <f t="shared" ref="AN123:AN128" si="152">(AM123/12*1*$D123*$F123*$G123*$I123*AN$11)+(AM123/12*11*$E123*$F123*$G123*$I123*AN$12)</f>
        <v>0</v>
      </c>
    </row>
    <row r="124" spans="1:40" ht="30" x14ac:dyDescent="0.25">
      <c r="A124" s="31"/>
      <c r="B124" s="26">
        <v>82</v>
      </c>
      <c r="C124" s="23" t="s">
        <v>161</v>
      </c>
      <c r="D124" s="15">
        <f t="shared" si="93"/>
        <v>10127</v>
      </c>
      <c r="E124" s="15">
        <v>10127</v>
      </c>
      <c r="F124" s="16">
        <v>2.1800000000000002</v>
      </c>
      <c r="G124" s="22">
        <v>1</v>
      </c>
      <c r="H124" s="15">
        <v>1.4</v>
      </c>
      <c r="I124" s="15">
        <v>1.68</v>
      </c>
      <c r="J124" s="15">
        <v>2.23</v>
      </c>
      <c r="K124" s="15">
        <v>2.39</v>
      </c>
      <c r="L124" s="17">
        <v>2.57</v>
      </c>
      <c r="M124" s="18"/>
      <c r="N124" s="19">
        <f t="shared" si="148"/>
        <v>0</v>
      </c>
      <c r="O124" s="18"/>
      <c r="P124" s="19">
        <f t="shared" si="89"/>
        <v>0</v>
      </c>
      <c r="Q124" s="18"/>
      <c r="R124" s="19">
        <f t="shared" si="90"/>
        <v>0</v>
      </c>
      <c r="S124" s="18"/>
      <c r="T124" s="19">
        <f t="shared" si="91"/>
        <v>0</v>
      </c>
      <c r="U124" s="18"/>
      <c r="V124" s="19">
        <f t="shared" si="114"/>
        <v>0</v>
      </c>
      <c r="W124" s="18"/>
      <c r="X124" s="19">
        <f t="shared" si="137"/>
        <v>0</v>
      </c>
      <c r="Y124" s="18"/>
      <c r="Z124" s="19">
        <f t="shared" si="109"/>
        <v>0</v>
      </c>
      <c r="AA124" s="18"/>
      <c r="AB124" s="19">
        <f t="shared" si="149"/>
        <v>0</v>
      </c>
      <c r="AC124" s="18"/>
      <c r="AD124" s="19">
        <f t="shared" si="150"/>
        <v>0</v>
      </c>
      <c r="AE124" s="25"/>
      <c r="AF124" s="19">
        <f t="shared" si="151"/>
        <v>0</v>
      </c>
      <c r="AG124" s="19">
        <f t="shared" si="94"/>
        <v>0</v>
      </c>
      <c r="AH124" s="20" t="e">
        <f t="shared" si="95"/>
        <v>#DIV/0!</v>
      </c>
      <c r="AI124" s="19">
        <v>0</v>
      </c>
      <c r="AJ124" s="19">
        <v>0</v>
      </c>
      <c r="AK124" s="18"/>
      <c r="AL124" s="19">
        <v>0</v>
      </c>
      <c r="AM124" s="18"/>
      <c r="AN124" s="19">
        <f t="shared" si="152"/>
        <v>0</v>
      </c>
    </row>
    <row r="125" spans="1:40" ht="30" x14ac:dyDescent="0.25">
      <c r="A125" s="31"/>
      <c r="B125" s="26">
        <v>83</v>
      </c>
      <c r="C125" s="23" t="s">
        <v>162</v>
      </c>
      <c r="D125" s="15">
        <f t="shared" si="93"/>
        <v>10127</v>
      </c>
      <c r="E125" s="15">
        <v>10127</v>
      </c>
      <c r="F125" s="16">
        <v>2.58</v>
      </c>
      <c r="G125" s="22">
        <v>1</v>
      </c>
      <c r="H125" s="15">
        <v>1.4</v>
      </c>
      <c r="I125" s="15">
        <v>1.68</v>
      </c>
      <c r="J125" s="15">
        <v>2.23</v>
      </c>
      <c r="K125" s="15">
        <v>2.39</v>
      </c>
      <c r="L125" s="17">
        <v>2.57</v>
      </c>
      <c r="M125" s="18"/>
      <c r="N125" s="19">
        <f t="shared" si="148"/>
        <v>0</v>
      </c>
      <c r="O125" s="18"/>
      <c r="P125" s="19">
        <f t="shared" si="89"/>
        <v>0</v>
      </c>
      <c r="Q125" s="18"/>
      <c r="R125" s="19">
        <f t="shared" si="90"/>
        <v>0</v>
      </c>
      <c r="S125" s="18"/>
      <c r="T125" s="19">
        <f t="shared" si="91"/>
        <v>0</v>
      </c>
      <c r="U125" s="18"/>
      <c r="V125" s="19">
        <f t="shared" si="114"/>
        <v>0</v>
      </c>
      <c r="W125" s="18"/>
      <c r="X125" s="19">
        <f t="shared" si="137"/>
        <v>0</v>
      </c>
      <c r="Y125" s="18"/>
      <c r="Z125" s="19">
        <f t="shared" si="109"/>
        <v>0</v>
      </c>
      <c r="AA125" s="18"/>
      <c r="AB125" s="19">
        <f t="shared" si="149"/>
        <v>0</v>
      </c>
      <c r="AC125" s="18"/>
      <c r="AD125" s="19">
        <f t="shared" si="150"/>
        <v>0</v>
      </c>
      <c r="AE125" s="25"/>
      <c r="AF125" s="19">
        <f t="shared" si="151"/>
        <v>0</v>
      </c>
      <c r="AG125" s="19">
        <f t="shared" si="94"/>
        <v>0</v>
      </c>
      <c r="AH125" s="20" t="e">
        <f t="shared" si="95"/>
        <v>#DIV/0!</v>
      </c>
      <c r="AI125" s="19"/>
      <c r="AJ125" s="19"/>
      <c r="AK125" s="18"/>
      <c r="AL125" s="19">
        <v>0</v>
      </c>
      <c r="AM125" s="18"/>
      <c r="AN125" s="19">
        <f t="shared" si="152"/>
        <v>0</v>
      </c>
    </row>
    <row r="126" spans="1:40" ht="45" x14ac:dyDescent="0.25">
      <c r="A126" s="31"/>
      <c r="B126" s="26">
        <v>84</v>
      </c>
      <c r="C126" s="23" t="s">
        <v>163</v>
      </c>
      <c r="D126" s="15">
        <f t="shared" si="93"/>
        <v>10127</v>
      </c>
      <c r="E126" s="15">
        <v>10127</v>
      </c>
      <c r="F126" s="16">
        <v>1.97</v>
      </c>
      <c r="G126" s="22">
        <v>1</v>
      </c>
      <c r="H126" s="15">
        <v>1.4</v>
      </c>
      <c r="I126" s="15">
        <v>1.68</v>
      </c>
      <c r="J126" s="15">
        <v>2.23</v>
      </c>
      <c r="K126" s="15">
        <v>2.39</v>
      </c>
      <c r="L126" s="17">
        <v>2.57</v>
      </c>
      <c r="M126" s="18"/>
      <c r="N126" s="19">
        <f t="shared" si="148"/>
        <v>0</v>
      </c>
      <c r="O126" s="18"/>
      <c r="P126" s="19">
        <f t="shared" si="89"/>
        <v>0</v>
      </c>
      <c r="Q126" s="18"/>
      <c r="R126" s="19">
        <f t="shared" si="90"/>
        <v>0</v>
      </c>
      <c r="S126" s="18"/>
      <c r="T126" s="19">
        <f t="shared" si="91"/>
        <v>0</v>
      </c>
      <c r="U126" s="18"/>
      <c r="V126" s="19">
        <f t="shared" si="114"/>
        <v>0</v>
      </c>
      <c r="W126" s="18"/>
      <c r="X126" s="19">
        <f t="shared" si="137"/>
        <v>0</v>
      </c>
      <c r="Y126" s="18"/>
      <c r="Z126" s="19">
        <f t="shared" si="109"/>
        <v>0</v>
      </c>
      <c r="AA126" s="18"/>
      <c r="AB126" s="19">
        <f t="shared" si="149"/>
        <v>0</v>
      </c>
      <c r="AC126" s="18"/>
      <c r="AD126" s="19">
        <f t="shared" si="150"/>
        <v>0</v>
      </c>
      <c r="AE126" s="25"/>
      <c r="AF126" s="19">
        <f t="shared" si="151"/>
        <v>0</v>
      </c>
      <c r="AG126" s="19">
        <f t="shared" si="94"/>
        <v>0</v>
      </c>
      <c r="AH126" s="20" t="e">
        <f t="shared" si="95"/>
        <v>#DIV/0!</v>
      </c>
      <c r="AI126" s="19">
        <v>0</v>
      </c>
      <c r="AJ126" s="19">
        <v>0</v>
      </c>
      <c r="AK126" s="18"/>
      <c r="AL126" s="19">
        <v>0</v>
      </c>
      <c r="AM126" s="18"/>
      <c r="AN126" s="19">
        <f t="shared" si="152"/>
        <v>0</v>
      </c>
    </row>
    <row r="127" spans="1:40" ht="45" x14ac:dyDescent="0.25">
      <c r="A127" s="31"/>
      <c r="B127" s="26">
        <v>85</v>
      </c>
      <c r="C127" s="23" t="s">
        <v>164</v>
      </c>
      <c r="D127" s="15">
        <f t="shared" si="93"/>
        <v>10127</v>
      </c>
      <c r="E127" s="15">
        <v>10127</v>
      </c>
      <c r="F127" s="16">
        <v>2.04</v>
      </c>
      <c r="G127" s="22">
        <v>1</v>
      </c>
      <c r="H127" s="15">
        <v>1.4</v>
      </c>
      <c r="I127" s="15">
        <v>1.68</v>
      </c>
      <c r="J127" s="15">
        <v>2.23</v>
      </c>
      <c r="K127" s="15">
        <v>2.39</v>
      </c>
      <c r="L127" s="17">
        <v>2.57</v>
      </c>
      <c r="M127" s="18"/>
      <c r="N127" s="19">
        <f t="shared" si="148"/>
        <v>0</v>
      </c>
      <c r="O127" s="18"/>
      <c r="P127" s="19">
        <f t="shared" si="89"/>
        <v>0</v>
      </c>
      <c r="Q127" s="18"/>
      <c r="R127" s="19">
        <f t="shared" si="90"/>
        <v>0</v>
      </c>
      <c r="S127" s="18"/>
      <c r="T127" s="19">
        <f t="shared" si="91"/>
        <v>0</v>
      </c>
      <c r="U127" s="18"/>
      <c r="V127" s="19">
        <f t="shared" si="114"/>
        <v>0</v>
      </c>
      <c r="W127" s="18"/>
      <c r="X127" s="19">
        <f t="shared" si="137"/>
        <v>0</v>
      </c>
      <c r="Y127" s="18"/>
      <c r="Z127" s="19">
        <f t="shared" si="109"/>
        <v>0</v>
      </c>
      <c r="AA127" s="18"/>
      <c r="AB127" s="19">
        <f t="shared" si="149"/>
        <v>0</v>
      </c>
      <c r="AC127" s="18"/>
      <c r="AD127" s="19">
        <f t="shared" si="150"/>
        <v>0</v>
      </c>
      <c r="AE127" s="25"/>
      <c r="AF127" s="19">
        <f t="shared" si="151"/>
        <v>0</v>
      </c>
      <c r="AG127" s="19">
        <f t="shared" si="94"/>
        <v>0</v>
      </c>
      <c r="AH127" s="20" t="e">
        <f t="shared" si="95"/>
        <v>#DIV/0!</v>
      </c>
      <c r="AI127" s="19"/>
      <c r="AJ127" s="19"/>
      <c r="AK127" s="18"/>
      <c r="AL127" s="19">
        <v>0</v>
      </c>
      <c r="AM127" s="18"/>
      <c r="AN127" s="19">
        <f t="shared" si="152"/>
        <v>0</v>
      </c>
    </row>
    <row r="128" spans="1:40" ht="45" x14ac:dyDescent="0.25">
      <c r="A128" s="31"/>
      <c r="B128" s="26">
        <v>86</v>
      </c>
      <c r="C128" s="23" t="s">
        <v>165</v>
      </c>
      <c r="D128" s="15">
        <f t="shared" si="93"/>
        <v>10127</v>
      </c>
      <c r="E128" s="15">
        <v>10127</v>
      </c>
      <c r="F128" s="16">
        <v>2.95</v>
      </c>
      <c r="G128" s="22">
        <v>1</v>
      </c>
      <c r="H128" s="15">
        <v>1.4</v>
      </c>
      <c r="I128" s="15">
        <v>1.68</v>
      </c>
      <c r="J128" s="15">
        <v>2.23</v>
      </c>
      <c r="K128" s="15">
        <v>2.39</v>
      </c>
      <c r="L128" s="17">
        <v>2.57</v>
      </c>
      <c r="M128" s="18"/>
      <c r="N128" s="19">
        <f t="shared" si="148"/>
        <v>0</v>
      </c>
      <c r="O128" s="18"/>
      <c r="P128" s="19">
        <f t="shared" si="89"/>
        <v>0</v>
      </c>
      <c r="Q128" s="18"/>
      <c r="R128" s="19">
        <f t="shared" si="90"/>
        <v>0</v>
      </c>
      <c r="S128" s="18"/>
      <c r="T128" s="19">
        <f t="shared" si="91"/>
        <v>0</v>
      </c>
      <c r="U128" s="18"/>
      <c r="V128" s="19">
        <f t="shared" si="114"/>
        <v>0</v>
      </c>
      <c r="W128" s="18"/>
      <c r="X128" s="19">
        <f t="shared" si="137"/>
        <v>0</v>
      </c>
      <c r="Y128" s="18"/>
      <c r="Z128" s="19">
        <f t="shared" si="109"/>
        <v>0</v>
      </c>
      <c r="AA128" s="18"/>
      <c r="AB128" s="19">
        <f t="shared" si="149"/>
        <v>0</v>
      </c>
      <c r="AC128" s="18"/>
      <c r="AD128" s="19">
        <f t="shared" si="150"/>
        <v>0</v>
      </c>
      <c r="AE128" s="25"/>
      <c r="AF128" s="19">
        <f t="shared" si="151"/>
        <v>0</v>
      </c>
      <c r="AG128" s="19">
        <f t="shared" si="94"/>
        <v>0</v>
      </c>
      <c r="AH128" s="20" t="e">
        <f t="shared" si="95"/>
        <v>#DIV/0!</v>
      </c>
      <c r="AI128" s="19"/>
      <c r="AJ128" s="19"/>
      <c r="AK128" s="18"/>
      <c r="AL128" s="19">
        <v>0</v>
      </c>
      <c r="AM128" s="18"/>
      <c r="AN128" s="19">
        <f t="shared" si="152"/>
        <v>0</v>
      </c>
    </row>
    <row r="129" spans="1:40" s="41" customFormat="1" x14ac:dyDescent="0.25">
      <c r="A129" s="31">
        <v>31</v>
      </c>
      <c r="B129" s="31"/>
      <c r="C129" s="32" t="s">
        <v>166</v>
      </c>
      <c r="D129" s="15">
        <f t="shared" si="93"/>
        <v>10127</v>
      </c>
      <c r="E129" s="15">
        <v>10127</v>
      </c>
      <c r="F129" s="36"/>
      <c r="G129" s="35"/>
      <c r="H129" s="33"/>
      <c r="I129" s="33"/>
      <c r="J129" s="33"/>
      <c r="K129" s="33"/>
      <c r="L129" s="17">
        <v>2.57</v>
      </c>
      <c r="M129" s="25">
        <f t="shared" ref="M129:U129" si="153">SUM(M130:M134)</f>
        <v>0</v>
      </c>
      <c r="N129" s="25">
        <f t="shared" si="153"/>
        <v>0</v>
      </c>
      <c r="O129" s="25">
        <f t="shared" si="153"/>
        <v>0</v>
      </c>
      <c r="P129" s="25">
        <f t="shared" si="153"/>
        <v>0</v>
      </c>
      <c r="Q129" s="25">
        <f t="shared" si="153"/>
        <v>320</v>
      </c>
      <c r="R129" s="25">
        <f t="shared" si="153"/>
        <v>3160408.8425000003</v>
      </c>
      <c r="S129" s="25">
        <f t="shared" si="153"/>
        <v>0</v>
      </c>
      <c r="T129" s="25">
        <f t="shared" si="153"/>
        <v>0</v>
      </c>
      <c r="U129" s="25">
        <f t="shared" si="153"/>
        <v>0</v>
      </c>
      <c r="V129" s="25">
        <f t="shared" ref="V129:AN129" si="154">SUM(V130:V134)</f>
        <v>0</v>
      </c>
      <c r="W129" s="25">
        <f t="shared" si="154"/>
        <v>0</v>
      </c>
      <c r="X129" s="25">
        <f t="shared" si="154"/>
        <v>0</v>
      </c>
      <c r="Y129" s="25">
        <f t="shared" si="154"/>
        <v>0</v>
      </c>
      <c r="Z129" s="25">
        <f t="shared" si="154"/>
        <v>0</v>
      </c>
      <c r="AA129" s="25">
        <f t="shared" si="154"/>
        <v>0</v>
      </c>
      <c r="AB129" s="25">
        <f t="shared" si="154"/>
        <v>0</v>
      </c>
      <c r="AC129" s="25">
        <f t="shared" si="154"/>
        <v>0</v>
      </c>
      <c r="AD129" s="25">
        <f t="shared" si="154"/>
        <v>0</v>
      </c>
      <c r="AE129" s="25">
        <f t="shared" si="154"/>
        <v>20</v>
      </c>
      <c r="AF129" s="25">
        <f t="shared" si="154"/>
        <v>309784.93</v>
      </c>
      <c r="AG129" s="25">
        <f t="shared" si="154"/>
        <v>3</v>
      </c>
      <c r="AH129" s="25" t="e">
        <f t="shared" si="154"/>
        <v>#DIV/0!</v>
      </c>
      <c r="AI129" s="25">
        <f t="shared" si="154"/>
        <v>1</v>
      </c>
      <c r="AJ129" s="25">
        <f t="shared" si="154"/>
        <v>15596.2</v>
      </c>
      <c r="AK129" s="25">
        <v>0</v>
      </c>
      <c r="AL129" s="25">
        <v>0</v>
      </c>
      <c r="AM129" s="25">
        <f t="shared" ref="AM129" si="155">SUM(AM130:AM134)</f>
        <v>0</v>
      </c>
      <c r="AN129" s="25">
        <f t="shared" si="154"/>
        <v>0</v>
      </c>
    </row>
    <row r="130" spans="1:40" ht="27.75" customHeight="1" x14ac:dyDescent="0.25">
      <c r="A130" s="31"/>
      <c r="B130" s="26">
        <v>87</v>
      </c>
      <c r="C130" s="14" t="s">
        <v>167</v>
      </c>
      <c r="D130" s="15">
        <f t="shared" si="93"/>
        <v>10127</v>
      </c>
      <c r="E130" s="15">
        <v>10127</v>
      </c>
      <c r="F130" s="16">
        <v>0.89</v>
      </c>
      <c r="G130" s="22">
        <v>1</v>
      </c>
      <c r="H130" s="15">
        <v>1.4</v>
      </c>
      <c r="I130" s="15">
        <v>1.68</v>
      </c>
      <c r="J130" s="15">
        <v>2.23</v>
      </c>
      <c r="K130" s="15">
        <v>2.39</v>
      </c>
      <c r="L130" s="17">
        <v>2.57</v>
      </c>
      <c r="M130" s="18">
        <v>0</v>
      </c>
      <c r="N130" s="19">
        <f>(M130/12*1*$D130*$F130*$G130*$I130*N$11)+(M130/12*11*$E130*$F130*$G130*$I130*N$12)</f>
        <v>0</v>
      </c>
      <c r="O130" s="18"/>
      <c r="P130" s="19">
        <f t="shared" si="89"/>
        <v>0</v>
      </c>
      <c r="Q130" s="18"/>
      <c r="R130" s="19">
        <f t="shared" si="90"/>
        <v>0</v>
      </c>
      <c r="S130" s="18"/>
      <c r="T130" s="19">
        <f t="shared" si="91"/>
        <v>0</v>
      </c>
      <c r="U130" s="18">
        <v>0</v>
      </c>
      <c r="V130" s="19">
        <f t="shared" si="114"/>
        <v>0</v>
      </c>
      <c r="W130" s="18">
        <v>0</v>
      </c>
      <c r="X130" s="19">
        <f t="shared" si="137"/>
        <v>0</v>
      </c>
      <c r="Y130" s="18"/>
      <c r="Z130" s="19">
        <f t="shared" si="109"/>
        <v>0</v>
      </c>
      <c r="AA130" s="18">
        <v>0</v>
      </c>
      <c r="AB130" s="19">
        <f t="shared" ref="AB130:AB134" si="156">(AA130/12*1*$D130*$F130*$G130*$I130*AB$11)+(AA130/12*11*$E130*$F130*$G130*$I130*AB$12)</f>
        <v>0</v>
      </c>
      <c r="AC130" s="18">
        <v>0</v>
      </c>
      <c r="AD130" s="19">
        <f>(AC130/12*1*$D130*$F130*$G130*$H130*AD$11)+(AC130/12*11*$E130*$F130*$G130*$H130*AD$12)</f>
        <v>0</v>
      </c>
      <c r="AE130" s="18"/>
      <c r="AF130" s="19">
        <f>(AE130/12*1*$D130*$F130*$G130*$H130*AF$11)+(AE130/12*11*$E130*$F130*$G130*$H130*AF$12)</f>
        <v>0</v>
      </c>
      <c r="AG130" s="19">
        <f t="shared" si="94"/>
        <v>0</v>
      </c>
      <c r="AH130" s="20" t="e">
        <f t="shared" si="95"/>
        <v>#DIV/0!</v>
      </c>
      <c r="AI130" s="19"/>
      <c r="AJ130" s="19"/>
      <c r="AK130" s="18"/>
      <c r="AL130" s="19">
        <v>0</v>
      </c>
      <c r="AM130" s="18">
        <v>0</v>
      </c>
      <c r="AN130" s="19">
        <f>(AM130/12*1*$D130*$F130*$G130*$I130*AN$11)+(AM130/12*11*$E130*$F130*$G130*$I130*AN$12)</f>
        <v>0</v>
      </c>
    </row>
    <row r="131" spans="1:40" ht="45" x14ac:dyDescent="0.25">
      <c r="A131" s="31"/>
      <c r="B131" s="26">
        <v>88</v>
      </c>
      <c r="C131" s="14" t="s">
        <v>168</v>
      </c>
      <c r="D131" s="15">
        <f t="shared" si="93"/>
        <v>10127</v>
      </c>
      <c r="E131" s="15">
        <v>10127</v>
      </c>
      <c r="F131" s="16">
        <v>0.75</v>
      </c>
      <c r="G131" s="22">
        <v>1</v>
      </c>
      <c r="H131" s="15">
        <v>1.4</v>
      </c>
      <c r="I131" s="15">
        <v>1.68</v>
      </c>
      <c r="J131" s="15">
        <v>2.23</v>
      </c>
      <c r="K131" s="15">
        <v>2.39</v>
      </c>
      <c r="L131" s="17">
        <v>2.57</v>
      </c>
      <c r="M131" s="18"/>
      <c r="N131" s="19">
        <f>(M131/12*1*$D131*$F131*$G131*$I131*N$11)+(M131/12*11*$E131*$F131*$G131*$I131*N$12)</f>
        <v>0</v>
      </c>
      <c r="O131" s="18"/>
      <c r="P131" s="19">
        <f t="shared" si="89"/>
        <v>0</v>
      </c>
      <c r="Q131" s="18">
        <v>231</v>
      </c>
      <c r="R131" s="19">
        <f t="shared" si="90"/>
        <v>2087858.2725</v>
      </c>
      <c r="S131" s="18"/>
      <c r="T131" s="19">
        <f t="shared" si="91"/>
        <v>0</v>
      </c>
      <c r="U131" s="18"/>
      <c r="V131" s="19">
        <f t="shared" si="114"/>
        <v>0</v>
      </c>
      <c r="W131" s="18"/>
      <c r="X131" s="19">
        <f t="shared" si="137"/>
        <v>0</v>
      </c>
      <c r="Y131" s="18"/>
      <c r="Z131" s="19">
        <f t="shared" si="109"/>
        <v>0</v>
      </c>
      <c r="AA131" s="18"/>
      <c r="AB131" s="19">
        <f t="shared" si="156"/>
        <v>0</v>
      </c>
      <c r="AC131" s="18"/>
      <c r="AD131" s="19">
        <f>(AC131/12*1*$D131*$F131*$G131*$H131*AD$11)+(AC131/12*11*$E131*$F131*$G131*$H131*AD$12)</f>
        <v>0</v>
      </c>
      <c r="AE131" s="18"/>
      <c r="AF131" s="19">
        <f>(AE131/12*1*$D131*$F131*$G131*$H131*AF$11)+(AE131/12*11*$E131*$F131*$G131*$H131*AF$12)</f>
        <v>0</v>
      </c>
      <c r="AG131" s="19">
        <f t="shared" si="94"/>
        <v>0</v>
      </c>
      <c r="AH131" s="20" t="e">
        <f t="shared" si="95"/>
        <v>#DIV/0!</v>
      </c>
      <c r="AI131" s="19">
        <v>0</v>
      </c>
      <c r="AJ131" s="19">
        <v>0</v>
      </c>
      <c r="AK131" s="18"/>
      <c r="AL131" s="19">
        <v>0</v>
      </c>
      <c r="AM131" s="18"/>
      <c r="AN131" s="19">
        <f>(AM131/12*1*$D131*$F131*$G131*$I131*AN$11)+(AM131/12*11*$E131*$F131*$G131*$I131*AN$12)</f>
        <v>0</v>
      </c>
    </row>
    <row r="132" spans="1:40" ht="45" x14ac:dyDescent="0.25">
      <c r="A132" s="31"/>
      <c r="B132" s="26">
        <v>89</v>
      </c>
      <c r="C132" s="14" t="s">
        <v>169</v>
      </c>
      <c r="D132" s="15">
        <f t="shared" si="93"/>
        <v>10127</v>
      </c>
      <c r="E132" s="15">
        <v>10127</v>
      </c>
      <c r="F132" s="16">
        <v>1</v>
      </c>
      <c r="G132" s="22">
        <v>1</v>
      </c>
      <c r="H132" s="15">
        <v>1.4</v>
      </c>
      <c r="I132" s="15">
        <v>1.68</v>
      </c>
      <c r="J132" s="15">
        <v>2.23</v>
      </c>
      <c r="K132" s="15">
        <v>2.39</v>
      </c>
      <c r="L132" s="17">
        <v>2.57</v>
      </c>
      <c r="M132" s="18"/>
      <c r="N132" s="19">
        <f>(M132/12*1*$D132*$F132*$G132*$I132*N$11)+(M132/12*11*$E132*$F132*$G132*$I132*N$12)</f>
        <v>0</v>
      </c>
      <c r="O132" s="18"/>
      <c r="P132" s="19">
        <f t="shared" si="89"/>
        <v>0</v>
      </c>
      <c r="Q132" s="18">
        <v>89</v>
      </c>
      <c r="R132" s="19">
        <f t="shared" si="90"/>
        <v>1072550.57</v>
      </c>
      <c r="S132" s="18"/>
      <c r="T132" s="19">
        <f t="shared" si="91"/>
        <v>0</v>
      </c>
      <c r="U132" s="18"/>
      <c r="V132" s="19">
        <f t="shared" si="114"/>
        <v>0</v>
      </c>
      <c r="W132" s="18"/>
      <c r="X132" s="19">
        <f t="shared" si="137"/>
        <v>0</v>
      </c>
      <c r="Y132" s="18"/>
      <c r="Z132" s="19">
        <f t="shared" si="109"/>
        <v>0</v>
      </c>
      <c r="AA132" s="18"/>
      <c r="AB132" s="19">
        <f t="shared" si="156"/>
        <v>0</v>
      </c>
      <c r="AC132" s="18"/>
      <c r="AD132" s="19">
        <f>(AC132/12*1*$D132*$F132*$G132*$H132*AD$11)+(AC132/12*11*$E132*$F132*$G132*$H132*AD$12)</f>
        <v>0</v>
      </c>
      <c r="AE132" s="18">
        <f>100-80</f>
        <v>20</v>
      </c>
      <c r="AF132" s="19">
        <f>(AE132/12*1*$D132*$F132*$G132*$H132*AF$11)+(AE132/12*11*$E132*$F132*$G132*$H132*AF$12)</f>
        <v>309784.93</v>
      </c>
      <c r="AG132" s="19">
        <f t="shared" si="94"/>
        <v>3</v>
      </c>
      <c r="AH132" s="20">
        <f t="shared" si="95"/>
        <v>15</v>
      </c>
      <c r="AI132" s="19">
        <v>1</v>
      </c>
      <c r="AJ132" s="19">
        <v>15596.2</v>
      </c>
      <c r="AK132" s="18"/>
      <c r="AL132" s="19">
        <v>0</v>
      </c>
      <c r="AM132" s="18"/>
      <c r="AN132" s="19">
        <f>(AM132/12*1*$D132*$F132*$G132*$I132*AN$11)+(AM132/12*11*$E132*$F132*$G132*$I132*AN$12)</f>
        <v>0</v>
      </c>
    </row>
    <row r="133" spans="1:40" ht="30" x14ac:dyDescent="0.25">
      <c r="A133" s="31"/>
      <c r="B133" s="26">
        <v>90</v>
      </c>
      <c r="C133" s="23" t="s">
        <v>170</v>
      </c>
      <c r="D133" s="15">
        <f t="shared" si="93"/>
        <v>10127</v>
      </c>
      <c r="E133" s="15">
        <v>10127</v>
      </c>
      <c r="F133" s="16">
        <v>1.29</v>
      </c>
      <c r="G133" s="22">
        <v>1</v>
      </c>
      <c r="H133" s="15">
        <v>1.4</v>
      </c>
      <c r="I133" s="15">
        <v>1.68</v>
      </c>
      <c r="J133" s="15">
        <v>2.23</v>
      </c>
      <c r="K133" s="15">
        <v>2.39</v>
      </c>
      <c r="L133" s="17">
        <v>2.57</v>
      </c>
      <c r="M133" s="18"/>
      <c r="N133" s="19">
        <f>(M133/12*1*$D133*$F133*$G133*$I133*N$11)+(M133/12*11*$E133*$F133*$G133*$I133*N$12)</f>
        <v>0</v>
      </c>
      <c r="O133" s="18"/>
      <c r="P133" s="19">
        <f t="shared" si="89"/>
        <v>0</v>
      </c>
      <c r="Q133" s="18"/>
      <c r="R133" s="19">
        <f t="shared" si="90"/>
        <v>0</v>
      </c>
      <c r="S133" s="18"/>
      <c r="T133" s="19">
        <f t="shared" si="91"/>
        <v>0</v>
      </c>
      <c r="U133" s="18"/>
      <c r="V133" s="19">
        <f t="shared" si="114"/>
        <v>0</v>
      </c>
      <c r="W133" s="18"/>
      <c r="X133" s="19">
        <f t="shared" si="137"/>
        <v>0</v>
      </c>
      <c r="Y133" s="18"/>
      <c r="Z133" s="19">
        <f t="shared" si="109"/>
        <v>0</v>
      </c>
      <c r="AA133" s="18"/>
      <c r="AB133" s="19">
        <f t="shared" si="156"/>
        <v>0</v>
      </c>
      <c r="AC133" s="18"/>
      <c r="AD133" s="19">
        <f>(AC133/12*1*$D133*$F133*$G133*$H133*AD$11)+(AC133/12*11*$E133*$F133*$G133*$H133*AD$12)</f>
        <v>0</v>
      </c>
      <c r="AE133" s="18"/>
      <c r="AF133" s="19">
        <f>(AE133/12*1*$D133*$F133*$G133*$H133*AF$11)+(AE133/12*11*$E133*$F133*$G133*$H133*AF$12)</f>
        <v>0</v>
      </c>
      <c r="AG133" s="19">
        <f t="shared" si="94"/>
        <v>0</v>
      </c>
      <c r="AH133" s="20" t="e">
        <f t="shared" si="95"/>
        <v>#DIV/0!</v>
      </c>
      <c r="AI133" s="19">
        <v>0</v>
      </c>
      <c r="AJ133" s="19">
        <v>0</v>
      </c>
      <c r="AK133" s="18"/>
      <c r="AL133" s="19">
        <v>0</v>
      </c>
      <c r="AM133" s="18"/>
      <c r="AN133" s="19">
        <f>(AM133/12*1*$D133*$F133*$G133*$I133*AN$11)+(AM133/12*11*$E133*$F133*$G133*$I133*AN$12)</f>
        <v>0</v>
      </c>
    </row>
    <row r="134" spans="1:40" x14ac:dyDescent="0.25">
      <c r="A134" s="31"/>
      <c r="B134" s="26">
        <v>91</v>
      </c>
      <c r="C134" s="23" t="s">
        <v>171</v>
      </c>
      <c r="D134" s="15">
        <f t="shared" si="93"/>
        <v>10127</v>
      </c>
      <c r="E134" s="15">
        <v>10127</v>
      </c>
      <c r="F134" s="16">
        <v>2.6</v>
      </c>
      <c r="G134" s="22">
        <v>1</v>
      </c>
      <c r="H134" s="15">
        <v>1.4</v>
      </c>
      <c r="I134" s="15">
        <v>1.68</v>
      </c>
      <c r="J134" s="15">
        <v>2.23</v>
      </c>
      <c r="K134" s="15">
        <v>2.39</v>
      </c>
      <c r="L134" s="17">
        <v>2.57</v>
      </c>
      <c r="M134" s="24"/>
      <c r="N134" s="19">
        <f>(M134/12*1*$D134*$F134*$G134*$I134*N$11)+(M134/12*11*$E134*$F134*$G134*$I134*N$12)</f>
        <v>0</v>
      </c>
      <c r="O134" s="24"/>
      <c r="P134" s="19">
        <f t="shared" si="89"/>
        <v>0</v>
      </c>
      <c r="Q134" s="24"/>
      <c r="R134" s="19">
        <f t="shared" si="90"/>
        <v>0</v>
      </c>
      <c r="S134" s="24"/>
      <c r="T134" s="19">
        <f t="shared" si="91"/>
        <v>0</v>
      </c>
      <c r="U134" s="24"/>
      <c r="V134" s="19">
        <f t="shared" si="114"/>
        <v>0</v>
      </c>
      <c r="W134" s="24"/>
      <c r="X134" s="19">
        <f t="shared" si="137"/>
        <v>0</v>
      </c>
      <c r="Y134" s="24"/>
      <c r="Z134" s="19">
        <f t="shared" si="109"/>
        <v>0</v>
      </c>
      <c r="AA134" s="24"/>
      <c r="AB134" s="19">
        <f t="shared" si="156"/>
        <v>0</v>
      </c>
      <c r="AC134" s="24"/>
      <c r="AD134" s="19">
        <f>(AC134/12*1*$D134*$F134*$G134*$H134*AD$11)+(AC134/12*11*$E134*$F134*$G134*$H134*AD$12)</f>
        <v>0</v>
      </c>
      <c r="AE134" s="28"/>
      <c r="AF134" s="19">
        <f>(AE134/12*1*$D134*$F134*$G134*$H134*AF$11)+(AE134/12*11*$E134*$F134*$G134*$H134*AF$12)</f>
        <v>0</v>
      </c>
      <c r="AG134" s="19">
        <f t="shared" si="94"/>
        <v>0</v>
      </c>
      <c r="AH134" s="20" t="e">
        <f t="shared" si="95"/>
        <v>#DIV/0!</v>
      </c>
      <c r="AI134" s="19">
        <v>0</v>
      </c>
      <c r="AJ134" s="19">
        <v>0</v>
      </c>
      <c r="AK134" s="24"/>
      <c r="AL134" s="19">
        <v>0</v>
      </c>
      <c r="AM134" s="24"/>
      <c r="AN134" s="19">
        <f>(AM134/12*1*$D134*$F134*$G134*$I134*AN$11)+(AM134/12*11*$E134*$F134*$G134*$I134*AN$12)</f>
        <v>0</v>
      </c>
    </row>
    <row r="135" spans="1:40" s="41" customFormat="1" x14ac:dyDescent="0.25">
      <c r="A135" s="31">
        <v>32</v>
      </c>
      <c r="B135" s="31"/>
      <c r="C135" s="38" t="s">
        <v>172</v>
      </c>
      <c r="D135" s="15">
        <f t="shared" si="93"/>
        <v>10127</v>
      </c>
      <c r="E135" s="15">
        <v>10127</v>
      </c>
      <c r="F135" s="36"/>
      <c r="G135" s="35"/>
      <c r="H135" s="33"/>
      <c r="I135" s="33"/>
      <c r="J135" s="33"/>
      <c r="K135" s="33"/>
      <c r="L135" s="17">
        <v>2.57</v>
      </c>
      <c r="M135" s="37">
        <f t="shared" ref="M135:U135" si="157">SUM(M136:M142)</f>
        <v>0</v>
      </c>
      <c r="N135" s="37">
        <f t="shared" si="157"/>
        <v>0</v>
      </c>
      <c r="O135" s="37">
        <f t="shared" si="157"/>
        <v>0</v>
      </c>
      <c r="P135" s="37">
        <f t="shared" si="157"/>
        <v>0</v>
      </c>
      <c r="Q135" s="37">
        <f t="shared" si="157"/>
        <v>0</v>
      </c>
      <c r="R135" s="37">
        <f t="shared" si="157"/>
        <v>0</v>
      </c>
      <c r="S135" s="37">
        <f t="shared" si="157"/>
        <v>0</v>
      </c>
      <c r="T135" s="37">
        <f t="shared" si="157"/>
        <v>0</v>
      </c>
      <c r="U135" s="37">
        <f t="shared" si="157"/>
        <v>0</v>
      </c>
      <c r="V135" s="37">
        <f t="shared" ref="V135:AN135" si="158">SUM(V136:V142)</f>
        <v>0</v>
      </c>
      <c r="W135" s="37">
        <f t="shared" si="158"/>
        <v>0</v>
      </c>
      <c r="X135" s="37">
        <f t="shared" si="158"/>
        <v>0</v>
      </c>
      <c r="Y135" s="37">
        <f t="shared" si="158"/>
        <v>0</v>
      </c>
      <c r="Z135" s="37">
        <f t="shared" si="158"/>
        <v>0</v>
      </c>
      <c r="AA135" s="37">
        <f t="shared" si="158"/>
        <v>0</v>
      </c>
      <c r="AB135" s="37">
        <f t="shared" si="158"/>
        <v>0</v>
      </c>
      <c r="AC135" s="37">
        <f t="shared" si="158"/>
        <v>0</v>
      </c>
      <c r="AD135" s="37">
        <f t="shared" si="158"/>
        <v>0</v>
      </c>
      <c r="AE135" s="37">
        <f t="shared" si="158"/>
        <v>0</v>
      </c>
      <c r="AF135" s="37">
        <f t="shared" si="158"/>
        <v>0</v>
      </c>
      <c r="AG135" s="37">
        <f t="shared" si="158"/>
        <v>0</v>
      </c>
      <c r="AH135" s="37" t="e">
        <f t="shared" si="158"/>
        <v>#DIV/0!</v>
      </c>
      <c r="AI135" s="37">
        <f t="shared" si="158"/>
        <v>0</v>
      </c>
      <c r="AJ135" s="37">
        <f t="shared" si="158"/>
        <v>0</v>
      </c>
      <c r="AK135" s="37">
        <v>0</v>
      </c>
      <c r="AL135" s="37">
        <v>0</v>
      </c>
      <c r="AM135" s="37">
        <f t="shared" ref="AM135" si="159">SUM(AM136:AM142)</f>
        <v>0</v>
      </c>
      <c r="AN135" s="37">
        <f t="shared" si="158"/>
        <v>0</v>
      </c>
    </row>
    <row r="136" spans="1:40" ht="45" x14ac:dyDescent="0.25">
      <c r="A136" s="31"/>
      <c r="B136" s="26">
        <v>92</v>
      </c>
      <c r="C136" s="23" t="s">
        <v>173</v>
      </c>
      <c r="D136" s="15">
        <f t="shared" si="93"/>
        <v>10127</v>
      </c>
      <c r="E136" s="15">
        <v>10127</v>
      </c>
      <c r="F136" s="16">
        <v>2.11</v>
      </c>
      <c r="G136" s="22">
        <v>1</v>
      </c>
      <c r="H136" s="15">
        <v>1.4</v>
      </c>
      <c r="I136" s="15">
        <v>1.68</v>
      </c>
      <c r="J136" s="15">
        <v>2.23</v>
      </c>
      <c r="K136" s="15">
        <v>2.39</v>
      </c>
      <c r="L136" s="17">
        <v>2.57</v>
      </c>
      <c r="M136" s="24"/>
      <c r="N136" s="19">
        <f t="shared" ref="N136:N142" si="160">(M136/12*1*$D136*$F136*$G136*$I136*N$11)+(M136/12*11*$E136*$F136*$G136*$I136*N$12)</f>
        <v>0</v>
      </c>
      <c r="O136" s="24"/>
      <c r="P136" s="19">
        <f t="shared" si="89"/>
        <v>0</v>
      </c>
      <c r="Q136" s="24"/>
      <c r="R136" s="19">
        <f t="shared" si="90"/>
        <v>0</v>
      </c>
      <c r="S136" s="24"/>
      <c r="T136" s="19">
        <f t="shared" si="91"/>
        <v>0</v>
      </c>
      <c r="U136" s="24"/>
      <c r="V136" s="19">
        <f t="shared" si="114"/>
        <v>0</v>
      </c>
      <c r="W136" s="24"/>
      <c r="X136" s="19">
        <f t="shared" si="137"/>
        <v>0</v>
      </c>
      <c r="Y136" s="24"/>
      <c r="Z136" s="19">
        <f t="shared" si="109"/>
        <v>0</v>
      </c>
      <c r="AA136" s="24"/>
      <c r="AB136" s="19">
        <f t="shared" ref="AB136:AB142" si="161">(AA136/12*1*$D136*$F136*$G136*$I136*AB$11)+(AA136/12*11*$E136*$F136*$G136*$I136*AB$12)</f>
        <v>0</v>
      </c>
      <c r="AC136" s="24"/>
      <c r="AD136" s="19">
        <f t="shared" ref="AD136:AD142" si="162">(AC136/12*1*$D136*$F136*$G136*$H136*AD$11)+(AC136/12*11*$E136*$F136*$G136*$H136*AD$12)</f>
        <v>0</v>
      </c>
      <c r="AE136" s="28"/>
      <c r="AF136" s="19">
        <f t="shared" ref="AF136:AF142" si="163">(AE136/12*1*$D136*$F136*$G136*$H136*AF$11)+(AE136/12*11*$E136*$F136*$G136*$H136*AF$12)</f>
        <v>0</v>
      </c>
      <c r="AG136" s="19">
        <f t="shared" si="94"/>
        <v>0</v>
      </c>
      <c r="AH136" s="20" t="e">
        <f t="shared" si="95"/>
        <v>#DIV/0!</v>
      </c>
      <c r="AI136" s="19"/>
      <c r="AJ136" s="19"/>
      <c r="AK136" s="24"/>
      <c r="AL136" s="19">
        <v>0</v>
      </c>
      <c r="AM136" s="24"/>
      <c r="AN136" s="19">
        <f t="shared" ref="AN136:AN142" si="164">(AM136/12*1*$D136*$F136*$G136*$I136*AN$11)+(AM136/12*11*$E136*$F136*$G136*$I136*AN$12)</f>
        <v>0</v>
      </c>
    </row>
    <row r="137" spans="1:40" ht="45" x14ac:dyDescent="0.25">
      <c r="A137" s="31"/>
      <c r="B137" s="26">
        <v>93</v>
      </c>
      <c r="C137" s="23" t="s">
        <v>174</v>
      </c>
      <c r="D137" s="15">
        <f t="shared" si="93"/>
        <v>10127</v>
      </c>
      <c r="E137" s="15">
        <v>10127</v>
      </c>
      <c r="F137" s="16">
        <v>3.55</v>
      </c>
      <c r="G137" s="22">
        <v>1</v>
      </c>
      <c r="H137" s="15">
        <v>1.4</v>
      </c>
      <c r="I137" s="15">
        <v>1.68</v>
      </c>
      <c r="J137" s="15">
        <v>2.23</v>
      </c>
      <c r="K137" s="15">
        <v>2.39</v>
      </c>
      <c r="L137" s="17">
        <v>2.57</v>
      </c>
      <c r="M137" s="24"/>
      <c r="N137" s="19">
        <f t="shared" si="160"/>
        <v>0</v>
      </c>
      <c r="O137" s="24"/>
      <c r="P137" s="19">
        <f t="shared" si="89"/>
        <v>0</v>
      </c>
      <c r="Q137" s="24"/>
      <c r="R137" s="19">
        <f t="shared" si="90"/>
        <v>0</v>
      </c>
      <c r="S137" s="24"/>
      <c r="T137" s="19">
        <f t="shared" si="91"/>
        <v>0</v>
      </c>
      <c r="U137" s="24"/>
      <c r="V137" s="19">
        <f t="shared" si="114"/>
        <v>0</v>
      </c>
      <c r="W137" s="24"/>
      <c r="X137" s="19">
        <f t="shared" si="137"/>
        <v>0</v>
      </c>
      <c r="Y137" s="24"/>
      <c r="Z137" s="19">
        <f t="shared" si="109"/>
        <v>0</v>
      </c>
      <c r="AA137" s="24"/>
      <c r="AB137" s="19">
        <f t="shared" si="161"/>
        <v>0</v>
      </c>
      <c r="AC137" s="24"/>
      <c r="AD137" s="19">
        <f t="shared" si="162"/>
        <v>0</v>
      </c>
      <c r="AE137" s="29"/>
      <c r="AF137" s="19">
        <f t="shared" si="163"/>
        <v>0</v>
      </c>
      <c r="AG137" s="19">
        <f t="shared" si="94"/>
        <v>0</v>
      </c>
      <c r="AH137" s="20" t="e">
        <f t="shared" si="95"/>
        <v>#DIV/0!</v>
      </c>
      <c r="AI137" s="19">
        <v>0</v>
      </c>
      <c r="AJ137" s="19">
        <v>0</v>
      </c>
      <c r="AK137" s="24"/>
      <c r="AL137" s="19">
        <v>0</v>
      </c>
      <c r="AM137" s="24"/>
      <c r="AN137" s="19">
        <f t="shared" si="164"/>
        <v>0</v>
      </c>
    </row>
    <row r="138" spans="1:40" ht="30" x14ac:dyDescent="0.25">
      <c r="A138" s="31"/>
      <c r="B138" s="26">
        <v>94</v>
      </c>
      <c r="C138" s="14" t="s">
        <v>175</v>
      </c>
      <c r="D138" s="15">
        <f t="shared" si="93"/>
        <v>10127</v>
      </c>
      <c r="E138" s="15">
        <v>10127</v>
      </c>
      <c r="F138" s="16">
        <v>1.57</v>
      </c>
      <c r="G138" s="22">
        <v>1</v>
      </c>
      <c r="H138" s="15">
        <v>1.4</v>
      </c>
      <c r="I138" s="15">
        <v>1.68</v>
      </c>
      <c r="J138" s="15">
        <v>2.23</v>
      </c>
      <c r="K138" s="15">
        <v>2.39</v>
      </c>
      <c r="L138" s="17">
        <v>2.57</v>
      </c>
      <c r="M138" s="24"/>
      <c r="N138" s="19">
        <f t="shared" si="160"/>
        <v>0</v>
      </c>
      <c r="O138" s="24"/>
      <c r="P138" s="19">
        <f t="shared" si="89"/>
        <v>0</v>
      </c>
      <c r="Q138" s="24"/>
      <c r="R138" s="19">
        <f t="shared" si="90"/>
        <v>0</v>
      </c>
      <c r="S138" s="24"/>
      <c r="T138" s="19">
        <f t="shared" si="91"/>
        <v>0</v>
      </c>
      <c r="U138" s="24"/>
      <c r="V138" s="19">
        <f t="shared" si="114"/>
        <v>0</v>
      </c>
      <c r="W138" s="24"/>
      <c r="X138" s="19">
        <f t="shared" si="137"/>
        <v>0</v>
      </c>
      <c r="Y138" s="24"/>
      <c r="Z138" s="19">
        <f t="shared" si="109"/>
        <v>0</v>
      </c>
      <c r="AA138" s="24"/>
      <c r="AB138" s="19">
        <f t="shared" si="161"/>
        <v>0</v>
      </c>
      <c r="AC138" s="24"/>
      <c r="AD138" s="19">
        <f t="shared" si="162"/>
        <v>0</v>
      </c>
      <c r="AE138" s="28"/>
      <c r="AF138" s="19">
        <f t="shared" si="163"/>
        <v>0</v>
      </c>
      <c r="AG138" s="19">
        <f t="shared" si="94"/>
        <v>0</v>
      </c>
      <c r="AH138" s="20" t="e">
        <f t="shared" si="95"/>
        <v>#DIV/0!</v>
      </c>
      <c r="AI138" s="19">
        <v>0</v>
      </c>
      <c r="AJ138" s="19">
        <v>0</v>
      </c>
      <c r="AK138" s="24"/>
      <c r="AL138" s="19">
        <v>0</v>
      </c>
      <c r="AM138" s="24"/>
      <c r="AN138" s="19">
        <f t="shared" si="164"/>
        <v>0</v>
      </c>
    </row>
    <row r="139" spans="1:40" ht="30" x14ac:dyDescent="0.25">
      <c r="A139" s="31"/>
      <c r="B139" s="26">
        <v>95</v>
      </c>
      <c r="C139" s="14" t="s">
        <v>176</v>
      </c>
      <c r="D139" s="15">
        <f t="shared" si="93"/>
        <v>10127</v>
      </c>
      <c r="E139" s="15">
        <v>10127</v>
      </c>
      <c r="F139" s="16">
        <v>2.2599999999999998</v>
      </c>
      <c r="G139" s="22">
        <v>1</v>
      </c>
      <c r="H139" s="15">
        <v>1.4</v>
      </c>
      <c r="I139" s="15">
        <v>1.68</v>
      </c>
      <c r="J139" s="15">
        <v>2.23</v>
      </c>
      <c r="K139" s="15">
        <v>2.39</v>
      </c>
      <c r="L139" s="17">
        <v>2.57</v>
      </c>
      <c r="M139" s="24"/>
      <c r="N139" s="19">
        <f t="shared" si="160"/>
        <v>0</v>
      </c>
      <c r="O139" s="24"/>
      <c r="P139" s="19">
        <f t="shared" si="89"/>
        <v>0</v>
      </c>
      <c r="Q139" s="24"/>
      <c r="R139" s="19">
        <f t="shared" si="90"/>
        <v>0</v>
      </c>
      <c r="S139" s="24"/>
      <c r="T139" s="19">
        <f t="shared" si="91"/>
        <v>0</v>
      </c>
      <c r="U139" s="24"/>
      <c r="V139" s="19">
        <f t="shared" si="114"/>
        <v>0</v>
      </c>
      <c r="W139" s="24"/>
      <c r="X139" s="19">
        <f t="shared" si="137"/>
        <v>0</v>
      </c>
      <c r="Y139" s="24"/>
      <c r="Z139" s="19">
        <f t="shared" si="109"/>
        <v>0</v>
      </c>
      <c r="AA139" s="24"/>
      <c r="AB139" s="19">
        <f t="shared" si="161"/>
        <v>0</v>
      </c>
      <c r="AC139" s="24"/>
      <c r="AD139" s="19">
        <f t="shared" si="162"/>
        <v>0</v>
      </c>
      <c r="AE139" s="28"/>
      <c r="AF139" s="19">
        <f t="shared" si="163"/>
        <v>0</v>
      </c>
      <c r="AG139" s="19">
        <f t="shared" si="94"/>
        <v>0</v>
      </c>
      <c r="AH139" s="20" t="e">
        <f t="shared" si="95"/>
        <v>#DIV/0!</v>
      </c>
      <c r="AI139" s="19"/>
      <c r="AJ139" s="19"/>
      <c r="AK139" s="24"/>
      <c r="AL139" s="19">
        <v>0</v>
      </c>
      <c r="AM139" s="24"/>
      <c r="AN139" s="19">
        <f t="shared" si="164"/>
        <v>0</v>
      </c>
    </row>
    <row r="140" spans="1:40" ht="30" x14ac:dyDescent="0.25">
      <c r="A140" s="31"/>
      <c r="B140" s="26">
        <v>96</v>
      </c>
      <c r="C140" s="14" t="s">
        <v>177</v>
      </c>
      <c r="D140" s="15">
        <f t="shared" si="93"/>
        <v>10127</v>
      </c>
      <c r="E140" s="15">
        <v>10127</v>
      </c>
      <c r="F140" s="16">
        <v>3.24</v>
      </c>
      <c r="G140" s="22">
        <v>1</v>
      </c>
      <c r="H140" s="15">
        <v>1.4</v>
      </c>
      <c r="I140" s="15">
        <v>1.68</v>
      </c>
      <c r="J140" s="15">
        <v>2.23</v>
      </c>
      <c r="K140" s="15">
        <v>2.39</v>
      </c>
      <c r="L140" s="17">
        <v>2.57</v>
      </c>
      <c r="M140" s="24"/>
      <c r="N140" s="19">
        <f t="shared" si="160"/>
        <v>0</v>
      </c>
      <c r="O140" s="24"/>
      <c r="P140" s="19">
        <f t="shared" si="89"/>
        <v>0</v>
      </c>
      <c r="Q140" s="24"/>
      <c r="R140" s="19">
        <f t="shared" si="90"/>
        <v>0</v>
      </c>
      <c r="S140" s="24"/>
      <c r="T140" s="19">
        <f t="shared" si="91"/>
        <v>0</v>
      </c>
      <c r="U140" s="24"/>
      <c r="V140" s="19">
        <f t="shared" si="114"/>
        <v>0</v>
      </c>
      <c r="W140" s="24"/>
      <c r="X140" s="19">
        <f t="shared" si="137"/>
        <v>0</v>
      </c>
      <c r="Y140" s="24"/>
      <c r="Z140" s="19">
        <f t="shared" si="109"/>
        <v>0</v>
      </c>
      <c r="AA140" s="24"/>
      <c r="AB140" s="19">
        <f t="shared" si="161"/>
        <v>0</v>
      </c>
      <c r="AC140" s="24"/>
      <c r="AD140" s="19">
        <f t="shared" si="162"/>
        <v>0</v>
      </c>
      <c r="AE140" s="29"/>
      <c r="AF140" s="19">
        <f t="shared" si="163"/>
        <v>0</v>
      </c>
      <c r="AG140" s="19">
        <f t="shared" si="94"/>
        <v>0</v>
      </c>
      <c r="AH140" s="20" t="e">
        <f t="shared" si="95"/>
        <v>#DIV/0!</v>
      </c>
      <c r="AI140" s="19"/>
      <c r="AJ140" s="19"/>
      <c r="AK140" s="24"/>
      <c r="AL140" s="19">
        <v>0</v>
      </c>
      <c r="AM140" s="24"/>
      <c r="AN140" s="19">
        <f t="shared" si="164"/>
        <v>0</v>
      </c>
    </row>
    <row r="141" spans="1:40" ht="30" x14ac:dyDescent="0.25">
      <c r="A141" s="31"/>
      <c r="B141" s="26">
        <v>97</v>
      </c>
      <c r="C141" s="23" t="s">
        <v>178</v>
      </c>
      <c r="D141" s="15">
        <f t="shared" si="93"/>
        <v>10127</v>
      </c>
      <c r="E141" s="15">
        <v>10127</v>
      </c>
      <c r="F141" s="16">
        <v>2.06</v>
      </c>
      <c r="G141" s="22">
        <v>1</v>
      </c>
      <c r="H141" s="15">
        <v>1.4</v>
      </c>
      <c r="I141" s="15">
        <v>1.68</v>
      </c>
      <c r="J141" s="15">
        <v>2.23</v>
      </c>
      <c r="K141" s="15">
        <v>2.39</v>
      </c>
      <c r="L141" s="17">
        <v>2.57</v>
      </c>
      <c r="M141" s="24"/>
      <c r="N141" s="19">
        <f t="shared" si="160"/>
        <v>0</v>
      </c>
      <c r="O141" s="24"/>
      <c r="P141" s="19">
        <f t="shared" si="89"/>
        <v>0</v>
      </c>
      <c r="Q141" s="24"/>
      <c r="R141" s="19">
        <f t="shared" si="90"/>
        <v>0</v>
      </c>
      <c r="S141" s="24"/>
      <c r="T141" s="19">
        <f t="shared" si="91"/>
        <v>0</v>
      </c>
      <c r="U141" s="24"/>
      <c r="V141" s="19">
        <f t="shared" si="114"/>
        <v>0</v>
      </c>
      <c r="W141" s="24"/>
      <c r="X141" s="19">
        <f t="shared" si="137"/>
        <v>0</v>
      </c>
      <c r="Y141" s="24"/>
      <c r="Z141" s="19">
        <f t="shared" si="109"/>
        <v>0</v>
      </c>
      <c r="AA141" s="24"/>
      <c r="AB141" s="19">
        <f t="shared" si="161"/>
        <v>0</v>
      </c>
      <c r="AC141" s="24"/>
      <c r="AD141" s="19">
        <f t="shared" si="162"/>
        <v>0</v>
      </c>
      <c r="AE141" s="28"/>
      <c r="AF141" s="19">
        <f t="shared" si="163"/>
        <v>0</v>
      </c>
      <c r="AG141" s="19">
        <f t="shared" si="94"/>
        <v>0</v>
      </c>
      <c r="AH141" s="20" t="e">
        <f t="shared" si="95"/>
        <v>#DIV/0!</v>
      </c>
      <c r="AI141" s="19"/>
      <c r="AJ141" s="19"/>
      <c r="AK141" s="24"/>
      <c r="AL141" s="19">
        <v>0</v>
      </c>
      <c r="AM141" s="24"/>
      <c r="AN141" s="19">
        <f t="shared" si="164"/>
        <v>0</v>
      </c>
    </row>
    <row r="142" spans="1:40" ht="30" x14ac:dyDescent="0.25">
      <c r="A142" s="31"/>
      <c r="B142" s="26">
        <v>98</v>
      </c>
      <c r="C142" s="23" t="s">
        <v>179</v>
      </c>
      <c r="D142" s="15">
        <f t="shared" si="93"/>
        <v>10127</v>
      </c>
      <c r="E142" s="15">
        <v>10127</v>
      </c>
      <c r="F142" s="16">
        <v>2.17</v>
      </c>
      <c r="G142" s="22">
        <v>1</v>
      </c>
      <c r="H142" s="15">
        <v>1.4</v>
      </c>
      <c r="I142" s="15">
        <v>1.68</v>
      </c>
      <c r="J142" s="15">
        <v>2.23</v>
      </c>
      <c r="K142" s="15">
        <v>2.39</v>
      </c>
      <c r="L142" s="17">
        <v>2.57</v>
      </c>
      <c r="M142" s="24"/>
      <c r="N142" s="19">
        <f t="shared" si="160"/>
        <v>0</v>
      </c>
      <c r="O142" s="24"/>
      <c r="P142" s="19">
        <f t="shared" si="89"/>
        <v>0</v>
      </c>
      <c r="Q142" s="24"/>
      <c r="R142" s="19">
        <f t="shared" si="90"/>
        <v>0</v>
      </c>
      <c r="S142" s="24"/>
      <c r="T142" s="19">
        <f t="shared" si="91"/>
        <v>0</v>
      </c>
      <c r="U142" s="24"/>
      <c r="V142" s="19">
        <f t="shared" si="114"/>
        <v>0</v>
      </c>
      <c r="W142" s="24"/>
      <c r="X142" s="19">
        <f t="shared" si="137"/>
        <v>0</v>
      </c>
      <c r="Y142" s="24"/>
      <c r="Z142" s="19">
        <f t="shared" si="109"/>
        <v>0</v>
      </c>
      <c r="AA142" s="24"/>
      <c r="AB142" s="19">
        <f t="shared" si="161"/>
        <v>0</v>
      </c>
      <c r="AC142" s="24"/>
      <c r="AD142" s="19">
        <f t="shared" si="162"/>
        <v>0</v>
      </c>
      <c r="AE142" s="28"/>
      <c r="AF142" s="19">
        <f t="shared" si="163"/>
        <v>0</v>
      </c>
      <c r="AG142" s="19">
        <f t="shared" si="94"/>
        <v>0</v>
      </c>
      <c r="AH142" s="20" t="e">
        <f t="shared" si="95"/>
        <v>#DIV/0!</v>
      </c>
      <c r="AI142" s="19"/>
      <c r="AJ142" s="19"/>
      <c r="AK142" s="24"/>
      <c r="AL142" s="19">
        <v>0</v>
      </c>
      <c r="AM142" s="24"/>
      <c r="AN142" s="19">
        <f t="shared" si="164"/>
        <v>0</v>
      </c>
    </row>
    <row r="143" spans="1:40" s="41" customFormat="1" x14ac:dyDescent="0.25">
      <c r="A143" s="31">
        <v>33</v>
      </c>
      <c r="B143" s="31"/>
      <c r="C143" s="32" t="s">
        <v>180</v>
      </c>
      <c r="D143" s="15">
        <f t="shared" si="93"/>
        <v>10127</v>
      </c>
      <c r="E143" s="15">
        <v>10127</v>
      </c>
      <c r="F143" s="36"/>
      <c r="G143" s="35"/>
      <c r="H143" s="33"/>
      <c r="I143" s="33"/>
      <c r="J143" s="33"/>
      <c r="K143" s="33"/>
      <c r="L143" s="17">
        <v>2.57</v>
      </c>
      <c r="M143" s="37">
        <f t="shared" ref="M143:U143" si="165">SUM(M144)</f>
        <v>0</v>
      </c>
      <c r="N143" s="37">
        <f t="shared" si="165"/>
        <v>0</v>
      </c>
      <c r="O143" s="37">
        <f t="shared" si="165"/>
        <v>0</v>
      </c>
      <c r="P143" s="37">
        <f t="shared" si="165"/>
        <v>0</v>
      </c>
      <c r="Q143" s="37">
        <f t="shared" si="165"/>
        <v>0</v>
      </c>
      <c r="R143" s="37">
        <f t="shared" si="165"/>
        <v>0</v>
      </c>
      <c r="S143" s="37">
        <f t="shared" si="165"/>
        <v>0</v>
      </c>
      <c r="T143" s="37">
        <f t="shared" si="165"/>
        <v>0</v>
      </c>
      <c r="U143" s="37">
        <f t="shared" si="165"/>
        <v>0</v>
      </c>
      <c r="V143" s="37">
        <f t="shared" ref="V143:AN143" si="166">SUM(V144)</f>
        <v>0</v>
      </c>
      <c r="W143" s="37">
        <f t="shared" si="166"/>
        <v>0</v>
      </c>
      <c r="X143" s="37">
        <f t="shared" si="166"/>
        <v>0</v>
      </c>
      <c r="Y143" s="37">
        <f t="shared" si="166"/>
        <v>0</v>
      </c>
      <c r="Z143" s="37">
        <f t="shared" si="166"/>
        <v>0</v>
      </c>
      <c r="AA143" s="37">
        <f t="shared" si="166"/>
        <v>0</v>
      </c>
      <c r="AB143" s="37">
        <f t="shared" si="166"/>
        <v>0</v>
      </c>
      <c r="AC143" s="37">
        <f t="shared" si="166"/>
        <v>0</v>
      </c>
      <c r="AD143" s="37">
        <f t="shared" si="166"/>
        <v>0</v>
      </c>
      <c r="AE143" s="37">
        <f t="shared" si="166"/>
        <v>3</v>
      </c>
      <c r="AF143" s="37">
        <f t="shared" si="166"/>
        <v>51114.513450000006</v>
      </c>
      <c r="AG143" s="37">
        <f t="shared" si="166"/>
        <v>3</v>
      </c>
      <c r="AH143" s="37">
        <f t="shared" si="166"/>
        <v>100</v>
      </c>
      <c r="AI143" s="37">
        <f t="shared" si="166"/>
        <v>1</v>
      </c>
      <c r="AJ143" s="37">
        <f t="shared" si="166"/>
        <v>17155.82</v>
      </c>
      <c r="AK143" s="37">
        <v>0</v>
      </c>
      <c r="AL143" s="37">
        <v>0</v>
      </c>
      <c r="AM143" s="37">
        <f t="shared" ref="AM143" si="167">SUM(AM144)</f>
        <v>0</v>
      </c>
      <c r="AN143" s="37">
        <f t="shared" si="166"/>
        <v>0</v>
      </c>
    </row>
    <row r="144" spans="1:40" x14ac:dyDescent="0.25">
      <c r="A144" s="31"/>
      <c r="B144" s="26">
        <v>99</v>
      </c>
      <c r="C144" s="23" t="s">
        <v>181</v>
      </c>
      <c r="D144" s="15">
        <f t="shared" si="93"/>
        <v>10127</v>
      </c>
      <c r="E144" s="15">
        <v>10127</v>
      </c>
      <c r="F144" s="16">
        <v>1.1000000000000001</v>
      </c>
      <c r="G144" s="22">
        <v>1</v>
      </c>
      <c r="H144" s="15">
        <v>1.4</v>
      </c>
      <c r="I144" s="15">
        <v>1.68</v>
      </c>
      <c r="J144" s="15">
        <v>2.23</v>
      </c>
      <c r="K144" s="15">
        <v>2.39</v>
      </c>
      <c r="L144" s="17">
        <v>2.57</v>
      </c>
      <c r="M144" s="18">
        <v>0</v>
      </c>
      <c r="N144" s="19">
        <f>(M144/12*1*$D144*$F144*$G144*$I144*N$11)+(M144/12*11*$E144*$F144*$G144*$I144*N$12)</f>
        <v>0</v>
      </c>
      <c r="O144" s="18"/>
      <c r="P144" s="19">
        <f t="shared" si="89"/>
        <v>0</v>
      </c>
      <c r="Q144" s="18"/>
      <c r="R144" s="19">
        <f t="shared" si="90"/>
        <v>0</v>
      </c>
      <c r="S144" s="18"/>
      <c r="T144" s="19">
        <f t="shared" si="91"/>
        <v>0</v>
      </c>
      <c r="U144" s="18">
        <v>0</v>
      </c>
      <c r="V144" s="19">
        <f t="shared" si="114"/>
        <v>0</v>
      </c>
      <c r="W144" s="18">
        <v>0</v>
      </c>
      <c r="X144" s="19">
        <f t="shared" si="137"/>
        <v>0</v>
      </c>
      <c r="Y144" s="18"/>
      <c r="Z144" s="19">
        <f t="shared" si="109"/>
        <v>0</v>
      </c>
      <c r="AA144" s="18">
        <v>0</v>
      </c>
      <c r="AB144" s="19">
        <f>(AA144/12*1*$D144*$F144*$G144*$I144*AB$11)+(AA144/12*11*$E144*$F144*$G144*$I144*AB$12)</f>
        <v>0</v>
      </c>
      <c r="AC144" s="18">
        <v>0</v>
      </c>
      <c r="AD144" s="19">
        <f>(AC144/12*1*$D144*$F144*$G144*$H144*AD$11)+(AC144/12*11*$E144*$F144*$G144*$H144*AD$12)</f>
        <v>0</v>
      </c>
      <c r="AE144" s="18">
        <v>3</v>
      </c>
      <c r="AF144" s="19">
        <f>(AE144/12*1*$D144*$F144*$G144*$H144*AF$11)+(AE144/12*11*$E144*$F144*$G144*$H144*AF$12)</f>
        <v>51114.513450000006</v>
      </c>
      <c r="AG144" s="19">
        <f t="shared" si="94"/>
        <v>3</v>
      </c>
      <c r="AH144" s="20">
        <f t="shared" si="95"/>
        <v>100</v>
      </c>
      <c r="AI144" s="19">
        <v>1</v>
      </c>
      <c r="AJ144" s="19">
        <v>17155.82</v>
      </c>
      <c r="AK144" s="18"/>
      <c r="AL144" s="19">
        <v>0</v>
      </c>
      <c r="AM144" s="18"/>
      <c r="AN144" s="19">
        <f>(AM144/12*1*$D144*$F144*$G144*$I144*AN$11)+(AM144/12*11*$E144*$F144*$G144*$I144*AN$12)</f>
        <v>0</v>
      </c>
    </row>
    <row r="145" spans="1:40" s="41" customFormat="1" x14ac:dyDescent="0.25">
      <c r="A145" s="31">
        <v>34</v>
      </c>
      <c r="B145" s="31"/>
      <c r="C145" s="32" t="s">
        <v>182</v>
      </c>
      <c r="D145" s="15">
        <f t="shared" si="93"/>
        <v>10127</v>
      </c>
      <c r="E145" s="15">
        <v>10127</v>
      </c>
      <c r="F145" s="36"/>
      <c r="G145" s="35"/>
      <c r="H145" s="33"/>
      <c r="I145" s="33"/>
      <c r="J145" s="33"/>
      <c r="K145" s="33"/>
      <c r="L145" s="17">
        <v>2.57</v>
      </c>
      <c r="M145" s="37">
        <f t="shared" ref="M145:U145" si="168">SUM(M146:M148)</f>
        <v>0</v>
      </c>
      <c r="N145" s="37">
        <f t="shared" si="168"/>
        <v>0</v>
      </c>
      <c r="O145" s="37">
        <f t="shared" si="168"/>
        <v>0</v>
      </c>
      <c r="P145" s="37">
        <f t="shared" si="168"/>
        <v>0</v>
      </c>
      <c r="Q145" s="37">
        <f t="shared" si="168"/>
        <v>0</v>
      </c>
      <c r="R145" s="37">
        <f t="shared" si="168"/>
        <v>0</v>
      </c>
      <c r="S145" s="37">
        <f t="shared" si="168"/>
        <v>0</v>
      </c>
      <c r="T145" s="37">
        <f t="shared" si="168"/>
        <v>0</v>
      </c>
      <c r="U145" s="37">
        <f t="shared" si="168"/>
        <v>0</v>
      </c>
      <c r="V145" s="37">
        <f t="shared" ref="V145:AN145" si="169">SUM(V146:V148)</f>
        <v>0</v>
      </c>
      <c r="W145" s="37">
        <f t="shared" si="169"/>
        <v>0</v>
      </c>
      <c r="X145" s="37">
        <f t="shared" si="169"/>
        <v>0</v>
      </c>
      <c r="Y145" s="37">
        <f t="shared" si="169"/>
        <v>0</v>
      </c>
      <c r="Z145" s="37">
        <f t="shared" si="169"/>
        <v>0</v>
      </c>
      <c r="AA145" s="37">
        <f t="shared" si="169"/>
        <v>0</v>
      </c>
      <c r="AB145" s="37">
        <f t="shared" si="169"/>
        <v>0</v>
      </c>
      <c r="AC145" s="37">
        <f t="shared" si="169"/>
        <v>0</v>
      </c>
      <c r="AD145" s="37">
        <f t="shared" si="169"/>
        <v>0</v>
      </c>
      <c r="AE145" s="37">
        <f t="shared" si="169"/>
        <v>0</v>
      </c>
      <c r="AF145" s="37">
        <f t="shared" si="169"/>
        <v>0</v>
      </c>
      <c r="AG145" s="37">
        <f t="shared" si="169"/>
        <v>3</v>
      </c>
      <c r="AH145" s="37" t="e">
        <f t="shared" si="169"/>
        <v>#DIV/0!</v>
      </c>
      <c r="AI145" s="37">
        <f t="shared" si="169"/>
        <v>1</v>
      </c>
      <c r="AJ145" s="37">
        <f t="shared" si="169"/>
        <v>22339.42</v>
      </c>
      <c r="AK145" s="37">
        <v>0</v>
      </c>
      <c r="AL145" s="37">
        <v>0</v>
      </c>
      <c r="AM145" s="37">
        <f t="shared" ref="AM145" si="170">SUM(AM146:AM148)</f>
        <v>0</v>
      </c>
      <c r="AN145" s="37">
        <f t="shared" si="169"/>
        <v>0</v>
      </c>
    </row>
    <row r="146" spans="1:40" ht="45" x14ac:dyDescent="0.25">
      <c r="A146" s="31"/>
      <c r="B146" s="26">
        <v>100</v>
      </c>
      <c r="C146" s="14" t="s">
        <v>183</v>
      </c>
      <c r="D146" s="15">
        <f t="shared" ref="D146:D158" si="171">D145</f>
        <v>10127</v>
      </c>
      <c r="E146" s="15">
        <v>10127</v>
      </c>
      <c r="F146" s="16">
        <v>0.88</v>
      </c>
      <c r="G146" s="22">
        <v>1</v>
      </c>
      <c r="H146" s="15">
        <v>1.4</v>
      </c>
      <c r="I146" s="15">
        <v>1.68</v>
      </c>
      <c r="J146" s="15">
        <v>2.23</v>
      </c>
      <c r="K146" s="15">
        <v>2.39</v>
      </c>
      <c r="L146" s="17">
        <v>2.57</v>
      </c>
      <c r="M146" s="18">
        <v>0</v>
      </c>
      <c r="N146" s="19">
        <f>(M146/12*1*$D146*$F146*$G146*$I146*N$11)+(M146/12*11*$E146*$F146*$G146*$I146*N$12)</f>
        <v>0</v>
      </c>
      <c r="O146" s="18"/>
      <c r="P146" s="19">
        <f t="shared" si="89"/>
        <v>0</v>
      </c>
      <c r="Q146" s="18"/>
      <c r="R146" s="19">
        <f t="shared" si="90"/>
        <v>0</v>
      </c>
      <c r="S146" s="18"/>
      <c r="T146" s="19">
        <f t="shared" si="91"/>
        <v>0</v>
      </c>
      <c r="U146" s="18"/>
      <c r="V146" s="19">
        <f t="shared" si="114"/>
        <v>0</v>
      </c>
      <c r="W146" s="18">
        <v>0</v>
      </c>
      <c r="X146" s="19">
        <f t="shared" si="137"/>
        <v>0</v>
      </c>
      <c r="Y146" s="18"/>
      <c r="Z146" s="19">
        <f t="shared" si="109"/>
        <v>0</v>
      </c>
      <c r="AA146" s="18">
        <v>0</v>
      </c>
      <c r="AB146" s="19">
        <f t="shared" ref="AB146:AB148" si="172">(AA146/12*1*$D146*$F146*$G146*$I146*AB$11)+(AA146/12*11*$E146*$F146*$G146*$I146*AB$12)</f>
        <v>0</v>
      </c>
      <c r="AC146" s="18">
        <v>0</v>
      </c>
      <c r="AD146" s="19">
        <f>(AC146/12*1*$D146*$F146*$G146*$H146*AD$11)+(AC146/12*11*$E146*$F146*$G146*$H146*AD$12)</f>
        <v>0</v>
      </c>
      <c r="AE146" s="18"/>
      <c r="AF146" s="19">
        <f>(AE146/12*1*$D146*$F146*$G146*$H146*AF$11)+(AE146/12*11*$E146*$F146*$G146*$H146*AF$12)</f>
        <v>0</v>
      </c>
      <c r="AG146" s="19">
        <f t="shared" ref="AG146:AG157" si="173">AI146/4*12</f>
        <v>0</v>
      </c>
      <c r="AH146" s="20" t="e">
        <f t="shared" ref="AH146:AH157" si="174">AG146/AE146*100</f>
        <v>#DIV/0!</v>
      </c>
      <c r="AI146" s="19">
        <v>0</v>
      </c>
      <c r="AJ146" s="19">
        <v>0</v>
      </c>
      <c r="AK146" s="18"/>
      <c r="AL146" s="19">
        <v>0</v>
      </c>
      <c r="AM146" s="18">
        <v>0</v>
      </c>
      <c r="AN146" s="19">
        <f>(AM146/12*1*$D146*$F146*$G146*$I146*AN$11)+(AM146/12*11*$E146*$F146*$G146*$I146*AN$12)</f>
        <v>0</v>
      </c>
    </row>
    <row r="147" spans="1:40" ht="30" x14ac:dyDescent="0.25">
      <c r="A147" s="31"/>
      <c r="B147" s="26">
        <v>101</v>
      </c>
      <c r="C147" s="14" t="s">
        <v>184</v>
      </c>
      <c r="D147" s="15">
        <f t="shared" si="171"/>
        <v>10127</v>
      </c>
      <c r="E147" s="15">
        <v>10127</v>
      </c>
      <c r="F147" s="16">
        <v>0.92</v>
      </c>
      <c r="G147" s="22">
        <v>1</v>
      </c>
      <c r="H147" s="15">
        <v>1.4</v>
      </c>
      <c r="I147" s="15">
        <v>1.68</v>
      </c>
      <c r="J147" s="15">
        <v>2.23</v>
      </c>
      <c r="K147" s="15">
        <v>2.39</v>
      </c>
      <c r="L147" s="17">
        <v>2.57</v>
      </c>
      <c r="M147" s="18"/>
      <c r="N147" s="19">
        <f>(M147/12*1*$D147*$F147*$G147*$I147*N$11)+(M147/12*11*$E147*$F147*$G147*$I147*N$12)</f>
        <v>0</v>
      </c>
      <c r="O147" s="18"/>
      <c r="P147" s="19">
        <f t="shared" ref="P147:P158" si="175">(O147/12*1*$D147*$F147*$G147*$H147*P$11)+(O147/12*4*$E147*$F147*$G147*$H147*P$12)+(O147/12*7*$E147*$F147*$G147*$H147*P$13)</f>
        <v>0</v>
      </c>
      <c r="Q147" s="18"/>
      <c r="R147" s="19">
        <f t="shared" ref="R147:R148" si="176">(Q147/12*1*$D147*$F147*$G147*$H147*R$11)+(Q147/12*4*$E147*$F147*$G147*$H147*R$12)+(Q147/12*7*$E147*$F147*$G147*$H147*R$13)</f>
        <v>0</v>
      </c>
      <c r="S147" s="18"/>
      <c r="T147" s="19">
        <f t="shared" ref="T147:T158" si="177">(S147/12*1*$D147*$F147*$G147*$H147*T$11)+(S147/12*4*$E147*$F147*$G147*$H147*T$12)+(S147/12*7*$E147*$F147*$G147*$H147*T$13)</f>
        <v>0</v>
      </c>
      <c r="U147" s="18"/>
      <c r="V147" s="19">
        <f t="shared" si="114"/>
        <v>0</v>
      </c>
      <c r="W147" s="18"/>
      <c r="X147" s="19">
        <f t="shared" si="137"/>
        <v>0</v>
      </c>
      <c r="Y147" s="18"/>
      <c r="Z147" s="19">
        <f t="shared" si="109"/>
        <v>0</v>
      </c>
      <c r="AA147" s="18"/>
      <c r="AB147" s="19">
        <f t="shared" si="172"/>
        <v>0</v>
      </c>
      <c r="AC147" s="18"/>
      <c r="AD147" s="19">
        <f>(AC147/12*1*$D147*$F147*$G147*$H147*AD$11)+(AC147/12*11*$E147*$F147*$G147*$H147*AD$12)</f>
        <v>0</v>
      </c>
      <c r="AE147" s="18"/>
      <c r="AF147" s="19">
        <f>(AE147/12*1*$D147*$F147*$G147*$H147*AF$11)+(AE147/12*11*$E147*$F147*$G147*$H147*AF$12)</f>
        <v>0</v>
      </c>
      <c r="AG147" s="19">
        <f t="shared" si="173"/>
        <v>0</v>
      </c>
      <c r="AH147" s="20" t="e">
        <f t="shared" si="174"/>
        <v>#DIV/0!</v>
      </c>
      <c r="AI147" s="19"/>
      <c r="AJ147" s="19"/>
      <c r="AK147" s="18"/>
      <c r="AL147" s="19">
        <v>0</v>
      </c>
      <c r="AM147" s="18"/>
      <c r="AN147" s="19">
        <f>(AM147/12*1*$D147*$F147*$G147*$I147*AN$11)+(AM147/12*11*$E147*$F147*$G147*$I147*AN$12)</f>
        <v>0</v>
      </c>
    </row>
    <row r="148" spans="1:40" ht="30" x14ac:dyDescent="0.25">
      <c r="A148" s="31"/>
      <c r="B148" s="26">
        <v>102</v>
      </c>
      <c r="C148" s="14" t="s">
        <v>185</v>
      </c>
      <c r="D148" s="15">
        <f t="shared" si="171"/>
        <v>10127</v>
      </c>
      <c r="E148" s="15">
        <v>10127</v>
      </c>
      <c r="F148" s="16">
        <v>1.56</v>
      </c>
      <c r="G148" s="22">
        <v>1</v>
      </c>
      <c r="H148" s="15">
        <v>1.4</v>
      </c>
      <c r="I148" s="15">
        <v>1.68</v>
      </c>
      <c r="J148" s="15">
        <v>2.23</v>
      </c>
      <c r="K148" s="15">
        <v>2.39</v>
      </c>
      <c r="L148" s="17">
        <v>2.57</v>
      </c>
      <c r="M148" s="18"/>
      <c r="N148" s="19">
        <f>(M148/12*1*$D148*$F148*$G148*$I148*N$11)+(M148/12*11*$E148*$F148*$G148*$I148*N$12)</f>
        <v>0</v>
      </c>
      <c r="O148" s="18"/>
      <c r="P148" s="19">
        <f t="shared" si="175"/>
        <v>0</v>
      </c>
      <c r="Q148" s="18"/>
      <c r="R148" s="19">
        <f t="shared" si="176"/>
        <v>0</v>
      </c>
      <c r="S148" s="18"/>
      <c r="T148" s="19">
        <f t="shared" si="177"/>
        <v>0</v>
      </c>
      <c r="U148" s="18"/>
      <c r="V148" s="19">
        <f t="shared" si="114"/>
        <v>0</v>
      </c>
      <c r="W148" s="18"/>
      <c r="X148" s="19">
        <f t="shared" si="137"/>
        <v>0</v>
      </c>
      <c r="Y148" s="18"/>
      <c r="Z148" s="19">
        <f t="shared" si="109"/>
        <v>0</v>
      </c>
      <c r="AA148" s="18"/>
      <c r="AB148" s="19">
        <f t="shared" si="172"/>
        <v>0</v>
      </c>
      <c r="AC148" s="18"/>
      <c r="AD148" s="19">
        <f>(AC148/12*1*$D148*$F148*$G148*$H148*AD$11)+(AC148/12*11*$E148*$F148*$G148*$H148*AD$12)</f>
        <v>0</v>
      </c>
      <c r="AE148" s="18"/>
      <c r="AF148" s="19">
        <f>(AE148/12*1*$D148*$F148*$G148*$H148*AF$11)+(AE148/12*11*$E148*$F148*$G148*$H148*AF$12)</f>
        <v>0</v>
      </c>
      <c r="AG148" s="19">
        <f t="shared" si="173"/>
        <v>3</v>
      </c>
      <c r="AH148" s="20" t="e">
        <f t="shared" si="174"/>
        <v>#DIV/0!</v>
      </c>
      <c r="AI148" s="19">
        <v>1</v>
      </c>
      <c r="AJ148" s="19">
        <v>22339.42</v>
      </c>
      <c r="AK148" s="18"/>
      <c r="AL148" s="19">
        <v>0</v>
      </c>
      <c r="AM148" s="18"/>
      <c r="AN148" s="19">
        <f>(AM148/12*1*$D148*$F148*$G148*$I148*AN$11)+(AM148/12*11*$E148*$F148*$G148*$I148*AN$12)</f>
        <v>0</v>
      </c>
    </row>
    <row r="149" spans="1:40" s="41" customFormat="1" x14ac:dyDescent="0.25">
      <c r="A149" s="31">
        <v>35</v>
      </c>
      <c r="B149" s="31"/>
      <c r="C149" s="32" t="s">
        <v>186</v>
      </c>
      <c r="D149" s="15">
        <f t="shared" si="171"/>
        <v>10127</v>
      </c>
      <c r="E149" s="15">
        <v>10127</v>
      </c>
      <c r="F149" s="36">
        <v>1.4</v>
      </c>
      <c r="G149" s="35">
        <v>1</v>
      </c>
      <c r="H149" s="33">
        <v>1.4</v>
      </c>
      <c r="I149" s="33">
        <v>1.68</v>
      </c>
      <c r="J149" s="33">
        <v>2.23</v>
      </c>
      <c r="K149" s="33">
        <v>2.39</v>
      </c>
      <c r="L149" s="17">
        <v>2.57</v>
      </c>
      <c r="M149" s="25">
        <f t="shared" ref="M149:U149" si="178">SUM(M150:M153)</f>
        <v>0</v>
      </c>
      <c r="N149" s="25">
        <f t="shared" si="178"/>
        <v>0</v>
      </c>
      <c r="O149" s="25">
        <f t="shared" si="178"/>
        <v>0</v>
      </c>
      <c r="P149" s="25">
        <f t="shared" si="178"/>
        <v>0</v>
      </c>
      <c r="Q149" s="25">
        <f t="shared" si="178"/>
        <v>278</v>
      </c>
      <c r="R149" s="25">
        <f t="shared" si="178"/>
        <v>3622208.1441000002</v>
      </c>
      <c r="S149" s="25">
        <f t="shared" si="178"/>
        <v>0</v>
      </c>
      <c r="T149" s="25">
        <f t="shared" si="178"/>
        <v>0</v>
      </c>
      <c r="U149" s="25">
        <f t="shared" si="178"/>
        <v>162</v>
      </c>
      <c r="V149" s="25">
        <f t="shared" ref="V149:AN149" si="179">SUM(V150:V153)</f>
        <v>3062583.4402800007</v>
      </c>
      <c r="W149" s="25">
        <f t="shared" si="179"/>
        <v>124</v>
      </c>
      <c r="X149" s="25">
        <f t="shared" si="179"/>
        <v>2446989.0354000004</v>
      </c>
      <c r="Y149" s="25">
        <f t="shared" si="179"/>
        <v>370</v>
      </c>
      <c r="Z149" s="25">
        <f t="shared" si="179"/>
        <v>5004479.8440000005</v>
      </c>
      <c r="AA149" s="25">
        <f t="shared" si="179"/>
        <v>36</v>
      </c>
      <c r="AB149" s="25">
        <f t="shared" si="179"/>
        <v>724099.49015040009</v>
      </c>
      <c r="AC149" s="25">
        <f t="shared" si="179"/>
        <v>16</v>
      </c>
      <c r="AD149" s="25">
        <f t="shared" si="179"/>
        <v>267654.17952000001</v>
      </c>
      <c r="AE149" s="25">
        <f t="shared" si="179"/>
        <v>40</v>
      </c>
      <c r="AF149" s="25">
        <f t="shared" si="179"/>
        <v>669135.44880000013</v>
      </c>
      <c r="AG149" s="25">
        <f t="shared" si="179"/>
        <v>30</v>
      </c>
      <c r="AH149" s="25" t="e">
        <f t="shared" si="179"/>
        <v>#DIV/0!</v>
      </c>
      <c r="AI149" s="25">
        <f t="shared" si="179"/>
        <v>10</v>
      </c>
      <c r="AJ149" s="25">
        <f t="shared" si="179"/>
        <v>161548.25</v>
      </c>
      <c r="AK149" s="25">
        <v>37</v>
      </c>
      <c r="AL149" s="25">
        <v>997119.00288000004</v>
      </c>
      <c r="AM149" s="25">
        <f t="shared" ref="AM149" si="180">SUM(AM150:AM153)</f>
        <v>1</v>
      </c>
      <c r="AN149" s="25">
        <f t="shared" si="179"/>
        <v>27255.402719999998</v>
      </c>
    </row>
    <row r="150" spans="1:40" x14ac:dyDescent="0.25">
      <c r="A150" s="31"/>
      <c r="B150" s="26">
        <v>103</v>
      </c>
      <c r="C150" s="23" t="s">
        <v>187</v>
      </c>
      <c r="D150" s="15">
        <f t="shared" si="171"/>
        <v>10127</v>
      </c>
      <c r="E150" s="15">
        <v>10127</v>
      </c>
      <c r="F150" s="16">
        <v>1.08</v>
      </c>
      <c r="G150" s="22">
        <v>1</v>
      </c>
      <c r="H150" s="15">
        <v>1.4</v>
      </c>
      <c r="I150" s="15">
        <v>1.68</v>
      </c>
      <c r="J150" s="15">
        <v>2.23</v>
      </c>
      <c r="K150" s="15">
        <v>2.39</v>
      </c>
      <c r="L150" s="17">
        <v>2.57</v>
      </c>
      <c r="M150" s="18">
        <v>0</v>
      </c>
      <c r="N150" s="19">
        <f>(M150/12*1*$D150*$F150*$G150*$I150*N$11)+(M150/12*11*$E150*$F150*$G150*$I150*N$12)</f>
        <v>0</v>
      </c>
      <c r="O150" s="18"/>
      <c r="P150" s="19">
        <f t="shared" si="175"/>
        <v>0</v>
      </c>
      <c r="Q150" s="18">
        <v>277</v>
      </c>
      <c r="R150" s="19">
        <f t="shared" ref="R150:R158" si="181">(Q150/12*1*$D150*$F150*$G150*$H150*R$11)+(Q150/12*4*$E150*$F150*$G150*$H150*R$12)+(Q150/12*7*$E150*$F150*$G150*$H150*R$13)</f>
        <v>3605216.0508000003</v>
      </c>
      <c r="S150" s="18"/>
      <c r="T150" s="19">
        <f t="shared" si="177"/>
        <v>0</v>
      </c>
      <c r="U150" s="18">
        <v>160</v>
      </c>
      <c r="V150" s="19">
        <f t="shared" si="114"/>
        <v>3013406.3232000005</v>
      </c>
      <c r="W150" s="18">
        <v>118</v>
      </c>
      <c r="X150" s="19">
        <f t="shared" si="137"/>
        <v>2294659.9166400004</v>
      </c>
      <c r="Y150" s="18">
        <v>370</v>
      </c>
      <c r="Z150" s="19">
        <f t="shared" si="109"/>
        <v>5004479.8440000005</v>
      </c>
      <c r="AA150" s="18">
        <f>30+6</f>
        <v>36</v>
      </c>
      <c r="AB150" s="19">
        <f t="shared" ref="AB150:AB153" si="182">(AA150/12*1*$D150*$F150*$G150*$I150*AB$11)+(AA150/12*11*$E150*$F150*$G150*$I150*AB$12)</f>
        <v>724099.49015040009</v>
      </c>
      <c r="AC150" s="18">
        <f>13+3</f>
        <v>16</v>
      </c>
      <c r="AD150" s="19">
        <f>(AC150/12*1*$D150*$F150*$G150*$H150*AD$11)+(AC150/12*11*$E150*$F150*$G150*$H150*AD$12)</f>
        <v>267654.17952000001</v>
      </c>
      <c r="AE150" s="18">
        <f>23+17</f>
        <v>40</v>
      </c>
      <c r="AF150" s="19">
        <f>(AE150/12*1*$D150*$F150*$G150*$H150*AF$11)+(AE150/12*11*$E150*$F150*$G150*$H150*AF$12)</f>
        <v>669135.44880000013</v>
      </c>
      <c r="AG150" s="19">
        <f t="shared" si="173"/>
        <v>30</v>
      </c>
      <c r="AH150" s="20">
        <f t="shared" si="174"/>
        <v>75</v>
      </c>
      <c r="AI150" s="19">
        <v>10</v>
      </c>
      <c r="AJ150" s="19">
        <v>161548.25</v>
      </c>
      <c r="AK150" s="18">
        <v>37</v>
      </c>
      <c r="AL150" s="19">
        <v>997119.00288000004</v>
      </c>
      <c r="AM150" s="18">
        <v>1</v>
      </c>
      <c r="AN150" s="19">
        <f>(AM150/12*1*$D150*$F150*$G150*$I150*AN$11)+(AM150/12*11*$E150*$F150*$G150*$I150*AN$12)</f>
        <v>27255.402719999998</v>
      </c>
    </row>
    <row r="151" spans="1:40" ht="90" x14ac:dyDescent="0.25">
      <c r="A151" s="31"/>
      <c r="B151" s="26">
        <v>104</v>
      </c>
      <c r="C151" s="23" t="s">
        <v>188</v>
      </c>
      <c r="D151" s="15">
        <f t="shared" si="171"/>
        <v>10127</v>
      </c>
      <c r="E151" s="15">
        <v>10127</v>
      </c>
      <c r="F151" s="16">
        <v>1.41</v>
      </c>
      <c r="G151" s="22">
        <v>1</v>
      </c>
      <c r="H151" s="15">
        <v>1.4</v>
      </c>
      <c r="I151" s="15">
        <v>1.68</v>
      </c>
      <c r="J151" s="15">
        <v>2.23</v>
      </c>
      <c r="K151" s="15">
        <v>2.39</v>
      </c>
      <c r="L151" s="17">
        <v>2.57</v>
      </c>
      <c r="M151" s="18"/>
      <c r="N151" s="19">
        <f>(M151/12*1*$D151*$F151*$G151*$I151*N$11)+(M151/12*11*$E151*$F151*$G151*$I151*N$12)</f>
        <v>0</v>
      </c>
      <c r="O151" s="18"/>
      <c r="P151" s="19">
        <f t="shared" si="175"/>
        <v>0</v>
      </c>
      <c r="Q151" s="18">
        <v>1</v>
      </c>
      <c r="R151" s="19">
        <f t="shared" si="181"/>
        <v>16992.093299999997</v>
      </c>
      <c r="S151" s="18"/>
      <c r="T151" s="19">
        <f t="shared" si="177"/>
        <v>0</v>
      </c>
      <c r="U151" s="18">
        <v>2</v>
      </c>
      <c r="V151" s="19">
        <f t="shared" si="114"/>
        <v>49177.117079999996</v>
      </c>
      <c r="W151" s="18">
        <v>6</v>
      </c>
      <c r="X151" s="19">
        <f t="shared" si="137"/>
        <v>152329.11875999998</v>
      </c>
      <c r="Y151" s="18"/>
      <c r="Z151" s="19">
        <f t="shared" si="109"/>
        <v>0</v>
      </c>
      <c r="AA151" s="18">
        <v>0</v>
      </c>
      <c r="AB151" s="19">
        <f t="shared" si="182"/>
        <v>0</v>
      </c>
      <c r="AC151" s="18">
        <v>0</v>
      </c>
      <c r="AD151" s="19">
        <f>(AC151/12*1*$D151*$F151*$G151*$H151*AD$11)+(AC151/12*11*$E151*$F151*$G151*$H151*AD$12)</f>
        <v>0</v>
      </c>
      <c r="AE151" s="18"/>
      <c r="AF151" s="19">
        <f>(AE151/12*1*$D151*$F151*$G151*$H151*AF$11)+(AE151/12*11*$E151*$F151*$G151*$H151*AF$12)</f>
        <v>0</v>
      </c>
      <c r="AG151" s="19">
        <f t="shared" si="173"/>
        <v>0</v>
      </c>
      <c r="AH151" s="19" t="e">
        <f t="shared" si="174"/>
        <v>#DIV/0!</v>
      </c>
      <c r="AI151" s="19">
        <v>0</v>
      </c>
      <c r="AJ151" s="19">
        <v>0</v>
      </c>
      <c r="AK151" s="18"/>
      <c r="AL151" s="19">
        <v>0</v>
      </c>
      <c r="AM151" s="18">
        <v>0</v>
      </c>
      <c r="AN151" s="19">
        <f>(AM151/12*1*$D151*$F151*$G151*$I151*AN$11)+(AM151/12*11*$E151*$F151*$G151*$I151*AN$12)</f>
        <v>0</v>
      </c>
    </row>
    <row r="152" spans="1:40" x14ac:dyDescent="0.25">
      <c r="A152" s="31"/>
      <c r="B152" s="26">
        <v>105</v>
      </c>
      <c r="C152" s="23" t="s">
        <v>189</v>
      </c>
      <c r="D152" s="15">
        <f t="shared" si="171"/>
        <v>10127</v>
      </c>
      <c r="E152" s="15">
        <v>10127</v>
      </c>
      <c r="F152" s="21">
        <v>2.58</v>
      </c>
      <c r="G152" s="22">
        <v>1</v>
      </c>
      <c r="H152" s="15">
        <v>1.4</v>
      </c>
      <c r="I152" s="15">
        <v>1.68</v>
      </c>
      <c r="J152" s="15">
        <v>2.23</v>
      </c>
      <c r="K152" s="15">
        <v>2.39</v>
      </c>
      <c r="L152" s="17">
        <v>2.57</v>
      </c>
      <c r="M152" s="24"/>
      <c r="N152" s="19">
        <f>(M152/12*1*$D152*$F152*$G152*$I152*N$11)+(M152/12*11*$E152*$F152*$G152*$I152*N$12)</f>
        <v>0</v>
      </c>
      <c r="O152" s="24"/>
      <c r="P152" s="19">
        <f t="shared" si="175"/>
        <v>0</v>
      </c>
      <c r="Q152" s="24"/>
      <c r="R152" s="19">
        <f t="shared" si="181"/>
        <v>0</v>
      </c>
      <c r="S152" s="24"/>
      <c r="T152" s="19">
        <f t="shared" si="177"/>
        <v>0</v>
      </c>
      <c r="U152" s="24"/>
      <c r="V152" s="19">
        <f t="shared" si="114"/>
        <v>0</v>
      </c>
      <c r="W152" s="24"/>
      <c r="X152" s="19">
        <f t="shared" si="137"/>
        <v>0</v>
      </c>
      <c r="Y152" s="24"/>
      <c r="Z152" s="19">
        <f t="shared" si="109"/>
        <v>0</v>
      </c>
      <c r="AA152" s="24"/>
      <c r="AB152" s="19">
        <f t="shared" si="182"/>
        <v>0</v>
      </c>
      <c r="AC152" s="24"/>
      <c r="AD152" s="19">
        <f>(AC152/12*1*$D152*$F152*$G152*$H152*AD$11)+(AC152/12*11*$E152*$F152*$G152*$H152*AD$12)</f>
        <v>0</v>
      </c>
      <c r="AE152" s="28"/>
      <c r="AF152" s="19">
        <f>(AE152/12*1*$D152*$F152*$G152*$H152*AF$11)+(AE152/12*11*$E152*$F152*$G152*$H152*AF$12)</f>
        <v>0</v>
      </c>
      <c r="AG152" s="19">
        <f t="shared" si="173"/>
        <v>0</v>
      </c>
      <c r="AH152" s="19" t="e">
        <f t="shared" si="174"/>
        <v>#DIV/0!</v>
      </c>
      <c r="AI152" s="19"/>
      <c r="AJ152" s="19"/>
      <c r="AK152" s="24"/>
      <c r="AL152" s="19">
        <v>0</v>
      </c>
      <c r="AM152" s="24"/>
      <c r="AN152" s="19">
        <f>(AM152/12*1*$D152*$F152*$G152*$I152*AN$11)+(AM152/12*11*$E152*$F152*$G152*$I152*AN$12)</f>
        <v>0</v>
      </c>
    </row>
    <row r="153" spans="1:40" ht="45" x14ac:dyDescent="0.25">
      <c r="A153" s="31"/>
      <c r="B153" s="26">
        <v>106</v>
      </c>
      <c r="C153" s="23" t="s">
        <v>190</v>
      </c>
      <c r="D153" s="15">
        <f t="shared" si="171"/>
        <v>10127</v>
      </c>
      <c r="E153" s="15">
        <v>10127</v>
      </c>
      <c r="F153" s="21">
        <v>12.27</v>
      </c>
      <c r="G153" s="22">
        <v>1</v>
      </c>
      <c r="H153" s="15">
        <v>1.4</v>
      </c>
      <c r="I153" s="15">
        <v>1.68</v>
      </c>
      <c r="J153" s="15">
        <v>2.23</v>
      </c>
      <c r="K153" s="15">
        <v>2.39</v>
      </c>
      <c r="L153" s="17">
        <v>2.57</v>
      </c>
      <c r="M153" s="24"/>
      <c r="N153" s="19">
        <f>(M153/12*1*$D153*$F153*$G153*$I153*N$11)+(M153/12*11*$E153*$F153*$G153*$I153*N$12)</f>
        <v>0</v>
      </c>
      <c r="O153" s="24"/>
      <c r="P153" s="19">
        <f t="shared" si="175"/>
        <v>0</v>
      </c>
      <c r="Q153" s="24"/>
      <c r="R153" s="19">
        <f t="shared" si="181"/>
        <v>0</v>
      </c>
      <c r="S153" s="24"/>
      <c r="T153" s="19">
        <f t="shared" si="177"/>
        <v>0</v>
      </c>
      <c r="U153" s="24"/>
      <c r="V153" s="19">
        <f t="shared" si="114"/>
        <v>0</v>
      </c>
      <c r="W153" s="24"/>
      <c r="X153" s="19">
        <f t="shared" si="137"/>
        <v>0</v>
      </c>
      <c r="Y153" s="24"/>
      <c r="Z153" s="19">
        <f t="shared" si="109"/>
        <v>0</v>
      </c>
      <c r="AA153" s="24"/>
      <c r="AB153" s="19">
        <f t="shared" si="182"/>
        <v>0</v>
      </c>
      <c r="AC153" s="24"/>
      <c r="AD153" s="19">
        <f>(AC153/12*1*$D153*$F153*$G153*$H153*AD$11)+(AC153/12*11*$E153*$F153*$G153*$H153*AD$12)</f>
        <v>0</v>
      </c>
      <c r="AE153" s="28"/>
      <c r="AF153" s="19">
        <f>(AE153/12*1*$D153*$F153*$G153*$H153*AF$11)+(AE153/12*11*$E153*$F153*$G153*$H153*AF$12)</f>
        <v>0</v>
      </c>
      <c r="AG153" s="19">
        <f t="shared" si="173"/>
        <v>0</v>
      </c>
      <c r="AH153" s="19" t="e">
        <f t="shared" si="174"/>
        <v>#DIV/0!</v>
      </c>
      <c r="AI153" s="19"/>
      <c r="AJ153" s="19"/>
      <c r="AK153" s="24"/>
      <c r="AL153" s="19">
        <v>0</v>
      </c>
      <c r="AM153" s="24"/>
      <c r="AN153" s="19">
        <f>(AM153/12*1*$D153*$F153*$G153*$I153*AN$11)+(AM153/12*11*$E153*$F153*$G153*$I153*AN$12)</f>
        <v>0</v>
      </c>
    </row>
    <row r="154" spans="1:40" s="41" customFormat="1" x14ac:dyDescent="0.25">
      <c r="A154" s="31">
        <v>36</v>
      </c>
      <c r="B154" s="31"/>
      <c r="C154" s="32" t="s">
        <v>191</v>
      </c>
      <c r="D154" s="15">
        <f t="shared" si="171"/>
        <v>10127</v>
      </c>
      <c r="E154" s="15">
        <v>10127</v>
      </c>
      <c r="F154" s="33"/>
      <c r="G154" s="35"/>
      <c r="H154" s="33"/>
      <c r="I154" s="33"/>
      <c r="J154" s="33"/>
      <c r="K154" s="33"/>
      <c r="L154" s="17">
        <v>2.57</v>
      </c>
      <c r="M154" s="37">
        <f t="shared" ref="M154:U154" si="183">SUM(M155:M158)</f>
        <v>0</v>
      </c>
      <c r="N154" s="37">
        <f t="shared" si="183"/>
        <v>0</v>
      </c>
      <c r="O154" s="37">
        <f t="shared" si="183"/>
        <v>0</v>
      </c>
      <c r="P154" s="37">
        <f t="shared" si="183"/>
        <v>0</v>
      </c>
      <c r="Q154" s="37">
        <f t="shared" si="183"/>
        <v>0</v>
      </c>
      <c r="R154" s="37">
        <f t="shared" si="183"/>
        <v>0</v>
      </c>
      <c r="S154" s="37">
        <f t="shared" si="183"/>
        <v>0</v>
      </c>
      <c r="T154" s="37">
        <f t="shared" si="183"/>
        <v>0</v>
      </c>
      <c r="U154" s="37">
        <f t="shared" si="183"/>
        <v>0</v>
      </c>
      <c r="V154" s="37">
        <f t="shared" ref="V154:AN154" si="184">SUM(V155:V158)</f>
        <v>0</v>
      </c>
      <c r="W154" s="37">
        <f t="shared" si="184"/>
        <v>0</v>
      </c>
      <c r="X154" s="37">
        <f t="shared" si="184"/>
        <v>0</v>
      </c>
      <c r="Y154" s="37">
        <f t="shared" si="184"/>
        <v>0</v>
      </c>
      <c r="Z154" s="37">
        <f t="shared" si="184"/>
        <v>0</v>
      </c>
      <c r="AA154" s="37">
        <f t="shared" si="184"/>
        <v>0</v>
      </c>
      <c r="AB154" s="37">
        <f t="shared" si="184"/>
        <v>0</v>
      </c>
      <c r="AC154" s="37">
        <f t="shared" si="184"/>
        <v>0</v>
      </c>
      <c r="AD154" s="37">
        <f t="shared" si="184"/>
        <v>0</v>
      </c>
      <c r="AE154" s="37">
        <f t="shared" si="184"/>
        <v>0</v>
      </c>
      <c r="AF154" s="37">
        <f t="shared" si="184"/>
        <v>0</v>
      </c>
      <c r="AG154" s="37">
        <f t="shared" si="184"/>
        <v>0</v>
      </c>
      <c r="AH154" s="37" t="e">
        <f t="shared" si="184"/>
        <v>#DIV/0!</v>
      </c>
      <c r="AI154" s="37">
        <f t="shared" si="184"/>
        <v>0</v>
      </c>
      <c r="AJ154" s="37">
        <f t="shared" si="184"/>
        <v>0</v>
      </c>
      <c r="AK154" s="37">
        <v>0</v>
      </c>
      <c r="AL154" s="37">
        <v>0</v>
      </c>
      <c r="AM154" s="37">
        <f t="shared" ref="AM154" si="185">SUM(AM155:AM158)</f>
        <v>0</v>
      </c>
      <c r="AN154" s="37">
        <f t="shared" si="184"/>
        <v>0</v>
      </c>
    </row>
    <row r="155" spans="1:40" ht="45" x14ac:dyDescent="0.25">
      <c r="A155" s="31"/>
      <c r="B155" s="26">
        <v>107</v>
      </c>
      <c r="C155" s="14" t="s">
        <v>192</v>
      </c>
      <c r="D155" s="15">
        <f t="shared" si="171"/>
        <v>10127</v>
      </c>
      <c r="E155" s="15">
        <v>10127</v>
      </c>
      <c r="F155" s="16">
        <v>0.56000000000000005</v>
      </c>
      <c r="G155" s="22">
        <v>1</v>
      </c>
      <c r="H155" s="15">
        <v>1.4</v>
      </c>
      <c r="I155" s="15">
        <v>1.68</v>
      </c>
      <c r="J155" s="15">
        <v>2.23</v>
      </c>
      <c r="K155" s="15">
        <v>2.39</v>
      </c>
      <c r="L155" s="17">
        <v>2.57</v>
      </c>
      <c r="M155" s="18"/>
      <c r="N155" s="19">
        <f>(M155/12*1*$D155*$F155*$G155*$I155*N$11)+(M155/12*11*$E155*$F155*$G155*$I155*N$12)</f>
        <v>0</v>
      </c>
      <c r="O155" s="18"/>
      <c r="P155" s="19">
        <f t="shared" si="175"/>
        <v>0</v>
      </c>
      <c r="Q155" s="18"/>
      <c r="R155" s="19">
        <f t="shared" si="181"/>
        <v>0</v>
      </c>
      <c r="S155" s="18"/>
      <c r="T155" s="19">
        <f t="shared" si="177"/>
        <v>0</v>
      </c>
      <c r="U155" s="18">
        <v>0</v>
      </c>
      <c r="V155" s="19">
        <f t="shared" si="114"/>
        <v>0</v>
      </c>
      <c r="W155" s="18"/>
      <c r="X155" s="19">
        <f t="shared" si="137"/>
        <v>0</v>
      </c>
      <c r="Y155" s="18"/>
      <c r="Z155" s="19">
        <f t="shared" si="109"/>
        <v>0</v>
      </c>
      <c r="AA155" s="18">
        <v>0</v>
      </c>
      <c r="AB155" s="19">
        <f t="shared" ref="AB155:AB158" si="186">(AA155/12*1*$D155*$F155*$G155*$I155*AB$11)+(AA155/12*11*$E155*$F155*$G155*$I155*AB$12)</f>
        <v>0</v>
      </c>
      <c r="AC155" s="18">
        <v>0</v>
      </c>
      <c r="AD155" s="19">
        <f>(AC155/12*1*$D155*$F155*$G155*$H155*AD$11)+(AC155/12*11*$E155*$F155*$G155*$H155*AD$12)</f>
        <v>0</v>
      </c>
      <c r="AE155" s="18"/>
      <c r="AF155" s="19">
        <f>(AE155/12*1*$D155*$F155*$G155*$H155*AF$11)+(AE155/12*11*$E155*$F155*$G155*$H155*AF$12)</f>
        <v>0</v>
      </c>
      <c r="AG155" s="19">
        <f t="shared" si="173"/>
        <v>0</v>
      </c>
      <c r="AH155" s="19" t="e">
        <f t="shared" si="174"/>
        <v>#DIV/0!</v>
      </c>
      <c r="AI155" s="19">
        <v>0</v>
      </c>
      <c r="AJ155" s="19">
        <v>0</v>
      </c>
      <c r="AK155" s="18"/>
      <c r="AL155" s="19">
        <v>0</v>
      </c>
      <c r="AM155" s="18">
        <v>0</v>
      </c>
      <c r="AN155" s="19">
        <f>(AM155/12*1*$D155*$F155*$G155*$I155*AN$11)+(AM155/12*11*$E155*$F155*$G155*$I155*AN$12)</f>
        <v>0</v>
      </c>
    </row>
    <row r="156" spans="1:40" ht="75" x14ac:dyDescent="0.25">
      <c r="A156" s="31"/>
      <c r="B156" s="26">
        <v>108</v>
      </c>
      <c r="C156" s="23" t="s">
        <v>193</v>
      </c>
      <c r="D156" s="15">
        <f t="shared" si="171"/>
        <v>10127</v>
      </c>
      <c r="E156" s="15">
        <v>10127</v>
      </c>
      <c r="F156" s="16">
        <v>0.46</v>
      </c>
      <c r="G156" s="22">
        <v>1</v>
      </c>
      <c r="H156" s="15">
        <v>1.4</v>
      </c>
      <c r="I156" s="15">
        <v>1.68</v>
      </c>
      <c r="J156" s="15">
        <v>2.23</v>
      </c>
      <c r="K156" s="15">
        <v>2.39</v>
      </c>
      <c r="L156" s="17">
        <v>2.57</v>
      </c>
      <c r="M156" s="18"/>
      <c r="N156" s="19">
        <f>(M156/12*1*$D156*$F156*$G156*$I156*N$11)+(M156/12*11*$E156*$F156*$G156*$I156*N$12)</f>
        <v>0</v>
      </c>
      <c r="O156" s="18"/>
      <c r="P156" s="19">
        <f t="shared" si="175"/>
        <v>0</v>
      </c>
      <c r="Q156" s="18"/>
      <c r="R156" s="19">
        <f t="shared" si="181"/>
        <v>0</v>
      </c>
      <c r="S156" s="18"/>
      <c r="T156" s="19">
        <f t="shared" si="177"/>
        <v>0</v>
      </c>
      <c r="U156" s="18">
        <v>0</v>
      </c>
      <c r="V156" s="19">
        <f t="shared" si="114"/>
        <v>0</v>
      </c>
      <c r="W156" s="18">
        <v>0</v>
      </c>
      <c r="X156" s="19">
        <f t="shared" si="137"/>
        <v>0</v>
      </c>
      <c r="Y156" s="18"/>
      <c r="Z156" s="19">
        <f t="shared" si="109"/>
        <v>0</v>
      </c>
      <c r="AA156" s="18">
        <v>0</v>
      </c>
      <c r="AB156" s="19">
        <f t="shared" si="186"/>
        <v>0</v>
      </c>
      <c r="AC156" s="18"/>
      <c r="AD156" s="19">
        <f>(AC156/12*1*$D156*$F156*$G156*$H156*AD$11)+(AC156/12*11*$E156*$F156*$G156*$H156*AD$12)</f>
        <v>0</v>
      </c>
      <c r="AE156" s="18"/>
      <c r="AF156" s="19">
        <f>(AE156/12*1*$D156*$F156*$G156*$H156*AF$11)+(AE156/12*11*$E156*$F156*$G156*$H156*AF$12)</f>
        <v>0</v>
      </c>
      <c r="AG156" s="19">
        <f t="shared" si="173"/>
        <v>0</v>
      </c>
      <c r="AH156" s="19" t="e">
        <f t="shared" si="174"/>
        <v>#DIV/0!</v>
      </c>
      <c r="AI156" s="19">
        <v>0</v>
      </c>
      <c r="AJ156" s="19">
        <v>0</v>
      </c>
      <c r="AK156" s="18"/>
      <c r="AL156" s="19">
        <v>0</v>
      </c>
      <c r="AM156" s="18">
        <v>0</v>
      </c>
      <c r="AN156" s="19">
        <f>(AM156/12*1*$D156*$F156*$G156*$I156*AN$11)+(AM156/12*11*$E156*$F156*$G156*$I156*AN$12)</f>
        <v>0</v>
      </c>
    </row>
    <row r="157" spans="1:40" ht="45" x14ac:dyDescent="0.25">
      <c r="A157" s="31"/>
      <c r="B157" s="26">
        <v>109</v>
      </c>
      <c r="C157" s="23" t="s">
        <v>194</v>
      </c>
      <c r="D157" s="15">
        <f t="shared" si="171"/>
        <v>10127</v>
      </c>
      <c r="E157" s="15">
        <v>10127</v>
      </c>
      <c r="F157" s="16">
        <v>9.74</v>
      </c>
      <c r="G157" s="22">
        <v>1</v>
      </c>
      <c r="H157" s="15">
        <v>1.4</v>
      </c>
      <c r="I157" s="15">
        <v>1.68</v>
      </c>
      <c r="J157" s="15">
        <v>2.23</v>
      </c>
      <c r="K157" s="15">
        <v>2.39</v>
      </c>
      <c r="L157" s="17">
        <v>2.57</v>
      </c>
      <c r="M157" s="18"/>
      <c r="N157" s="19">
        <f>(M157/12*1*$D157*$F157*$G157*$I157*N$11)+(M157/12*11*$E157*$F157*$G157*$I157*N$12)</f>
        <v>0</v>
      </c>
      <c r="O157" s="18"/>
      <c r="P157" s="19">
        <f t="shared" si="175"/>
        <v>0</v>
      </c>
      <c r="Q157" s="18"/>
      <c r="R157" s="19">
        <f t="shared" si="181"/>
        <v>0</v>
      </c>
      <c r="S157" s="18"/>
      <c r="T157" s="19">
        <f t="shared" si="177"/>
        <v>0</v>
      </c>
      <c r="U157" s="18"/>
      <c r="V157" s="19">
        <f t="shared" si="114"/>
        <v>0</v>
      </c>
      <c r="W157" s="18"/>
      <c r="X157" s="19">
        <f t="shared" si="137"/>
        <v>0</v>
      </c>
      <c r="Y157" s="18"/>
      <c r="Z157" s="19">
        <f t="shared" si="109"/>
        <v>0</v>
      </c>
      <c r="AA157" s="18"/>
      <c r="AB157" s="19">
        <f t="shared" si="186"/>
        <v>0</v>
      </c>
      <c r="AC157" s="18"/>
      <c r="AD157" s="19">
        <f>(AC157/12*1*$D157*$F157*$G157*$H157*AD$11)+(AC157/12*11*$E157*$F157*$G157*$H157*AD$12)</f>
        <v>0</v>
      </c>
      <c r="AE157" s="18"/>
      <c r="AF157" s="19">
        <f>(AE157/12*1*$D157*$F157*$G157*$H157*AF$11)+(AE157/12*11*$E157*$F157*$G157*$H157*AF$12)</f>
        <v>0</v>
      </c>
      <c r="AG157" s="19">
        <f t="shared" si="173"/>
        <v>0</v>
      </c>
      <c r="AH157" s="19" t="e">
        <f t="shared" si="174"/>
        <v>#DIV/0!</v>
      </c>
      <c r="AI157" s="19"/>
      <c r="AJ157" s="19"/>
      <c r="AK157" s="18"/>
      <c r="AL157" s="19">
        <v>0</v>
      </c>
      <c r="AM157" s="18"/>
      <c r="AN157" s="19">
        <f>(AM157/12*1*$D157*$F157*$G157*$I157*AN$11)+(AM157/12*11*$E157*$F157*$G157*$I157*AN$12)</f>
        <v>0</v>
      </c>
    </row>
    <row r="158" spans="1:40" ht="30" x14ac:dyDescent="0.25">
      <c r="A158" s="6"/>
      <c r="B158" s="42">
        <v>110</v>
      </c>
      <c r="C158" s="23" t="s">
        <v>195</v>
      </c>
      <c r="D158" s="15">
        <f t="shared" si="171"/>
        <v>10127</v>
      </c>
      <c r="E158" s="15">
        <v>10127</v>
      </c>
      <c r="F158" s="16">
        <v>7.4</v>
      </c>
      <c r="G158" s="22">
        <v>1</v>
      </c>
      <c r="H158" s="15">
        <v>1.4</v>
      </c>
      <c r="I158" s="15">
        <v>1.68</v>
      </c>
      <c r="J158" s="15">
        <v>2.23</v>
      </c>
      <c r="K158" s="15">
        <v>2.39</v>
      </c>
      <c r="L158" s="17">
        <v>2.57</v>
      </c>
      <c r="M158" s="18"/>
      <c r="N158" s="19">
        <f>(M158/12*1*$D158*$F158*$G158*$I158*N$11)+(M158/12*11*$E158*$F158*$G158*$I158*N$12)</f>
        <v>0</v>
      </c>
      <c r="O158" s="18"/>
      <c r="P158" s="19">
        <f t="shared" si="175"/>
        <v>0</v>
      </c>
      <c r="Q158" s="18"/>
      <c r="R158" s="19">
        <f t="shared" si="181"/>
        <v>0</v>
      </c>
      <c r="S158" s="18"/>
      <c r="T158" s="19">
        <f t="shared" si="177"/>
        <v>0</v>
      </c>
      <c r="U158" s="18"/>
      <c r="V158" s="19">
        <f t="shared" si="114"/>
        <v>0</v>
      </c>
      <c r="W158" s="18"/>
      <c r="X158" s="19">
        <f t="shared" si="137"/>
        <v>0</v>
      </c>
      <c r="Y158" s="18"/>
      <c r="Z158" s="19">
        <f t="shared" ref="Z158" si="187">(Y158/12*1*$D158*$F158*$G158*$H158*Z$11)+(Y158/12*4*$E158*$F158*$G158*$H158*Z$12)+(Y158/12*7*$E158*$F158*$G158*$H158*Z$13)</f>
        <v>0</v>
      </c>
      <c r="AA158" s="18"/>
      <c r="AB158" s="19">
        <f t="shared" si="186"/>
        <v>0</v>
      </c>
      <c r="AC158" s="18"/>
      <c r="AD158" s="19">
        <f>(AC158/12*1*$D158*$F158*$G158*$H158*AD$11)+(AC158/12*11*$E158*$F158*$G158*$H158*AD$12)</f>
        <v>0</v>
      </c>
      <c r="AE158" s="18"/>
      <c r="AF158" s="19">
        <f>(AE158/12*1*$D158*$F158*$G158*$H158*AF$11)+(AE158/12*11*$E158*$F158*$G158*$H158*AF$12)</f>
        <v>0</v>
      </c>
      <c r="AG158" s="19"/>
      <c r="AH158" s="19"/>
      <c r="AI158" s="19"/>
      <c r="AJ158" s="19"/>
      <c r="AK158" s="18"/>
      <c r="AL158" s="19">
        <v>0</v>
      </c>
      <c r="AM158" s="18"/>
      <c r="AN158" s="19">
        <f>(AM158/12*1*$D158*$F158*$G158*$I158*AN$11)+(AM158/12*11*$E158*$F158*$G158*$I158*AN$12)</f>
        <v>0</v>
      </c>
    </row>
    <row r="159" spans="1:40" ht="15.75" customHeight="1" x14ac:dyDescent="0.25">
      <c r="A159" s="45"/>
      <c r="B159" s="45"/>
      <c r="C159" s="43" t="s">
        <v>196</v>
      </c>
      <c r="D159" s="25"/>
      <c r="E159" s="25"/>
      <c r="F159" s="25"/>
      <c r="G159" s="25"/>
      <c r="H159" s="25"/>
      <c r="I159" s="25"/>
      <c r="J159" s="25"/>
      <c r="K159" s="25"/>
      <c r="L159" s="25"/>
      <c r="M159" s="25">
        <f t="shared" ref="M159:T159" si="188">M14+M15+M22+M24+M26+M28+M30+M32+M36+M39+M41+M44+M54+M57+M60+M64+M67+M69+M74+M86+M93+M100+M103+M105+M107+M111+M113+M115+M117+M122+M129+M135+M143+M145+M149+M154</f>
        <v>841</v>
      </c>
      <c r="N159" s="25">
        <f t="shared" si="188"/>
        <v>14228448.205608001</v>
      </c>
      <c r="O159" s="25">
        <f t="shared" si="188"/>
        <v>480</v>
      </c>
      <c r="P159" s="25">
        <f t="shared" si="188"/>
        <v>4671017.9880000008</v>
      </c>
      <c r="Q159" s="25">
        <f t="shared" si="188"/>
        <v>4000</v>
      </c>
      <c r="R159" s="25">
        <f t="shared" si="188"/>
        <v>45456621.337400004</v>
      </c>
      <c r="S159" s="25">
        <f t="shared" si="188"/>
        <v>900</v>
      </c>
      <c r="T159" s="25">
        <f t="shared" si="188"/>
        <v>8724174.5408999994</v>
      </c>
      <c r="U159" s="25">
        <f t="shared" ref="U159:AF159" si="189">U14+U15+U22+U24+U26+U28+U30+U32+U36+U39+U41+U44+U54+U57+U60+U64+U67+U69+U74+U86+U93+U100+U103+U105+U107+U111+U113+U115+U117+U122+U129+U135+U143+U145+U149+U154</f>
        <v>1623</v>
      </c>
      <c r="V159" s="25">
        <f t="shared" si="189"/>
        <v>25033768.397820003</v>
      </c>
      <c r="W159" s="25">
        <f t="shared" si="189"/>
        <v>1200</v>
      </c>
      <c r="X159" s="25">
        <f t="shared" si="189"/>
        <v>19395854.223200001</v>
      </c>
      <c r="Y159" s="25">
        <f t="shared" si="189"/>
        <v>3120</v>
      </c>
      <c r="Z159" s="25">
        <f t="shared" si="189"/>
        <v>33990136.550066665</v>
      </c>
      <c r="AA159" s="25">
        <f t="shared" si="189"/>
        <v>400</v>
      </c>
      <c r="AB159" s="25">
        <f t="shared" si="189"/>
        <v>7563748.0950304009</v>
      </c>
      <c r="AC159" s="25">
        <f>AC14+AC15+AC22+AC24+AC26+AC28+AC30+AC32+AC36+AC39+AC41+AC44+AC54+AC57+AC60+AC64+AC67+AC69+AC74+AC86+AC93+AC100+AC103+AC105+AC107+AC111+AC113+AC115+AC117+AC122+AC129+AC135+AC143+AC145+AC149+AC154</f>
        <v>320</v>
      </c>
      <c r="AD159" s="25">
        <f>AD14+AD15+AD22+AD24+AD26+AD28+AD30+AD32+AD36+AD39+AD41+AD44+AD54+AD57+AD60+AD64+AD67+AD69+AD74+AD86+AD93+AD100+AD103+AD105+AD107+AD111+AD113+AD115+AD117+AD122+AD129+AD135+AD143+AD145+AD149+AD154</f>
        <v>4543150.8909150008</v>
      </c>
      <c r="AE159" s="25">
        <f t="shared" si="189"/>
        <v>1884</v>
      </c>
      <c r="AF159" s="25">
        <f t="shared" si="189"/>
        <v>29581362.965700004</v>
      </c>
      <c r="AG159" s="25"/>
      <c r="AH159" s="25"/>
      <c r="AI159" s="25">
        <f>SUM(AI16:AI158)</f>
        <v>1925</v>
      </c>
      <c r="AJ159" s="25">
        <f>SUM(AJ16:AJ158)</f>
        <v>25445959.639999997</v>
      </c>
      <c r="AK159" s="25">
        <f t="shared" ref="AK159:AL159" si="190">AK14+AK15+AK22+AK24+AK26+AK28+AK30+AK32+AK36+AK39+AK41+AK44+AK54+AK57+AK60+AK64+AK67+AK69+AK74+AK86+AK93+AK100+AK103+AK105+AK107+AK111+AK113+AK115+AK117+AK122+AK129+AK135+AK143+AK145+AK149+AK154</f>
        <v>350</v>
      </c>
      <c r="AL159" s="25">
        <f t="shared" si="190"/>
        <v>8750243.2617600001</v>
      </c>
      <c r="AM159" s="25">
        <f>AM14+AM15+AM22+AM24+AM26+AM28+AM30+AM32+AM36+AM39+AM41+AM44+AM54+AM57+AM60+AM64+AM67+AM69+AM74+AM86+AM93+AM100+AM103+AM105+AM107+AM111+AM113+AM115+AM117+AM122+AM129+AM135+AM143+AM145+AM149+AM154</f>
        <v>75</v>
      </c>
      <c r="AN159" s="25">
        <f>AN14+AN15+AN22+AN24+AN26+AN28+AN30+AN32+AN36+AN39+AN41+AN44+AN54+AN57+AN60+AN64+AN67+AN69+AN74+AN86+AN93+AN100+AN103+AN105+AN107+AN111+AN113+AN115+AN117+AN122+AN129+AN135+AN143+AN145+AN149+AN154</f>
        <v>1893745.75936</v>
      </c>
    </row>
  </sheetData>
  <autoFilter ref="A14:AN159"/>
  <mergeCells count="66">
    <mergeCell ref="A6:A10"/>
    <mergeCell ref="B6:B10"/>
    <mergeCell ref="C6:C10"/>
    <mergeCell ref="D6:D10"/>
    <mergeCell ref="E6:E10"/>
    <mergeCell ref="A4:R4"/>
    <mergeCell ref="P1:R3"/>
    <mergeCell ref="M7:N7"/>
    <mergeCell ref="AK6:AL6"/>
    <mergeCell ref="AM6:AN6"/>
    <mergeCell ref="AE6:AF6"/>
    <mergeCell ref="AI6:AJ6"/>
    <mergeCell ref="AA6:AB6"/>
    <mergeCell ref="AC6:AD6"/>
    <mergeCell ref="Y6:Z6"/>
    <mergeCell ref="W6:X6"/>
    <mergeCell ref="S6:T6"/>
    <mergeCell ref="U6:V6"/>
    <mergeCell ref="O6:P6"/>
    <mergeCell ref="Q6:R6"/>
    <mergeCell ref="M6:N6"/>
    <mergeCell ref="Y7:Z7"/>
    <mergeCell ref="W7:X7"/>
    <mergeCell ref="U7:V7"/>
    <mergeCell ref="O7:P7"/>
    <mergeCell ref="Q7:R7"/>
    <mergeCell ref="S7:T7"/>
    <mergeCell ref="AE7:AF7"/>
    <mergeCell ref="AK7:AL7"/>
    <mergeCell ref="AM7:AN7"/>
    <mergeCell ref="AA7:AB7"/>
    <mergeCell ref="AC7:AD7"/>
    <mergeCell ref="M9:N9"/>
    <mergeCell ref="AK8:AL8"/>
    <mergeCell ref="AM8:AN8"/>
    <mergeCell ref="AC8:AD8"/>
    <mergeCell ref="AE8:AF8"/>
    <mergeCell ref="Y8:Z8"/>
    <mergeCell ref="AA8:AB8"/>
    <mergeCell ref="U8:V8"/>
    <mergeCell ref="W8:X8"/>
    <mergeCell ref="Q8:R8"/>
    <mergeCell ref="S8:T8"/>
    <mergeCell ref="O8:P8"/>
    <mergeCell ref="M8:N8"/>
    <mergeCell ref="Y9:Z9"/>
    <mergeCell ref="W9:X9"/>
    <mergeCell ref="U9:V9"/>
    <mergeCell ref="O9:P9"/>
    <mergeCell ref="Q9:R9"/>
    <mergeCell ref="S9:T9"/>
    <mergeCell ref="AE9:AF9"/>
    <mergeCell ref="AK9:AL9"/>
    <mergeCell ref="AM9:AN9"/>
    <mergeCell ref="AA9:AB9"/>
    <mergeCell ref="AC9:AD9"/>
    <mergeCell ref="H7:K8"/>
    <mergeCell ref="L7:L8"/>
    <mergeCell ref="F6:F10"/>
    <mergeCell ref="G6:G10"/>
    <mergeCell ref="H9:H10"/>
    <mergeCell ref="I9:I10"/>
    <mergeCell ref="J9:J10"/>
    <mergeCell ref="K9:K10"/>
    <mergeCell ref="L9:L10"/>
    <mergeCell ref="H6:L6"/>
  </mergeCells>
  <pageMargins left="0.11811023622047245" right="0.11811023622047245" top="0.15748031496062992" bottom="0.15748031496062992" header="0.31496062992125984" footer="0.31496062992125984"/>
  <pageSetup paperSize="9" scale="69" orientation="landscape" r:id="rId1"/>
  <colBreaks count="2" manualBreakCount="2">
    <brk id="18" max="1048575" man="1"/>
    <brk id="3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Сафронова Ирина Александровна</dc:creator>
  <cp:lastModifiedBy>Сафронова Ирина Александровна</cp:lastModifiedBy>
  <cp:lastPrinted>2016-07-05T00:36:57Z</cp:lastPrinted>
  <dcterms:created xsi:type="dcterms:W3CDTF">2016-07-05T00:26:33Z</dcterms:created>
  <dcterms:modified xsi:type="dcterms:W3CDTF">2016-07-07T06:25:10Z</dcterms:modified>
</cp:coreProperties>
</file>