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10" yWindow="105" windowWidth="16185" windowHeight="12630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G338" i="156" l="1"/>
  <c r="G26" i="157" l="1"/>
  <c r="F261" i="37" l="1"/>
  <c r="B262" i="37"/>
  <c r="J267" i="156" l="1"/>
  <c r="J197" i="156"/>
  <c r="F243" i="37" l="1"/>
  <c r="F244" i="37"/>
  <c r="F245" i="37"/>
  <c r="D246" i="37"/>
  <c r="E246" i="37"/>
  <c r="F246" i="37"/>
  <c r="D247" i="37"/>
  <c r="E247" i="37"/>
  <c r="F247" i="37"/>
  <c r="F248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9" i="156"/>
  <c r="H168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H355" i="157"/>
  <c r="H354" i="157"/>
  <c r="H353" i="157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H32" i="157"/>
  <c r="H31" i="157"/>
  <c r="H30" i="157"/>
  <c r="H18" i="157"/>
  <c r="H17" i="157"/>
  <c r="H16" i="157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I248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I192" i="37" s="1"/>
  <c r="B192" i="37"/>
  <c r="G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F262" i="37" s="1"/>
  <c r="D34" i="37"/>
  <c r="I111" i="157"/>
  <c r="G111" i="157"/>
  <c r="F33" i="37" s="1"/>
  <c r="E111" i="157"/>
  <c r="D33" i="37" s="1"/>
  <c r="I110" i="157"/>
  <c r="H32" i="37" s="1"/>
  <c r="G110" i="157"/>
  <c r="F32" i="37" s="1"/>
  <c r="F260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E25" i="156"/>
  <c r="D248" i="37" s="1"/>
  <c r="D260" i="37" s="1"/>
  <c r="C25" i="156"/>
  <c r="B248" i="37" s="1"/>
  <c r="F35" i="156"/>
  <c r="F15" i="156"/>
  <c r="F25" i="156" s="1"/>
  <c r="E248" i="37" s="1"/>
  <c r="B260" i="37" l="1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I24" i="156"/>
  <c r="C24" i="156"/>
  <c r="B247" i="37" s="1"/>
  <c r="I23" i="156"/>
  <c r="G23" i="156"/>
  <c r="E13" i="156"/>
  <c r="E23" i="156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C259" i="37" s="1"/>
  <c r="F397" i="156"/>
  <c r="E239" i="37" s="1"/>
  <c r="J249" i="156"/>
  <c r="I16" i="37" s="1"/>
  <c r="F317" i="156"/>
  <c r="F290" i="156"/>
  <c r="F235" i="156"/>
  <c r="F94" i="156"/>
  <c r="J94" i="156"/>
  <c r="F83" i="156"/>
  <c r="G259" i="37" l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F133" i="37" s="1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G107" i="37" l="1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75" i="156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G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J169" i="156"/>
  <c r="J168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I22" i="156"/>
  <c r="E21" i="156"/>
  <c r="D244" i="37" s="1"/>
  <c r="G21" i="156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2" i="156"/>
  <c r="F159" i="156"/>
  <c r="F168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l="1"/>
  <c r="E261" i="37" s="1"/>
  <c r="I256" i="37"/>
  <c r="I251" i="37"/>
  <c r="G250" i="37"/>
  <c r="I262" i="37" l="1"/>
  <c r="I250" i="37"/>
</calcChain>
</file>

<file path=xl/sharedStrings.xml><?xml version="1.0" encoding="utf-8"?>
<sst xmlns="http://schemas.openxmlformats.org/spreadsheetml/2006/main" count="1064" uniqueCount="139">
  <si>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</si>
  <si>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</si>
  <si>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</si>
  <si>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</si>
  <si>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</si>
  <si>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</si>
  <si>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</si>
  <si>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</si>
  <si>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</si>
  <si>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</si>
  <si>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</si>
  <si>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</si>
  <si>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</si>
  <si>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</si>
  <si>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</si>
  <si>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</si>
  <si>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</si>
  <si>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</si>
  <si>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</si>
  <si>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</si>
  <si>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</si>
  <si>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</si>
  <si>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</si>
  <si>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</si>
  <si>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</si>
  <si>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</si>
  <si>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</si>
  <si>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</si>
  <si>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</si>
  <si>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</si>
  <si>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</si>
  <si>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</si>
  <si>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</si>
  <si>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</si>
  <si>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</si>
  <si>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</si>
  <si>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</si>
  <si>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</si>
  <si>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</si>
  <si>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</si>
  <si>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</si>
  <si>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</si>
  <si>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</si>
  <si>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</si>
  <si>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</si>
  <si>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</si>
  <si>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</si>
  <si>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</si>
  <si>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</si>
  <si>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</si>
  <si>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</si>
  <si>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</si>
  <si>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</si>
  <si>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</si>
  <si>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</si>
  <si>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</si>
  <si>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</si>
  <si>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</si>
  <si>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</si>
  <si>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</si>
  <si>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</si>
  <si>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</si>
  <si>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</si>
  <si>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</si>
  <si>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</si>
  <si>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</si>
  <si>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</si>
  <si>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</si>
  <si>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</si>
  <si>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</si>
  <si>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</si>
  <si>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</si>
  <si>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</si>
  <si>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</si>
  <si>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</si>
  <si>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</si>
  <si>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</si>
  <si>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</si>
  <si>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</si>
  <si>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</si>
  <si>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</si>
  <si>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</si>
  <si>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</si>
  <si>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</si>
  <si>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</si>
  <si>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</si>
  <si>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</si>
  <si>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</si>
  <si>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</si>
  <si>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</si>
  <si>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</si>
  <si>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</si>
  <si>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</si>
  <si>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</si>
  <si>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</si>
  <si>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</si>
  <si>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</si>
  <si>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</si>
  <si>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</si>
  <si>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</si>
  <si>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</si>
  <si>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</si>
  <si>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</si>
  <si>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</si>
  <si>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</si>
  <si>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</si>
  <si>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</si>
  <si>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</si>
  <si>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</si>
  <si>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</si>
  <si>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</si>
  <si>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</si>
  <si>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</si>
  <si>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</si>
  <si>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</si>
  <si>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</si>
  <si>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</si>
  <si>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</si>
  <si>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</si>
  <si>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</si>
  <si>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</si>
  <si>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</si>
  <si>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</si>
  <si>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</si>
  <si>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</si>
  <si>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</si>
  <si>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</si>
  <si>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</si>
  <si>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</si>
  <si>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</si>
  <si>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</si>
  <si>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2018</t>
  </si>
  <si>
    <t>План 4 мес. 2018 г. (законченный случай)</t>
  </si>
  <si>
    <t>План 4 мес. 2018 г. (тыс.руб)</t>
  </si>
  <si>
    <t>План 4 мес.. 2018 г. (законченный случай)</t>
  </si>
  <si>
    <t>План 4 мес.. 2018 г. (тыс.руб)</t>
  </si>
  <si>
    <t xml:space="preserve">План 4 мес.. 2018 г. (законченный случай) </t>
  </si>
  <si>
    <t>План 4 мес. 2018 (законченный случай)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</si>
  <si>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2018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</si>
</sst>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11" fillId="25" borderId="10" xfId="1" applyFont="1" applyFill="1" applyBorder="1" applyAlignment="1">
      <alignment horizontal="left" indent="1"/>
    </xf>
    <xf numFmtId="171" fontId="7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tabSelected="1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4" sqref="C14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0" customWidth="1"/>
    <col min="6" max="6" width="12.7109375" style="35" customWidth="1"/>
    <col min="7" max="7" width="13.42578125" style="356" customWidth="1"/>
    <col min="8" max="8" width="14" style="356" customWidth="1"/>
    <col min="9" max="9" width="14.42578125" style="373" customWidth="1"/>
    <col min="10" max="10" width="11" style="35" customWidth="1"/>
    <col min="11" max="11" width="13.7109375" style="107" customWidth="1"/>
    <col min="12" max="12" width="10" style="725" bestFit="1" customWidth="1"/>
    <col min="13" max="16384" width="9.140625" style="36"/>
  </cols>
  <sheetData>
    <row r="1" spans="1:12" ht="30.75" customHeight="1" x14ac:dyDescent="0.25">
      <c r="B1" s="764" t="s">
        <v>131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4"/>
      <c r="C2" s="334"/>
      <c r="D2" s="334"/>
      <c r="E2" s="334"/>
      <c r="F2" s="429"/>
      <c r="G2" s="334"/>
      <c r="H2" s="334"/>
      <c r="I2" s="334"/>
      <c r="J2" s="334"/>
    </row>
    <row r="3" spans="1:12" ht="18.75" hidden="1" x14ac:dyDescent="0.3">
      <c r="B3" s="152">
        <v>4</v>
      </c>
      <c r="C3" s="134"/>
      <c r="D3" s="134"/>
      <c r="E3" s="135"/>
      <c r="F3" s="430"/>
      <c r="G3" s="382"/>
      <c r="H3" s="382"/>
      <c r="I3" s="341"/>
      <c r="J3" s="134"/>
    </row>
    <row r="4" spans="1:12" ht="18.75" customHeight="1" thickBot="1" x14ac:dyDescent="0.35">
      <c r="B4" s="152"/>
      <c r="C4" s="151"/>
      <c r="D4" s="151"/>
      <c r="E4" s="135"/>
      <c r="F4" s="430"/>
      <c r="G4" s="382"/>
      <c r="H4" s="382"/>
      <c r="I4" s="341"/>
      <c r="J4" s="151"/>
    </row>
    <row r="5" spans="1:12" ht="31.5" customHeight="1" thickBot="1" x14ac:dyDescent="0.3">
      <c r="B5" s="39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40"/>
      <c r="C6" s="298" t="s">
        <v>128</v>
      </c>
      <c r="D6" s="298" t="s">
        <v>132</v>
      </c>
      <c r="E6" s="299" t="s">
        <v>103</v>
      </c>
      <c r="F6" s="96" t="s">
        <v>35</v>
      </c>
      <c r="G6" s="383" t="s">
        <v>129</v>
      </c>
      <c r="H6" s="383" t="s">
        <v>133</v>
      </c>
      <c r="I6" s="342" t="s">
        <v>104</v>
      </c>
      <c r="J6" s="96" t="s">
        <v>35</v>
      </c>
    </row>
    <row r="7" spans="1:12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43">
        <v>6</v>
      </c>
      <c r="H7" s="343">
        <v>7</v>
      </c>
      <c r="I7" s="343">
        <v>8</v>
      </c>
      <c r="J7" s="56">
        <v>9</v>
      </c>
      <c r="K7" s="106"/>
      <c r="L7" s="726"/>
    </row>
    <row r="8" spans="1:12" ht="13.9" customHeight="1" x14ac:dyDescent="0.25">
      <c r="B8" s="20"/>
      <c r="C8" s="68"/>
      <c r="D8" s="68"/>
      <c r="E8" s="136"/>
      <c r="F8" s="68"/>
      <c r="G8" s="384"/>
      <c r="H8" s="384"/>
      <c r="I8" s="344"/>
      <c r="J8" s="95"/>
      <c r="K8" s="106"/>
    </row>
    <row r="9" spans="1:12" ht="28.5" customHeight="1" x14ac:dyDescent="0.25">
      <c r="A9" s="36">
        <v>1</v>
      </c>
      <c r="B9" s="111" t="s">
        <v>59</v>
      </c>
      <c r="C9" s="119"/>
      <c r="D9" s="648"/>
      <c r="E9" s="119"/>
      <c r="F9" s="119"/>
      <c r="G9" s="649"/>
      <c r="H9" s="345"/>
      <c r="I9" s="345"/>
      <c r="J9" s="155"/>
      <c r="K9" s="106"/>
    </row>
    <row r="10" spans="1:12" ht="30" customHeight="1" x14ac:dyDescent="0.25">
      <c r="B10" s="199" t="s">
        <v>120</v>
      </c>
      <c r="C10" s="110">
        <f>SUM(C11:C12)</f>
        <v>1533</v>
      </c>
      <c r="D10" s="110">
        <f>SUM(D11:D12)</f>
        <v>511</v>
      </c>
      <c r="E10" s="110">
        <f>SUM(E11:E12)</f>
        <v>181</v>
      </c>
      <c r="F10" s="110">
        <f t="shared" ref="F10:F15" si="0">E10/D10*100</f>
        <v>35.420743639921717</v>
      </c>
      <c r="G10" s="597">
        <f>SUM(G11:G12)</f>
        <v>2329.9957899999999</v>
      </c>
      <c r="H10" s="597">
        <f>SUM(H11:H12)</f>
        <v>776.67</v>
      </c>
      <c r="I10" s="597">
        <f>SUM(I11:I12)</f>
        <v>199.68741</v>
      </c>
      <c r="J10" s="110">
        <f>I10/H10*100</f>
        <v>25.710714975472211</v>
      </c>
      <c r="K10" s="106"/>
    </row>
    <row r="11" spans="1:12" ht="30" customHeight="1" x14ac:dyDescent="0.25">
      <c r="A11" s="36">
        <v>1</v>
      </c>
      <c r="B11" s="71" t="s">
        <v>79</v>
      </c>
      <c r="C11" s="110">
        <v>1179</v>
      </c>
      <c r="D11" s="637">
        <f>ROUND(C11/12*$B$3,0)</f>
        <v>393</v>
      </c>
      <c r="E11" s="110">
        <v>150</v>
      </c>
      <c r="F11" s="110">
        <f t="shared" si="0"/>
        <v>38.167938931297712</v>
      </c>
      <c r="G11" s="597">
        <v>1750.6734000000001</v>
      </c>
      <c r="H11" s="724">
        <f>ROUND(G11/12*$B$3,2)</f>
        <v>583.55999999999995</v>
      </c>
      <c r="I11" s="597">
        <v>147.19498000000002</v>
      </c>
      <c r="J11" s="110">
        <f t="shared" ref="J11:J17" si="1">I11/H11*100</f>
        <v>25.223623963259996</v>
      </c>
      <c r="K11" s="106"/>
    </row>
    <row r="12" spans="1:12" ht="30" x14ac:dyDescent="0.25">
      <c r="A12" s="36">
        <v>1</v>
      </c>
      <c r="B12" s="71" t="s">
        <v>80</v>
      </c>
      <c r="C12" s="110">
        <v>354</v>
      </c>
      <c r="D12" s="637">
        <f>ROUND(C12/12*$B$3,0)</f>
        <v>118</v>
      </c>
      <c r="E12" s="110">
        <v>31</v>
      </c>
      <c r="F12" s="638">
        <f t="shared" si="0"/>
        <v>26.271186440677969</v>
      </c>
      <c r="G12" s="597">
        <v>579.32239000000004</v>
      </c>
      <c r="H12" s="597">
        <f>ROUND(G12/12*$B$3,2)</f>
        <v>193.11</v>
      </c>
      <c r="I12" s="597">
        <v>52.492429999999999</v>
      </c>
      <c r="J12" s="638">
        <f t="shared" si="1"/>
        <v>27.182657552690177</v>
      </c>
      <c r="K12" s="106"/>
    </row>
    <row r="13" spans="1:12" ht="30" x14ac:dyDescent="0.25">
      <c r="A13" s="36">
        <v>1</v>
      </c>
      <c r="B13" s="316" t="s">
        <v>112</v>
      </c>
      <c r="C13" s="110">
        <f>SUM(C14)</f>
        <v>0</v>
      </c>
      <c r="D13" s="110">
        <f>SUM(D14)</f>
        <v>0</v>
      </c>
      <c r="E13" s="110">
        <f>SUM(E14)</f>
        <v>0</v>
      </c>
      <c r="F13" s="110"/>
      <c r="G13" s="597">
        <f>SUM(G14)</f>
        <v>0</v>
      </c>
      <c r="H13" s="597">
        <f>SUM(H14)</f>
        <v>0</v>
      </c>
      <c r="I13" s="597">
        <f>SUM(I14)</f>
        <v>0</v>
      </c>
      <c r="J13" s="110"/>
      <c r="K13" s="106"/>
    </row>
    <row r="14" spans="1:12" ht="30" x14ac:dyDescent="0.25">
      <c r="A14" s="36">
        <v>1</v>
      </c>
      <c r="B14" s="335" t="s">
        <v>108</v>
      </c>
      <c r="C14" s="638"/>
      <c r="D14" s="638">
        <f>ROUND(C14/12*$B$3,0)</f>
        <v>0</v>
      </c>
      <c r="E14" s="638"/>
      <c r="F14" s="638"/>
      <c r="G14" s="597"/>
      <c r="H14" s="597">
        <f>ROUND(G14/12*$B$3,2)</f>
        <v>0</v>
      </c>
      <c r="I14" s="597"/>
      <c r="J14" s="638"/>
      <c r="K14" s="106"/>
    </row>
    <row r="15" spans="1:12" ht="30" x14ac:dyDescent="0.25">
      <c r="A15" s="36">
        <v>1</v>
      </c>
      <c r="B15" s="659" t="s">
        <v>123</v>
      </c>
      <c r="C15" s="661">
        <v>100</v>
      </c>
      <c r="D15" s="110">
        <f>ROUND(C15/12*$B$3,0)</f>
        <v>33</v>
      </c>
      <c r="E15" s="661">
        <v>15</v>
      </c>
      <c r="F15" s="110">
        <f t="shared" si="0"/>
        <v>45.454545454545453</v>
      </c>
      <c r="G15" s="597">
        <f>81102/1000</f>
        <v>81.102000000000004</v>
      </c>
      <c r="H15" s="597">
        <f>ROUND(G15/12*$B$3,2)</f>
        <v>27.03</v>
      </c>
      <c r="I15" s="597">
        <v>12.165299999999998</v>
      </c>
      <c r="J15" s="110">
        <f t="shared" si="1"/>
        <v>45.006659267480572</v>
      </c>
      <c r="K15" s="106"/>
    </row>
    <row r="16" spans="1:12" ht="15.75" thickBot="1" x14ac:dyDescent="0.3">
      <c r="A16" s="36">
        <v>1</v>
      </c>
      <c r="B16" s="660"/>
      <c r="C16" s="604"/>
      <c r="D16" s="604"/>
      <c r="E16" s="604"/>
      <c r="F16" s="604"/>
      <c r="G16" s="658"/>
      <c r="H16" s="636"/>
      <c r="I16" s="636"/>
      <c r="J16" s="604"/>
      <c r="K16" s="106"/>
    </row>
    <row r="17" spans="1:12" s="34" customFormat="1" ht="15.75" thickBot="1" x14ac:dyDescent="0.3">
      <c r="A17" s="36">
        <v>1</v>
      </c>
      <c r="B17" s="336" t="s">
        <v>3</v>
      </c>
      <c r="C17" s="337"/>
      <c r="D17" s="337"/>
      <c r="E17" s="337"/>
      <c r="F17" s="338"/>
      <c r="G17" s="385">
        <f>G13+G10+G15</f>
        <v>2411.0977899999998</v>
      </c>
      <c r="H17" s="385">
        <f>H13+H10+H15</f>
        <v>803.69999999999993</v>
      </c>
      <c r="I17" s="385">
        <f>I13+I10+I15</f>
        <v>211.85271</v>
      </c>
      <c r="J17" s="338">
        <f t="shared" si="1"/>
        <v>26.35967525195969</v>
      </c>
      <c r="K17" s="106"/>
      <c r="L17" s="725"/>
    </row>
    <row r="18" spans="1:12" s="107" customFormat="1" ht="15" customHeight="1" x14ac:dyDescent="0.25">
      <c r="A18" s="36">
        <v>1</v>
      </c>
      <c r="B18" s="197"/>
      <c r="C18" s="105"/>
      <c r="D18" s="177"/>
      <c r="E18" s="105"/>
      <c r="F18" s="431"/>
      <c r="G18" s="386"/>
      <c r="H18" s="346"/>
      <c r="I18" s="346"/>
      <c r="J18" s="105"/>
      <c r="K18" s="106"/>
      <c r="L18" s="725"/>
    </row>
    <row r="19" spans="1:12" ht="15" customHeight="1" x14ac:dyDescent="0.25">
      <c r="A19" s="36">
        <v>1</v>
      </c>
      <c r="B19" s="740" t="s">
        <v>87</v>
      </c>
      <c r="C19" s="741"/>
      <c r="D19" s="741"/>
      <c r="E19" s="741"/>
      <c r="F19" s="742"/>
      <c r="G19" s="743"/>
      <c r="H19" s="744"/>
      <c r="I19" s="744"/>
      <c r="J19" s="741"/>
      <c r="K19" s="106"/>
    </row>
    <row r="20" spans="1:12" ht="51" customHeight="1" x14ac:dyDescent="0.25">
      <c r="A20" s="36">
        <v>1</v>
      </c>
      <c r="B20" s="543" t="s">
        <v>120</v>
      </c>
      <c r="C20" s="745">
        <f>C10</f>
        <v>1533</v>
      </c>
      <c r="D20" s="745">
        <f>D10</f>
        <v>511</v>
      </c>
      <c r="E20" s="745">
        <f>E10</f>
        <v>181</v>
      </c>
      <c r="F20" s="745">
        <f>E20/D20*100</f>
        <v>35.420743639921717</v>
      </c>
      <c r="G20" s="746">
        <f>G10</f>
        <v>2329.9957899999999</v>
      </c>
      <c r="H20" s="746">
        <f>H10</f>
        <v>776.67</v>
      </c>
      <c r="I20" s="746">
        <f>I10</f>
        <v>199.68741</v>
      </c>
      <c r="J20" s="745">
        <f>I20/H20*100</f>
        <v>25.710714975472211</v>
      </c>
      <c r="K20" s="106"/>
    </row>
    <row r="21" spans="1:12" ht="42.75" customHeight="1" x14ac:dyDescent="0.25">
      <c r="A21" s="36">
        <v>1</v>
      </c>
      <c r="B21" s="747" t="s">
        <v>79</v>
      </c>
      <c r="C21" s="745">
        <f t="shared" ref="C21:E24" si="2">SUM(C11)</f>
        <v>1179</v>
      </c>
      <c r="D21" s="745">
        <f t="shared" si="2"/>
        <v>393</v>
      </c>
      <c r="E21" s="745">
        <f t="shared" si="2"/>
        <v>150</v>
      </c>
      <c r="F21" s="745">
        <f>E21/D21*100</f>
        <v>38.167938931297712</v>
      </c>
      <c r="G21" s="746">
        <f t="shared" ref="G21:I24" si="3">SUM(G11)</f>
        <v>1750.6734000000001</v>
      </c>
      <c r="H21" s="746">
        <f t="shared" si="3"/>
        <v>583.55999999999995</v>
      </c>
      <c r="I21" s="746">
        <f t="shared" si="3"/>
        <v>147.19498000000002</v>
      </c>
      <c r="J21" s="745">
        <f t="shared" ref="J21:J26" si="4">I21/H21*100</f>
        <v>25.223623963259996</v>
      </c>
      <c r="K21" s="106"/>
    </row>
    <row r="22" spans="1:12" ht="37.5" customHeight="1" x14ac:dyDescent="0.25">
      <c r="A22" s="36">
        <v>1</v>
      </c>
      <c r="B22" s="747" t="s">
        <v>80</v>
      </c>
      <c r="C22" s="745">
        <f t="shared" si="2"/>
        <v>354</v>
      </c>
      <c r="D22" s="745">
        <f t="shared" si="2"/>
        <v>118</v>
      </c>
      <c r="E22" s="745">
        <f t="shared" si="2"/>
        <v>31</v>
      </c>
      <c r="F22" s="745">
        <f>E22/D22*100</f>
        <v>26.271186440677969</v>
      </c>
      <c r="G22" s="746">
        <f t="shared" si="3"/>
        <v>579.32239000000004</v>
      </c>
      <c r="H22" s="746">
        <f t="shared" si="3"/>
        <v>193.11</v>
      </c>
      <c r="I22" s="746">
        <f t="shared" si="3"/>
        <v>52.492429999999999</v>
      </c>
      <c r="J22" s="745">
        <f t="shared" si="4"/>
        <v>27.182657552690177</v>
      </c>
      <c r="K22" s="106"/>
    </row>
    <row r="23" spans="1:12" ht="30" x14ac:dyDescent="0.25">
      <c r="A23" s="36">
        <v>1</v>
      </c>
      <c r="B23" s="748" t="s">
        <v>112</v>
      </c>
      <c r="C23" s="745">
        <f t="shared" si="2"/>
        <v>0</v>
      </c>
      <c r="D23" s="745">
        <f t="shared" si="2"/>
        <v>0</v>
      </c>
      <c r="E23" s="745">
        <f t="shared" si="2"/>
        <v>0</v>
      </c>
      <c r="F23" s="745"/>
      <c r="G23" s="746">
        <f t="shared" si="3"/>
        <v>0</v>
      </c>
      <c r="H23" s="746">
        <f t="shared" si="3"/>
        <v>0</v>
      </c>
      <c r="I23" s="746">
        <f t="shared" si="3"/>
        <v>0</v>
      </c>
      <c r="J23" s="745"/>
      <c r="K23" s="106"/>
    </row>
    <row r="24" spans="1:12" ht="37.5" customHeight="1" x14ac:dyDescent="0.25">
      <c r="A24" s="36">
        <v>1</v>
      </c>
      <c r="B24" s="749" t="s">
        <v>108</v>
      </c>
      <c r="C24" s="750">
        <f t="shared" si="2"/>
        <v>0</v>
      </c>
      <c r="D24" s="750">
        <f t="shared" si="2"/>
        <v>0</v>
      </c>
      <c r="E24" s="750">
        <f t="shared" si="2"/>
        <v>0</v>
      </c>
      <c r="F24" s="750"/>
      <c r="G24" s="751">
        <f t="shared" si="3"/>
        <v>0</v>
      </c>
      <c r="H24" s="751">
        <f t="shared" si="3"/>
        <v>0</v>
      </c>
      <c r="I24" s="751">
        <f t="shared" si="3"/>
        <v>0</v>
      </c>
      <c r="J24" s="750"/>
      <c r="K24" s="106"/>
    </row>
    <row r="25" spans="1:12" ht="37.5" customHeight="1" thickBot="1" x14ac:dyDescent="0.3">
      <c r="A25" s="36">
        <v>1</v>
      </c>
      <c r="B25" s="749" t="s">
        <v>123</v>
      </c>
      <c r="C25" s="752">
        <f>SUM(C15)</f>
        <v>100</v>
      </c>
      <c r="D25" s="752">
        <f t="shared" ref="D25:J25" si="5">SUM(D15)</f>
        <v>33</v>
      </c>
      <c r="E25" s="752">
        <f t="shared" si="5"/>
        <v>15</v>
      </c>
      <c r="F25" s="752">
        <f t="shared" si="5"/>
        <v>45.454545454545453</v>
      </c>
      <c r="G25" s="752">
        <f t="shared" si="5"/>
        <v>81.102000000000004</v>
      </c>
      <c r="H25" s="752">
        <f t="shared" si="5"/>
        <v>27.03</v>
      </c>
      <c r="I25" s="752">
        <f t="shared" si="5"/>
        <v>12.165299999999998</v>
      </c>
      <c r="J25" s="752">
        <f t="shared" si="5"/>
        <v>45.006659267480572</v>
      </c>
      <c r="K25" s="106"/>
    </row>
    <row r="26" spans="1:12" s="34" customFormat="1" ht="15" customHeight="1" thickBot="1" x14ac:dyDescent="0.3">
      <c r="A26" s="36">
        <v>1</v>
      </c>
      <c r="B26" s="753" t="s">
        <v>105</v>
      </c>
      <c r="C26" s="754">
        <f t="shared" ref="C26:I26" si="6">SUM(C17)</f>
        <v>0</v>
      </c>
      <c r="D26" s="754">
        <f t="shared" si="6"/>
        <v>0</v>
      </c>
      <c r="E26" s="754">
        <f t="shared" si="6"/>
        <v>0</v>
      </c>
      <c r="F26" s="755"/>
      <c r="G26" s="756">
        <f t="shared" si="6"/>
        <v>2411.0977899999998</v>
      </c>
      <c r="H26" s="756">
        <f t="shared" si="6"/>
        <v>803.69999999999993</v>
      </c>
      <c r="I26" s="756">
        <f t="shared" si="6"/>
        <v>211.85271</v>
      </c>
      <c r="J26" s="755">
        <f t="shared" si="4"/>
        <v>26.35967525195969</v>
      </c>
      <c r="K26" s="106"/>
      <c r="L26" s="725"/>
    </row>
    <row r="27" spans="1:12" s="34" customFormat="1" ht="15" customHeight="1" x14ac:dyDescent="0.25">
      <c r="A27" s="36">
        <v>1</v>
      </c>
      <c r="B27" s="6"/>
      <c r="C27" s="603"/>
      <c r="D27" s="603"/>
      <c r="E27" s="603"/>
      <c r="F27" s="604"/>
      <c r="G27" s="605"/>
      <c r="H27" s="606"/>
      <c r="I27" s="606"/>
      <c r="J27" s="607"/>
      <c r="K27" s="106"/>
      <c r="L27" s="725"/>
    </row>
    <row r="28" spans="1:12" ht="15" customHeight="1" x14ac:dyDescent="0.25">
      <c r="A28" s="36">
        <v>1</v>
      </c>
      <c r="B28" s="80" t="s">
        <v>1</v>
      </c>
      <c r="C28" s="140"/>
      <c r="D28" s="140"/>
      <c r="E28" s="140"/>
      <c r="F28" s="140"/>
      <c r="G28" s="608"/>
      <c r="H28" s="347"/>
      <c r="I28" s="347"/>
      <c r="J28" s="141"/>
      <c r="K28" s="106"/>
    </row>
    <row r="29" spans="1:12" ht="33.75" customHeight="1" x14ac:dyDescent="0.25">
      <c r="A29" s="36">
        <v>1</v>
      </c>
      <c r="B29" s="74" t="s">
        <v>60</v>
      </c>
      <c r="C29" s="119"/>
      <c r="D29" s="119"/>
      <c r="E29" s="119"/>
      <c r="F29" s="119"/>
      <c r="G29" s="609"/>
      <c r="H29" s="348"/>
      <c r="I29" s="348"/>
      <c r="J29" s="114"/>
      <c r="K29" s="106"/>
    </row>
    <row r="30" spans="1:12" ht="30" x14ac:dyDescent="0.25">
      <c r="A30" s="36">
        <v>1</v>
      </c>
      <c r="B30" s="199" t="s">
        <v>120</v>
      </c>
      <c r="C30" s="114">
        <f>SUM(C31,C32)</f>
        <v>17727</v>
      </c>
      <c r="D30" s="114">
        <f>SUM(D31,D32)</f>
        <v>5909</v>
      </c>
      <c r="E30" s="114">
        <f>SUM(E31:E32)</f>
        <v>6261</v>
      </c>
      <c r="F30" s="114">
        <f>E30/D30*100</f>
        <v>105.95701472330343</v>
      </c>
      <c r="G30" s="597">
        <f>SUM(G31,G32)</f>
        <v>24357.382740000001</v>
      </c>
      <c r="H30" s="597">
        <f>SUM(H31,H32)</f>
        <v>8119.1200000000008</v>
      </c>
      <c r="I30" s="597">
        <f>SUM(I31:I32)</f>
        <v>8283.2957800000004</v>
      </c>
      <c r="J30" s="114">
        <f>I30/H30*100</f>
        <v>102.02208835440294</v>
      </c>
      <c r="K30" s="106"/>
    </row>
    <row r="31" spans="1:12" ht="32.25" customHeight="1" x14ac:dyDescent="0.25">
      <c r="A31" s="36">
        <v>1</v>
      </c>
      <c r="B31" s="72" t="s">
        <v>79</v>
      </c>
      <c r="C31" s="114">
        <v>13636</v>
      </c>
      <c r="D31" s="108">
        <f t="shared" ref="D31:D37" si="7">ROUND(C31/12*$B$3,0)</f>
        <v>4545</v>
      </c>
      <c r="E31" s="114">
        <v>4971</v>
      </c>
      <c r="F31" s="114">
        <f t="shared" ref="F31:F37" si="8">E31/D31*100</f>
        <v>109.37293729372936</v>
      </c>
      <c r="G31" s="597">
        <v>18036.9084</v>
      </c>
      <c r="H31" s="597">
        <f t="shared" ref="H31:H32" si="9">ROUND(G31/12*$B$3,2)</f>
        <v>6012.3</v>
      </c>
      <c r="I31" s="597">
        <v>6399.2803400000003</v>
      </c>
      <c r="J31" s="114">
        <f t="shared" ref="J31:J38" si="10">I31/H31*100</f>
        <v>106.43647755434694</v>
      </c>
      <c r="K31" s="106"/>
    </row>
    <row r="32" spans="1:12" ht="30" customHeight="1" x14ac:dyDescent="0.25">
      <c r="A32" s="36">
        <v>1</v>
      </c>
      <c r="B32" s="72" t="s">
        <v>80</v>
      </c>
      <c r="C32" s="175">
        <v>4091</v>
      </c>
      <c r="D32" s="175">
        <f t="shared" si="7"/>
        <v>1364</v>
      </c>
      <c r="E32" s="175">
        <v>1290</v>
      </c>
      <c r="F32" s="175">
        <f t="shared" si="8"/>
        <v>94.574780058651029</v>
      </c>
      <c r="G32" s="597">
        <v>6320.4743399999998</v>
      </c>
      <c r="H32" s="597">
        <f t="shared" si="9"/>
        <v>2106.8200000000002</v>
      </c>
      <c r="I32" s="597">
        <v>1884.0154400000001</v>
      </c>
      <c r="J32" s="114">
        <f t="shared" si="10"/>
        <v>89.424603905411942</v>
      </c>
      <c r="K32" s="106"/>
    </row>
    <row r="33" spans="1:12" ht="30" customHeight="1" x14ac:dyDescent="0.25">
      <c r="A33" s="36">
        <v>1</v>
      </c>
      <c r="B33" s="199" t="s">
        <v>112</v>
      </c>
      <c r="C33" s="175">
        <f>SUM(C34)</f>
        <v>800</v>
      </c>
      <c r="D33" s="175">
        <f t="shared" ref="D33:H33" si="11">SUM(D34)</f>
        <v>267</v>
      </c>
      <c r="E33" s="175">
        <f>E34</f>
        <v>172</v>
      </c>
      <c r="F33" s="175">
        <f t="shared" si="8"/>
        <v>64.419475655430716</v>
      </c>
      <c r="G33" s="597">
        <f t="shared" si="11"/>
        <v>1413.68</v>
      </c>
      <c r="H33" s="597">
        <f t="shared" si="11"/>
        <v>471.23</v>
      </c>
      <c r="I33" s="597">
        <f>I34</f>
        <v>292.68882999999994</v>
      </c>
      <c r="J33" s="114">
        <f t="shared" si="10"/>
        <v>62.111671582878834</v>
      </c>
      <c r="K33" s="106"/>
    </row>
    <row r="34" spans="1:12" ht="30" customHeight="1" x14ac:dyDescent="0.25">
      <c r="A34" s="36">
        <v>1</v>
      </c>
      <c r="B34" s="287" t="s">
        <v>108</v>
      </c>
      <c r="C34" s="175">
        <v>800</v>
      </c>
      <c r="D34" s="175">
        <f t="shared" si="7"/>
        <v>267</v>
      </c>
      <c r="E34" s="114">
        <v>172</v>
      </c>
      <c r="F34" s="114">
        <f t="shared" si="8"/>
        <v>64.419475655430716</v>
      </c>
      <c r="G34" s="597">
        <f>1413680/1000</f>
        <v>1413.68</v>
      </c>
      <c r="H34" s="597">
        <f t="shared" ref="H34:H37" si="12">ROUND(G34/12*$B$3,2)</f>
        <v>471.23</v>
      </c>
      <c r="I34" s="597">
        <v>292.68882999999994</v>
      </c>
      <c r="J34" s="114">
        <f t="shared" si="10"/>
        <v>62.111671582878834</v>
      </c>
      <c r="K34" s="106"/>
    </row>
    <row r="35" spans="1:12" s="107" customFormat="1" ht="30" customHeight="1" x14ac:dyDescent="0.25">
      <c r="A35" s="36">
        <v>1</v>
      </c>
      <c r="B35" s="117" t="s">
        <v>123</v>
      </c>
      <c r="C35" s="175">
        <v>27842.799999999999</v>
      </c>
      <c r="D35" s="175">
        <f t="shared" si="7"/>
        <v>9281</v>
      </c>
      <c r="E35" s="175">
        <v>8810</v>
      </c>
      <c r="F35" s="175">
        <f t="shared" si="8"/>
        <v>94.925115828035771</v>
      </c>
      <c r="G35" s="597">
        <v>22581.229859999999</v>
      </c>
      <c r="H35" s="597">
        <f t="shared" si="12"/>
        <v>7527.08</v>
      </c>
      <c r="I35" s="597">
        <v>7139.43012</v>
      </c>
      <c r="J35" s="114">
        <f>I35/H35*100</f>
        <v>94.849930118983721</v>
      </c>
      <c r="K35" s="106"/>
      <c r="L35" s="725"/>
    </row>
    <row r="36" spans="1:12" s="107" customFormat="1" ht="30" x14ac:dyDescent="0.25">
      <c r="A36" s="36">
        <v>1</v>
      </c>
      <c r="B36" s="117" t="s">
        <v>124</v>
      </c>
      <c r="C36" s="175">
        <v>12364.4</v>
      </c>
      <c r="D36" s="175">
        <f t="shared" si="7"/>
        <v>4121</v>
      </c>
      <c r="E36" s="175">
        <v>3647</v>
      </c>
      <c r="F36" s="175">
        <f t="shared" si="8"/>
        <v>88.497937393836452</v>
      </c>
      <c r="G36" s="597">
        <v>10027.847719373913</v>
      </c>
      <c r="H36" s="597">
        <f t="shared" si="12"/>
        <v>3342.62</v>
      </c>
      <c r="I36" s="597">
        <v>2957.7899400000001</v>
      </c>
      <c r="J36" s="114">
        <f>I36/H36*100</f>
        <v>88.487172936199755</v>
      </c>
      <c r="K36" s="106"/>
      <c r="L36" s="725"/>
    </row>
    <row r="37" spans="1:12" s="107" customFormat="1" ht="15.75" thickBot="1" x14ac:dyDescent="0.3">
      <c r="A37" s="36">
        <v>1</v>
      </c>
      <c r="B37" s="117" t="s">
        <v>125</v>
      </c>
      <c r="C37" s="175">
        <v>8485.6</v>
      </c>
      <c r="D37" s="175">
        <f t="shared" si="7"/>
        <v>2829</v>
      </c>
      <c r="E37" s="175">
        <v>3158</v>
      </c>
      <c r="F37" s="175">
        <f t="shared" si="8"/>
        <v>111.62955107811948</v>
      </c>
      <c r="G37" s="597">
        <v>6882.0407466208862</v>
      </c>
      <c r="H37" s="597">
        <f t="shared" si="12"/>
        <v>2294.0100000000002</v>
      </c>
      <c r="I37" s="597">
        <v>2560.5269199999998</v>
      </c>
      <c r="J37" s="114">
        <f>I37/H37*100</f>
        <v>111.61794935505947</v>
      </c>
      <c r="K37" s="106"/>
      <c r="L37" s="725"/>
    </row>
    <row r="38" spans="1:12" ht="15.75" thickBot="1" x14ac:dyDescent="0.3">
      <c r="A38" s="36">
        <v>1</v>
      </c>
      <c r="B38" s="300" t="s">
        <v>3</v>
      </c>
      <c r="C38" s="610"/>
      <c r="D38" s="610"/>
      <c r="E38" s="610"/>
      <c r="F38" s="611"/>
      <c r="G38" s="612">
        <f>G30+G33+G35</f>
        <v>48352.292600000001</v>
      </c>
      <c r="H38" s="612">
        <f>H30+H33+H35</f>
        <v>16117.43</v>
      </c>
      <c r="I38" s="612">
        <f>I30+I33+I35</f>
        <v>15715.41473</v>
      </c>
      <c r="J38" s="427">
        <f t="shared" si="10"/>
        <v>97.505711084211327</v>
      </c>
      <c r="K38" s="106"/>
    </row>
    <row r="39" spans="1:12" ht="15" customHeight="1" x14ac:dyDescent="0.25">
      <c r="A39" s="36">
        <v>1</v>
      </c>
      <c r="B39" s="29"/>
      <c r="C39" s="142"/>
      <c r="D39" s="142"/>
      <c r="E39" s="142"/>
      <c r="F39" s="142"/>
      <c r="G39" s="613"/>
      <c r="H39" s="349"/>
      <c r="I39" s="349"/>
      <c r="J39" s="614"/>
      <c r="K39" s="106"/>
    </row>
    <row r="40" spans="1:12" ht="43.5" x14ac:dyDescent="0.25">
      <c r="A40" s="36">
        <v>1</v>
      </c>
      <c r="B40" s="74" t="s">
        <v>61</v>
      </c>
      <c r="C40" s="119"/>
      <c r="D40" s="119"/>
      <c r="E40" s="119"/>
      <c r="F40" s="119"/>
      <c r="G40" s="350"/>
      <c r="H40" s="350"/>
      <c r="I40" s="350"/>
      <c r="J40" s="119"/>
      <c r="K40" s="106"/>
    </row>
    <row r="41" spans="1:12" ht="30" customHeight="1" x14ac:dyDescent="0.25">
      <c r="A41" s="36">
        <v>1</v>
      </c>
      <c r="B41" s="199" t="s">
        <v>120</v>
      </c>
      <c r="C41" s="114">
        <f>SUM(C42:C43)</f>
        <v>200</v>
      </c>
      <c r="D41" s="114">
        <f>SUM(D42:D43)</f>
        <v>67</v>
      </c>
      <c r="E41" s="114">
        <f>SUM(E42:E43)</f>
        <v>54</v>
      </c>
      <c r="F41" s="114">
        <f t="shared" ref="F41:F47" si="13">E41/D41*100</f>
        <v>80.597014925373131</v>
      </c>
      <c r="G41" s="597">
        <f>SUM(G42:G43)</f>
        <v>1093.6799999999998</v>
      </c>
      <c r="H41" s="597">
        <f>SUM(H42:H43)</f>
        <v>364.56</v>
      </c>
      <c r="I41" s="597">
        <f>SUM(I42:I43)</f>
        <v>295.29359999999997</v>
      </c>
      <c r="J41" s="114">
        <f>I41/H41*100</f>
        <v>81</v>
      </c>
      <c r="K41" s="106"/>
    </row>
    <row r="42" spans="1:12" ht="30" x14ac:dyDescent="0.25">
      <c r="A42" s="36">
        <v>1</v>
      </c>
      <c r="B42" s="72" t="s">
        <v>114</v>
      </c>
      <c r="C42" s="114">
        <v>90</v>
      </c>
      <c r="D42" s="108">
        <f t="shared" ref="D42:D47" si="14">ROUND(C42/12*$B$3,0)</f>
        <v>30</v>
      </c>
      <c r="E42" s="114">
        <v>30</v>
      </c>
      <c r="F42" s="114">
        <f t="shared" si="13"/>
        <v>100</v>
      </c>
      <c r="G42" s="597">
        <v>492.15599999999995</v>
      </c>
      <c r="H42" s="597">
        <f t="shared" ref="H42:H43" si="15">ROUND(G42/12*$B$3,2)</f>
        <v>164.05</v>
      </c>
      <c r="I42" s="597">
        <v>164.05199999999999</v>
      </c>
      <c r="J42" s="114">
        <f>I42/H42*100</f>
        <v>100.00121914050592</v>
      </c>
      <c r="K42" s="106"/>
    </row>
    <row r="43" spans="1:12" ht="30" x14ac:dyDescent="0.25">
      <c r="A43" s="36">
        <v>1</v>
      </c>
      <c r="B43" s="72" t="s">
        <v>115</v>
      </c>
      <c r="C43" s="114">
        <v>110</v>
      </c>
      <c r="D43" s="108">
        <f t="shared" si="14"/>
        <v>37</v>
      </c>
      <c r="E43" s="114">
        <v>24</v>
      </c>
      <c r="F43" s="114">
        <f t="shared" si="13"/>
        <v>64.86486486486487</v>
      </c>
      <c r="G43" s="597">
        <v>601.524</v>
      </c>
      <c r="H43" s="597">
        <f t="shared" si="15"/>
        <v>200.51</v>
      </c>
      <c r="I43" s="597">
        <v>131.24160000000001</v>
      </c>
      <c r="J43" s="114">
        <f t="shared" ref="J43:J48" si="16">I43/H43*100</f>
        <v>65.453892573936471</v>
      </c>
      <c r="K43" s="106"/>
    </row>
    <row r="44" spans="1:12" ht="30" x14ac:dyDescent="0.25">
      <c r="A44" s="36">
        <v>1</v>
      </c>
      <c r="B44" s="199" t="s">
        <v>112</v>
      </c>
      <c r="C44" s="114">
        <f>SUM(C45:C46)</f>
        <v>11295</v>
      </c>
      <c r="D44" s="114">
        <f>SUM(D45:D46)</f>
        <v>3765</v>
      </c>
      <c r="E44" s="114">
        <f>SUM(E45:E46)</f>
        <v>3823</v>
      </c>
      <c r="F44" s="114">
        <f t="shared" si="13"/>
        <v>101.54050464807436</v>
      </c>
      <c r="G44" s="597">
        <f>SUM(G45:G46)</f>
        <v>21932.256000000001</v>
      </c>
      <c r="H44" s="597">
        <f>SUM(H45:H46)</f>
        <v>7310.75</v>
      </c>
      <c r="I44" s="597">
        <f>SUM(I45:I46)</f>
        <v>6366.7434800000001</v>
      </c>
      <c r="J44" s="114">
        <f t="shared" si="16"/>
        <v>87.087418937865465</v>
      </c>
      <c r="K44" s="106"/>
    </row>
    <row r="45" spans="1:12" ht="60" x14ac:dyDescent="0.25">
      <c r="A45" s="36">
        <v>1</v>
      </c>
      <c r="B45" s="72" t="s">
        <v>118</v>
      </c>
      <c r="C45" s="114">
        <v>8600</v>
      </c>
      <c r="D45" s="108">
        <f t="shared" si="14"/>
        <v>2867</v>
      </c>
      <c r="E45" s="108">
        <v>2835</v>
      </c>
      <c r="F45" s="114">
        <f t="shared" si="13"/>
        <v>98.883850715033134</v>
      </c>
      <c r="G45" s="597">
        <f>19730980/1000</f>
        <v>19730.98</v>
      </c>
      <c r="H45" s="597">
        <f t="shared" ref="H45:H47" si="17">ROUND(G45/12*$B$3,2)</f>
        <v>6576.99</v>
      </c>
      <c r="I45" s="597">
        <v>5479.3146400000005</v>
      </c>
      <c r="J45" s="114">
        <f t="shared" si="16"/>
        <v>83.31036902899352</v>
      </c>
      <c r="K45" s="106"/>
    </row>
    <row r="46" spans="1:12" ht="45" x14ac:dyDescent="0.25">
      <c r="A46" s="36">
        <v>1</v>
      </c>
      <c r="B46" s="72" t="s">
        <v>109</v>
      </c>
      <c r="C46" s="114">
        <v>2695</v>
      </c>
      <c r="D46" s="108">
        <f t="shared" si="14"/>
        <v>898</v>
      </c>
      <c r="E46" s="108">
        <v>988</v>
      </c>
      <c r="F46" s="114">
        <f t="shared" si="13"/>
        <v>110.02227171492206</v>
      </c>
      <c r="G46" s="597">
        <f>2201276/1000</f>
        <v>2201.2759999999998</v>
      </c>
      <c r="H46" s="597">
        <f t="shared" si="17"/>
        <v>733.76</v>
      </c>
      <c r="I46" s="597">
        <v>887.42883999999992</v>
      </c>
      <c r="J46" s="114">
        <f t="shared" si="16"/>
        <v>120.94265699956388</v>
      </c>
      <c r="K46" s="106"/>
    </row>
    <row r="47" spans="1:12" ht="32.25" customHeight="1" thickBot="1" x14ac:dyDescent="0.3">
      <c r="A47" s="36">
        <v>1</v>
      </c>
      <c r="B47" s="668" t="s">
        <v>123</v>
      </c>
      <c r="C47" s="663">
        <v>8700</v>
      </c>
      <c r="D47" s="664">
        <f t="shared" si="14"/>
        <v>2900</v>
      </c>
      <c r="E47" s="662">
        <v>2960</v>
      </c>
      <c r="F47" s="114">
        <f t="shared" si="13"/>
        <v>102.06896551724138</v>
      </c>
      <c r="G47" s="636">
        <v>7055.8739999999998</v>
      </c>
      <c r="H47" s="597">
        <f t="shared" si="17"/>
        <v>2351.96</v>
      </c>
      <c r="I47" s="723">
        <v>2377.36546</v>
      </c>
      <c r="J47" s="600">
        <f>I47/H47*100</f>
        <v>101.08018248609669</v>
      </c>
      <c r="K47" s="106"/>
    </row>
    <row r="48" spans="1:12" ht="15.75" thickBot="1" x14ac:dyDescent="0.3">
      <c r="A48" s="36">
        <v>1</v>
      </c>
      <c r="B48" s="120" t="s">
        <v>3</v>
      </c>
      <c r="C48" s="667"/>
      <c r="D48" s="427"/>
      <c r="E48" s="623"/>
      <c r="F48" s="615"/>
      <c r="G48" s="625">
        <f>G41+G44+G47</f>
        <v>30081.81</v>
      </c>
      <c r="H48" s="625">
        <f>H41+H44+H47</f>
        <v>10027.27</v>
      </c>
      <c r="I48" s="625">
        <f>I41+I44+I47</f>
        <v>9039.4025399999991</v>
      </c>
      <c r="J48" s="616">
        <f t="shared" si="16"/>
        <v>90.148191282372963</v>
      </c>
      <c r="K48" s="106"/>
    </row>
    <row r="49" spans="1:12" ht="15" customHeight="1" x14ac:dyDescent="0.25">
      <c r="A49" s="36">
        <v>1</v>
      </c>
      <c r="B49" s="82"/>
      <c r="C49" s="143"/>
      <c r="D49" s="143"/>
      <c r="E49" s="599"/>
      <c r="F49" s="143"/>
      <c r="G49" s="353"/>
      <c r="H49" s="353"/>
      <c r="I49" s="665"/>
      <c r="J49" s="617"/>
      <c r="K49" s="106"/>
    </row>
    <row r="50" spans="1:12" ht="29.25" customHeight="1" x14ac:dyDescent="0.25">
      <c r="A50" s="36">
        <v>1</v>
      </c>
      <c r="B50" s="74" t="s">
        <v>62</v>
      </c>
      <c r="C50" s="119"/>
      <c r="D50" s="119"/>
      <c r="E50" s="119"/>
      <c r="F50" s="119"/>
      <c r="G50" s="351"/>
      <c r="H50" s="351"/>
      <c r="I50" s="666"/>
      <c r="J50" s="618"/>
      <c r="K50" s="106"/>
    </row>
    <row r="51" spans="1:12" ht="33.6" customHeight="1" x14ac:dyDescent="0.25">
      <c r="A51" s="36">
        <v>1</v>
      </c>
      <c r="B51" s="199" t="s">
        <v>120</v>
      </c>
      <c r="C51" s="114">
        <f>SUM(C52:C53)</f>
        <v>340</v>
      </c>
      <c r="D51" s="114">
        <f>SUM(D52:D53)</f>
        <v>114</v>
      </c>
      <c r="E51" s="114">
        <f>SUM(E52:E53)</f>
        <v>357</v>
      </c>
      <c r="F51" s="114">
        <f t="shared" ref="F51:F58" si="18">E51/D51*100</f>
        <v>313.15789473684214</v>
      </c>
      <c r="G51" s="597">
        <f>SUM(G52:G53)</f>
        <v>1859.2559999999999</v>
      </c>
      <c r="H51" s="597">
        <f>SUM(H52:H53)</f>
        <v>619.75</v>
      </c>
      <c r="I51" s="597">
        <f>SUM(I52:I53)</f>
        <v>1952.2188000000001</v>
      </c>
      <c r="J51" s="116">
        <f>I51/H51*100</f>
        <v>315.00101653892699</v>
      </c>
      <c r="K51" s="106"/>
    </row>
    <row r="52" spans="1:12" ht="30" customHeight="1" x14ac:dyDescent="0.25">
      <c r="A52" s="36">
        <v>1</v>
      </c>
      <c r="B52" s="72" t="s">
        <v>114</v>
      </c>
      <c r="C52" s="114">
        <v>230</v>
      </c>
      <c r="D52" s="108">
        <f t="shared" ref="D52:D58" si="19">ROUND(C52/12*$B$3,0)</f>
        <v>77</v>
      </c>
      <c r="E52" s="108">
        <v>213</v>
      </c>
      <c r="F52" s="114">
        <f t="shared" si="18"/>
        <v>276.62337662337666</v>
      </c>
      <c r="G52" s="597">
        <v>1257.732</v>
      </c>
      <c r="H52" s="597">
        <f t="shared" ref="H52:H53" si="20">ROUND(G52/12*$B$3,2)</f>
        <v>419.24</v>
      </c>
      <c r="I52" s="597">
        <v>1164.7692000000002</v>
      </c>
      <c r="J52" s="116">
        <f t="shared" ref="J52:J59" si="21">I52/H52*100</f>
        <v>277.82873771586685</v>
      </c>
      <c r="K52" s="106"/>
    </row>
    <row r="53" spans="1:12" ht="36" customHeight="1" x14ac:dyDescent="0.25">
      <c r="A53" s="36">
        <v>1</v>
      </c>
      <c r="B53" s="72" t="s">
        <v>115</v>
      </c>
      <c r="C53" s="114">
        <v>110</v>
      </c>
      <c r="D53" s="108">
        <f t="shared" si="19"/>
        <v>37</v>
      </c>
      <c r="E53" s="114">
        <v>144</v>
      </c>
      <c r="F53" s="114">
        <f t="shared" si="18"/>
        <v>389.18918918918922</v>
      </c>
      <c r="G53" s="597">
        <v>601.524</v>
      </c>
      <c r="H53" s="597">
        <f t="shared" si="20"/>
        <v>200.51</v>
      </c>
      <c r="I53" s="597">
        <v>787.44960000000003</v>
      </c>
      <c r="J53" s="116">
        <f t="shared" si="21"/>
        <v>392.7233554436188</v>
      </c>
      <c r="K53" s="106"/>
    </row>
    <row r="54" spans="1:12" ht="30" x14ac:dyDescent="0.25">
      <c r="A54" s="36">
        <v>1</v>
      </c>
      <c r="B54" s="199" t="s">
        <v>112</v>
      </c>
      <c r="C54" s="114">
        <f>SUM(C55:C56)</f>
        <v>24285</v>
      </c>
      <c r="D54" s="114">
        <f>SUM(D55:D56)</f>
        <v>8095</v>
      </c>
      <c r="E54" s="114">
        <f>SUM(E55:E56)</f>
        <v>6265</v>
      </c>
      <c r="F54" s="114">
        <f t="shared" si="18"/>
        <v>77.393452748610258</v>
      </c>
      <c r="G54" s="597">
        <f>SUM(G55:G56)</f>
        <v>53186.117999999995</v>
      </c>
      <c r="H54" s="597">
        <f>SUM(H55:H56)</f>
        <v>17728.7</v>
      </c>
      <c r="I54" s="596">
        <f>SUM(I55:I56)</f>
        <v>15657.495859999999</v>
      </c>
      <c r="J54" s="114">
        <f t="shared" si="21"/>
        <v>88.317224951632085</v>
      </c>
      <c r="K54" s="106"/>
    </row>
    <row r="55" spans="1:12" ht="60" x14ac:dyDescent="0.25">
      <c r="A55" s="36">
        <v>1</v>
      </c>
      <c r="B55" s="72" t="s">
        <v>118</v>
      </c>
      <c r="C55" s="114">
        <v>22572</v>
      </c>
      <c r="D55" s="108">
        <f t="shared" si="19"/>
        <v>7524</v>
      </c>
      <c r="E55" s="108">
        <v>5726</v>
      </c>
      <c r="F55" s="114">
        <f t="shared" si="18"/>
        <v>76.103136629452422</v>
      </c>
      <c r="G55" s="597">
        <f>51786939.6/1000</f>
        <v>51786.939599999998</v>
      </c>
      <c r="H55" s="597">
        <f t="shared" ref="H55:H58" si="22">ROUND(G55/12*$B$3,2)</f>
        <v>17262.310000000001</v>
      </c>
      <c r="I55" s="597">
        <v>15180.531419999999</v>
      </c>
      <c r="J55" s="114">
        <f t="shared" si="21"/>
        <v>87.940324440935186</v>
      </c>
      <c r="K55" s="106"/>
    </row>
    <row r="56" spans="1:12" ht="45" x14ac:dyDescent="0.25">
      <c r="A56" s="36">
        <v>1</v>
      </c>
      <c r="B56" s="72" t="s">
        <v>109</v>
      </c>
      <c r="C56" s="114">
        <v>1713</v>
      </c>
      <c r="D56" s="108">
        <f t="shared" si="19"/>
        <v>571</v>
      </c>
      <c r="E56" s="108">
        <v>539</v>
      </c>
      <c r="F56" s="114">
        <f t="shared" si="18"/>
        <v>94.395796847635722</v>
      </c>
      <c r="G56" s="597">
        <f>1399178.4/1000</f>
        <v>1399.1784</v>
      </c>
      <c r="H56" s="597">
        <f t="shared" si="22"/>
        <v>466.39</v>
      </c>
      <c r="I56" s="597">
        <v>476.96444000000002</v>
      </c>
      <c r="J56" s="114">
        <f t="shared" si="21"/>
        <v>102.26729561096937</v>
      </c>
      <c r="K56" s="106"/>
    </row>
    <row r="57" spans="1:12" s="107" customFormat="1" ht="33.75" customHeight="1" x14ac:dyDescent="0.25">
      <c r="A57" s="36">
        <v>1</v>
      </c>
      <c r="B57" s="286" t="s">
        <v>123</v>
      </c>
      <c r="C57" s="175">
        <v>17187</v>
      </c>
      <c r="D57" s="301">
        <f t="shared" si="19"/>
        <v>5729</v>
      </c>
      <c r="E57" s="301">
        <v>7159</v>
      </c>
      <c r="F57" s="175">
        <f t="shared" si="18"/>
        <v>124.9607261302147</v>
      </c>
      <c r="G57" s="597">
        <v>13939.000739999999</v>
      </c>
      <c r="H57" s="597">
        <f t="shared" si="22"/>
        <v>4646.33</v>
      </c>
      <c r="I57" s="597">
        <v>5769.9822599999998</v>
      </c>
      <c r="J57" s="175">
        <f>I57/H57*100</f>
        <v>124.1836516132087</v>
      </c>
      <c r="K57" s="106"/>
      <c r="L57" s="725"/>
    </row>
    <row r="58" spans="1:12" s="107" customFormat="1" ht="20.45" customHeight="1" thickBot="1" x14ac:dyDescent="0.3">
      <c r="A58" s="36">
        <v>1</v>
      </c>
      <c r="B58" s="286" t="s">
        <v>125</v>
      </c>
      <c r="C58" s="175">
        <v>200</v>
      </c>
      <c r="D58" s="301">
        <f t="shared" si="19"/>
        <v>67</v>
      </c>
      <c r="E58" s="301">
        <v>313</v>
      </c>
      <c r="F58" s="175">
        <f t="shared" si="18"/>
        <v>467.16417910447763</v>
      </c>
      <c r="G58" s="597">
        <v>162.20399999999998</v>
      </c>
      <c r="H58" s="597">
        <f t="shared" si="22"/>
        <v>54.07</v>
      </c>
      <c r="I58" s="597">
        <v>251.93433999999999</v>
      </c>
      <c r="J58" s="175"/>
      <c r="K58" s="106"/>
      <c r="L58" s="725"/>
    </row>
    <row r="59" spans="1:12" s="13" customFormat="1" ht="15" customHeight="1" thickBot="1" x14ac:dyDescent="0.3">
      <c r="A59" s="36">
        <v>1</v>
      </c>
      <c r="B59" s="320" t="s">
        <v>3</v>
      </c>
      <c r="C59" s="610"/>
      <c r="D59" s="610"/>
      <c r="E59" s="610"/>
      <c r="F59" s="619"/>
      <c r="G59" s="612">
        <f>G54+G51+G57</f>
        <v>68984.374739999999</v>
      </c>
      <c r="H59" s="612">
        <f>H54+H51+H57</f>
        <v>22994.78</v>
      </c>
      <c r="I59" s="612">
        <f>I54+I51+I57</f>
        <v>23379.696919999998</v>
      </c>
      <c r="J59" s="620">
        <f t="shared" si="21"/>
        <v>101.67393173581134</v>
      </c>
      <c r="K59" s="106"/>
      <c r="L59" s="725"/>
    </row>
    <row r="60" spans="1:12" ht="15" customHeight="1" x14ac:dyDescent="0.25">
      <c r="A60" s="36">
        <v>1</v>
      </c>
      <c r="B60" s="82"/>
      <c r="C60" s="144"/>
      <c r="D60" s="144"/>
      <c r="E60" s="144"/>
      <c r="F60" s="143"/>
      <c r="G60" s="354"/>
      <c r="H60" s="354"/>
      <c r="I60" s="354"/>
      <c r="J60" s="144"/>
      <c r="K60" s="106"/>
    </row>
    <row r="61" spans="1:12" ht="33" customHeight="1" x14ac:dyDescent="0.25">
      <c r="A61" s="36">
        <v>1</v>
      </c>
      <c r="B61" s="26" t="s">
        <v>63</v>
      </c>
      <c r="C61" s="122"/>
      <c r="D61" s="122"/>
      <c r="E61" s="122"/>
      <c r="F61" s="119"/>
      <c r="G61" s="355"/>
      <c r="H61" s="355"/>
      <c r="I61" s="355"/>
      <c r="J61" s="122"/>
      <c r="K61" s="106"/>
    </row>
    <row r="62" spans="1:12" ht="30" x14ac:dyDescent="0.25">
      <c r="A62" s="36">
        <v>1</v>
      </c>
      <c r="B62" s="199" t="s">
        <v>120</v>
      </c>
      <c r="C62" s="114">
        <f>SUM(C63:C64)</f>
        <v>19270</v>
      </c>
      <c r="D62" s="114">
        <f>SUM(D63:D64)</f>
        <v>6423</v>
      </c>
      <c r="E62" s="114">
        <f>SUM(E63:E64)</f>
        <v>5943</v>
      </c>
      <c r="F62" s="114">
        <f t="shared" ref="F62:F67" si="23">E62/D62*100</f>
        <v>92.526856609061184</v>
      </c>
      <c r="G62" s="597">
        <f>SUM(G63:G64)</f>
        <v>27113.701850000001</v>
      </c>
      <c r="H62" s="597">
        <f>SUM(H63:H64)</f>
        <v>9037.9</v>
      </c>
      <c r="I62" s="597">
        <f>SUM(I63:I64)</f>
        <v>6801.36996</v>
      </c>
      <c r="J62" s="114">
        <f t="shared" ref="J62:J68" si="24">I62/H62*100</f>
        <v>75.253874904568534</v>
      </c>
      <c r="K62" s="106"/>
    </row>
    <row r="63" spans="1:12" ht="30" customHeight="1" x14ac:dyDescent="0.25">
      <c r="A63" s="36">
        <v>1</v>
      </c>
      <c r="B63" s="72" t="s">
        <v>79</v>
      </c>
      <c r="C63" s="114">
        <v>14823</v>
      </c>
      <c r="D63" s="108">
        <f>ROUND(C63/12*$B$3,0)</f>
        <v>4941</v>
      </c>
      <c r="E63" s="114">
        <v>4456</v>
      </c>
      <c r="F63" s="114">
        <f t="shared" si="23"/>
        <v>90.184173244282533</v>
      </c>
      <c r="G63" s="597">
        <v>20194.4162</v>
      </c>
      <c r="H63" s="597">
        <f t="shared" ref="H63:H64" si="25">ROUND(G63/12*$B$3,2)</f>
        <v>6731.47</v>
      </c>
      <c r="I63" s="597">
        <v>4468.00371</v>
      </c>
      <c r="J63" s="114">
        <f t="shared" si="24"/>
        <v>66.374858834697321</v>
      </c>
      <c r="K63" s="106"/>
    </row>
    <row r="64" spans="1:12" ht="28.5" customHeight="1" x14ac:dyDescent="0.25">
      <c r="A64" s="36">
        <v>1</v>
      </c>
      <c r="B64" s="72" t="s">
        <v>80</v>
      </c>
      <c r="C64" s="114">
        <v>4447</v>
      </c>
      <c r="D64" s="108">
        <f>ROUND(C64/12*$B$3,0)</f>
        <v>1482</v>
      </c>
      <c r="E64" s="114">
        <v>1487</v>
      </c>
      <c r="F64" s="175">
        <f t="shared" si="23"/>
        <v>100.33738191632928</v>
      </c>
      <c r="G64" s="597">
        <v>6919.2856500000007</v>
      </c>
      <c r="H64" s="597">
        <f t="shared" si="25"/>
        <v>2306.4299999999998</v>
      </c>
      <c r="I64" s="597">
        <v>2333.3662500000005</v>
      </c>
      <c r="J64" s="114">
        <f t="shared" si="24"/>
        <v>101.16787632835165</v>
      </c>
      <c r="K64" s="106"/>
    </row>
    <row r="65" spans="1:12" ht="28.5" customHeight="1" x14ac:dyDescent="0.25">
      <c r="A65" s="36">
        <v>1</v>
      </c>
      <c r="B65" s="199" t="s">
        <v>112</v>
      </c>
      <c r="C65" s="175">
        <f>SUM(C66)</f>
        <v>500</v>
      </c>
      <c r="D65" s="175">
        <f t="shared" ref="D65:I65" si="26">SUM(D66)</f>
        <v>167</v>
      </c>
      <c r="E65" s="175">
        <f t="shared" si="26"/>
        <v>168</v>
      </c>
      <c r="F65" s="175">
        <f t="shared" si="23"/>
        <v>100.59880239520957</v>
      </c>
      <c r="G65" s="597">
        <f t="shared" si="26"/>
        <v>883.55</v>
      </c>
      <c r="H65" s="597">
        <f t="shared" si="26"/>
        <v>294.52</v>
      </c>
      <c r="I65" s="597">
        <f t="shared" si="26"/>
        <v>295.22994</v>
      </c>
      <c r="J65" s="114">
        <f t="shared" si="24"/>
        <v>100.24104984381368</v>
      </c>
      <c r="K65" s="106"/>
    </row>
    <row r="66" spans="1:12" ht="28.5" customHeight="1" x14ac:dyDescent="0.25">
      <c r="A66" s="36">
        <v>1</v>
      </c>
      <c r="B66" s="287" t="s">
        <v>108</v>
      </c>
      <c r="C66" s="175">
        <v>500</v>
      </c>
      <c r="D66" s="175">
        <f>ROUND(C66/12*$B$3,0)</f>
        <v>167</v>
      </c>
      <c r="E66" s="175">
        <v>168</v>
      </c>
      <c r="F66" s="175">
        <f t="shared" si="23"/>
        <v>100.59880239520957</v>
      </c>
      <c r="G66" s="597">
        <f>883550/1000</f>
        <v>883.55</v>
      </c>
      <c r="H66" s="597">
        <f>ROUND(G66/12*$B$3,2)</f>
        <v>294.52</v>
      </c>
      <c r="I66" s="597">
        <v>295.22994</v>
      </c>
      <c r="J66" s="175">
        <f t="shared" si="24"/>
        <v>100.24104984381368</v>
      </c>
      <c r="K66" s="106"/>
    </row>
    <row r="67" spans="1:12" s="107" customFormat="1" ht="28.5" customHeight="1" thickBot="1" x14ac:dyDescent="0.3">
      <c r="A67" s="36">
        <v>1</v>
      </c>
      <c r="B67" s="117" t="s">
        <v>123</v>
      </c>
      <c r="C67" s="175">
        <v>18000</v>
      </c>
      <c r="D67" s="175">
        <f>ROUND(C67/12*$B$3,0)</f>
        <v>6000</v>
      </c>
      <c r="E67" s="175">
        <v>6128</v>
      </c>
      <c r="F67" s="175">
        <f t="shared" si="23"/>
        <v>102.13333333333334</v>
      </c>
      <c r="G67" s="597">
        <v>14598.36</v>
      </c>
      <c r="H67" s="597">
        <f>ROUND(G67/12*$B$3,2)</f>
        <v>4866.12</v>
      </c>
      <c r="I67" s="597">
        <v>4967.4042299999992</v>
      </c>
      <c r="J67" s="175">
        <f>I67/H67*100</f>
        <v>102.08141661118097</v>
      </c>
      <c r="K67" s="106"/>
      <c r="L67" s="725"/>
    </row>
    <row r="68" spans="1:12" ht="15.75" customHeight="1" thickBot="1" x14ac:dyDescent="0.3">
      <c r="A68" s="36">
        <v>1</v>
      </c>
      <c r="B68" s="300" t="s">
        <v>3</v>
      </c>
      <c r="C68" s="610"/>
      <c r="D68" s="610"/>
      <c r="E68" s="610"/>
      <c r="F68" s="619"/>
      <c r="G68" s="612">
        <f>G65+G62+G67</f>
        <v>42595.611850000001</v>
      </c>
      <c r="H68" s="612">
        <f>H65+H62+H67</f>
        <v>14198.54</v>
      </c>
      <c r="I68" s="612">
        <f>I65+I62+I67</f>
        <v>12064.004129999999</v>
      </c>
      <c r="J68" s="620">
        <f t="shared" si="24"/>
        <v>84.966511556822027</v>
      </c>
      <c r="K68" s="106"/>
    </row>
    <row r="69" spans="1:12" x14ac:dyDescent="0.25">
      <c r="A69" s="36">
        <v>1</v>
      </c>
      <c r="B69" s="31"/>
      <c r="C69" s="144"/>
      <c r="D69" s="144"/>
      <c r="E69" s="144"/>
      <c r="F69" s="143"/>
      <c r="G69" s="354"/>
      <c r="H69" s="354"/>
      <c r="I69" s="354"/>
      <c r="J69" s="144"/>
      <c r="K69" s="106"/>
    </row>
    <row r="70" spans="1:12" ht="29.25" x14ac:dyDescent="0.25">
      <c r="A70" s="36">
        <v>1</v>
      </c>
      <c r="B70" s="26" t="s">
        <v>64</v>
      </c>
      <c r="C70" s="122"/>
      <c r="D70" s="122"/>
      <c r="E70" s="122"/>
      <c r="F70" s="119"/>
      <c r="G70" s="355"/>
      <c r="H70" s="355"/>
      <c r="I70" s="355"/>
      <c r="J70" s="122"/>
      <c r="K70" s="106"/>
    </row>
    <row r="71" spans="1:12" ht="44.25" customHeight="1" x14ac:dyDescent="0.25">
      <c r="A71" s="36">
        <v>1</v>
      </c>
      <c r="B71" s="199" t="s">
        <v>120</v>
      </c>
      <c r="C71" s="114">
        <f>SUM(C72:C73)</f>
        <v>11144</v>
      </c>
      <c r="D71" s="114">
        <f>SUM(D72:D73)</f>
        <v>3714</v>
      </c>
      <c r="E71" s="114">
        <f>SUM(E72:E73)</f>
        <v>3740</v>
      </c>
      <c r="F71" s="114">
        <f t="shared" ref="F71:F76" si="27">E71/D71*100</f>
        <v>100.70005385029617</v>
      </c>
      <c r="G71" s="597">
        <f>SUM(G72:G73)</f>
        <v>15344.157569999999</v>
      </c>
      <c r="H71" s="597">
        <f>SUM(H72:H73)</f>
        <v>5114.7199999999993</v>
      </c>
      <c r="I71" s="597">
        <f>SUM(I72:I73)</f>
        <v>5032.6431199999997</v>
      </c>
      <c r="J71" s="114">
        <f t="shared" ref="J71:J77" si="28">I71/H71*100</f>
        <v>98.395281071104577</v>
      </c>
      <c r="K71" s="106"/>
    </row>
    <row r="72" spans="1:12" ht="29.25" customHeight="1" x14ac:dyDescent="0.25">
      <c r="A72" s="36">
        <v>1</v>
      </c>
      <c r="B72" s="72" t="s">
        <v>79</v>
      </c>
      <c r="C72" s="114">
        <v>8572</v>
      </c>
      <c r="D72" s="108">
        <f>ROUND(C72/12*$B$3,0)</f>
        <v>2857</v>
      </c>
      <c r="E72" s="114">
        <v>2870</v>
      </c>
      <c r="F72" s="114">
        <f t="shared" si="27"/>
        <v>100.45502275113756</v>
      </c>
      <c r="G72" s="597">
        <v>11435.6788</v>
      </c>
      <c r="H72" s="597">
        <f t="shared" ref="H72:H73" si="29">ROUND(G72/12*$B$3,2)</f>
        <v>3811.89</v>
      </c>
      <c r="I72" s="597">
        <v>3690.8585899999998</v>
      </c>
      <c r="J72" s="114">
        <f t="shared" si="28"/>
        <v>96.824897622963931</v>
      </c>
      <c r="K72" s="106"/>
    </row>
    <row r="73" spans="1:12" ht="30" x14ac:dyDescent="0.25">
      <c r="A73" s="36">
        <v>1</v>
      </c>
      <c r="B73" s="72" t="s">
        <v>80</v>
      </c>
      <c r="C73" s="175">
        <v>2572</v>
      </c>
      <c r="D73" s="301">
        <f>ROUND(C73/12*$B$3,0)</f>
        <v>857</v>
      </c>
      <c r="E73" s="175">
        <v>870</v>
      </c>
      <c r="F73" s="175">
        <f t="shared" si="27"/>
        <v>101.5169194865811</v>
      </c>
      <c r="G73" s="597">
        <v>3908.4787700000002</v>
      </c>
      <c r="H73" s="597">
        <f t="shared" si="29"/>
        <v>1302.83</v>
      </c>
      <c r="I73" s="597">
        <v>1341.7845300000001</v>
      </c>
      <c r="J73" s="175">
        <f t="shared" si="28"/>
        <v>102.98999332222931</v>
      </c>
      <c r="K73" s="106"/>
    </row>
    <row r="74" spans="1:12" ht="30" x14ac:dyDescent="0.25">
      <c r="A74" s="36">
        <v>1</v>
      </c>
      <c r="B74" s="199" t="s">
        <v>112</v>
      </c>
      <c r="C74" s="114">
        <f>SUM(C75)</f>
        <v>960</v>
      </c>
      <c r="D74" s="114">
        <f t="shared" ref="D74:I74" si="30">SUM(D75)</f>
        <v>320</v>
      </c>
      <c r="E74" s="114">
        <f t="shared" si="30"/>
        <v>323</v>
      </c>
      <c r="F74" s="114">
        <f t="shared" si="27"/>
        <v>100.93749999999999</v>
      </c>
      <c r="G74" s="597">
        <f t="shared" si="30"/>
        <v>1696.4159999999999</v>
      </c>
      <c r="H74" s="597">
        <f t="shared" si="30"/>
        <v>565.47</v>
      </c>
      <c r="I74" s="597">
        <f t="shared" si="30"/>
        <v>565.81525999999997</v>
      </c>
      <c r="J74" s="175">
        <f t="shared" si="28"/>
        <v>100.06105717367852</v>
      </c>
      <c r="K74" s="106"/>
    </row>
    <row r="75" spans="1:12" ht="30" x14ac:dyDescent="0.25">
      <c r="A75" s="36">
        <v>1</v>
      </c>
      <c r="B75" s="287" t="s">
        <v>108</v>
      </c>
      <c r="C75" s="319">
        <v>960</v>
      </c>
      <c r="D75" s="621">
        <f>ROUND(C75/12*$B$3,0)</f>
        <v>320</v>
      </c>
      <c r="E75" s="319">
        <v>323</v>
      </c>
      <c r="F75" s="622">
        <f t="shared" si="27"/>
        <v>100.93749999999999</v>
      </c>
      <c r="G75" s="597">
        <f>1696416/1000</f>
        <v>1696.4159999999999</v>
      </c>
      <c r="H75" s="597">
        <f t="shared" ref="H75:H76" si="31">ROUND(G75/12*$B$3,2)</f>
        <v>565.47</v>
      </c>
      <c r="I75" s="597">
        <v>565.81525999999997</v>
      </c>
      <c r="J75" s="175">
        <f t="shared" si="28"/>
        <v>100.06105717367852</v>
      </c>
      <c r="K75" s="106"/>
    </row>
    <row r="76" spans="1:12" ht="30.75" thickBot="1" x14ac:dyDescent="0.3">
      <c r="A76" s="36">
        <v>1</v>
      </c>
      <c r="B76" s="117" t="s">
        <v>123</v>
      </c>
      <c r="C76" s="175">
        <v>12978</v>
      </c>
      <c r="D76" s="301">
        <f>ROUND(C76/12*$B$3,0)</f>
        <v>4326</v>
      </c>
      <c r="E76" s="175">
        <v>4425</v>
      </c>
      <c r="F76" s="175">
        <f t="shared" si="27"/>
        <v>102.2884882108183</v>
      </c>
      <c r="G76" s="597">
        <v>10525.41756</v>
      </c>
      <c r="H76" s="597">
        <f t="shared" si="31"/>
        <v>3508.47</v>
      </c>
      <c r="I76" s="597">
        <v>3588.7635</v>
      </c>
      <c r="J76" s="175">
        <f>I76/H76*100</f>
        <v>102.28856168073264</v>
      </c>
      <c r="K76" s="106"/>
    </row>
    <row r="77" spans="1:12" ht="15" customHeight="1" thickBot="1" x14ac:dyDescent="0.3">
      <c r="A77" s="36">
        <v>1</v>
      </c>
      <c r="B77" s="112" t="s">
        <v>3</v>
      </c>
      <c r="C77" s="623"/>
      <c r="D77" s="610"/>
      <c r="E77" s="610"/>
      <c r="F77" s="611"/>
      <c r="G77" s="612">
        <f>G74+G71+G76</f>
        <v>27565.991130000002</v>
      </c>
      <c r="H77" s="612">
        <f>H74+H71+H76</f>
        <v>9188.66</v>
      </c>
      <c r="I77" s="612">
        <f>I74+I71+I76</f>
        <v>9187.221880000001</v>
      </c>
      <c r="J77" s="616">
        <f t="shared" si="28"/>
        <v>99.984348969273</v>
      </c>
      <c r="K77" s="106"/>
    </row>
    <row r="78" spans="1:12" x14ac:dyDescent="0.25">
      <c r="A78" s="36">
        <v>1</v>
      </c>
      <c r="B78" s="31"/>
      <c r="C78" s="144"/>
      <c r="D78" s="144"/>
      <c r="E78" s="144"/>
      <c r="F78" s="143"/>
      <c r="G78" s="354"/>
      <c r="H78" s="354"/>
      <c r="I78" s="354"/>
      <c r="J78" s="144"/>
      <c r="K78" s="106"/>
    </row>
    <row r="79" spans="1:12" ht="29.25" x14ac:dyDescent="0.25">
      <c r="A79" s="36">
        <v>1</v>
      </c>
      <c r="B79" s="74" t="s">
        <v>65</v>
      </c>
      <c r="C79" s="122"/>
      <c r="D79" s="122"/>
      <c r="E79" s="122"/>
      <c r="F79" s="119"/>
      <c r="G79" s="355"/>
      <c r="H79" s="355"/>
      <c r="I79" s="355"/>
      <c r="J79" s="122"/>
      <c r="K79" s="106"/>
    </row>
    <row r="80" spans="1:12" ht="30" x14ac:dyDescent="0.25">
      <c r="A80" s="36">
        <v>1</v>
      </c>
      <c r="B80" s="199" t="s">
        <v>120</v>
      </c>
      <c r="C80" s="114">
        <f>SUM(C81:C82)</f>
        <v>15513</v>
      </c>
      <c r="D80" s="114">
        <f>SUM(D81:D82)</f>
        <v>5171</v>
      </c>
      <c r="E80" s="114">
        <f>SUM(E81:E82)</f>
        <v>3287</v>
      </c>
      <c r="F80" s="114">
        <f t="shared" ref="F80:F85" si="32">E80/D80*100</f>
        <v>63.566041384645132</v>
      </c>
      <c r="G80" s="597">
        <f>SUM(G81:G82)</f>
        <v>22055.219560000001</v>
      </c>
      <c r="H80" s="597">
        <f>SUM(H81:H82)</f>
        <v>7351.74</v>
      </c>
      <c r="I80" s="597">
        <f>SUM(I81:I82)</f>
        <v>4553.4393399999999</v>
      </c>
      <c r="J80" s="116">
        <f t="shared" ref="J80:J99" si="33">I80/H80*100</f>
        <v>61.936893034846172</v>
      </c>
      <c r="K80" s="106"/>
    </row>
    <row r="81" spans="1:11" ht="30" x14ac:dyDescent="0.25">
      <c r="A81" s="36">
        <v>1</v>
      </c>
      <c r="B81" s="72" t="s">
        <v>79</v>
      </c>
      <c r="C81" s="114">
        <v>11933</v>
      </c>
      <c r="D81" s="108">
        <f>ROUND(C81/12*$B$3,0)</f>
        <v>3978</v>
      </c>
      <c r="E81" s="114">
        <v>2698</v>
      </c>
      <c r="F81" s="114">
        <f t="shared" si="32"/>
        <v>67.823026646556059</v>
      </c>
      <c r="G81" s="597">
        <v>16478.485800000002</v>
      </c>
      <c r="H81" s="597">
        <f t="shared" ref="H81:H82" si="34">ROUND(G81/12*$B$3,2)</f>
        <v>5492.83</v>
      </c>
      <c r="I81" s="597">
        <v>3656.6907200000001</v>
      </c>
      <c r="J81" s="116">
        <f t="shared" si="33"/>
        <v>66.572071591511119</v>
      </c>
      <c r="K81" s="106"/>
    </row>
    <row r="82" spans="1:11" ht="30" x14ac:dyDescent="0.25">
      <c r="A82" s="36">
        <v>1</v>
      </c>
      <c r="B82" s="72" t="s">
        <v>80</v>
      </c>
      <c r="C82" s="114">
        <v>3580</v>
      </c>
      <c r="D82" s="108">
        <f>ROUND(C82/12*$B$3,0)</f>
        <v>1193</v>
      </c>
      <c r="E82" s="114">
        <v>589</v>
      </c>
      <c r="F82" s="175">
        <f t="shared" si="32"/>
        <v>49.371332774518024</v>
      </c>
      <c r="G82" s="597">
        <v>5576.7337600000001</v>
      </c>
      <c r="H82" s="597">
        <f t="shared" si="34"/>
        <v>1858.91</v>
      </c>
      <c r="I82" s="597">
        <v>896.74861999999996</v>
      </c>
      <c r="J82" s="116">
        <f t="shared" si="33"/>
        <v>48.240561404263779</v>
      </c>
      <c r="K82" s="106"/>
    </row>
    <row r="83" spans="1:11" ht="30" x14ac:dyDescent="0.25">
      <c r="A83" s="36">
        <v>1</v>
      </c>
      <c r="B83" s="199" t="s">
        <v>112</v>
      </c>
      <c r="C83" s="114">
        <f>SUM(C84)</f>
        <v>1800</v>
      </c>
      <c r="D83" s="114">
        <f t="shared" ref="D83:I83" si="35">SUM(D84)</f>
        <v>600</v>
      </c>
      <c r="E83" s="114">
        <f t="shared" si="35"/>
        <v>609</v>
      </c>
      <c r="F83" s="175">
        <f t="shared" si="32"/>
        <v>101.49999999999999</v>
      </c>
      <c r="G83" s="597">
        <f t="shared" si="35"/>
        <v>3180.78</v>
      </c>
      <c r="H83" s="597">
        <f t="shared" si="35"/>
        <v>1060.26</v>
      </c>
      <c r="I83" s="597">
        <f t="shared" si="35"/>
        <v>1085.68552</v>
      </c>
      <c r="J83" s="116">
        <f t="shared" si="33"/>
        <v>102.39804576236018</v>
      </c>
      <c r="K83" s="106"/>
    </row>
    <row r="84" spans="1:11" ht="30" x14ac:dyDescent="0.25">
      <c r="A84" s="36">
        <v>1</v>
      </c>
      <c r="B84" s="287" t="s">
        <v>108</v>
      </c>
      <c r="C84" s="175">
        <v>1800</v>
      </c>
      <c r="D84" s="301">
        <f>ROUND(C84/12*$B$3,0)</f>
        <v>600</v>
      </c>
      <c r="E84" s="321">
        <v>609</v>
      </c>
      <c r="F84" s="175">
        <f t="shared" si="32"/>
        <v>101.49999999999999</v>
      </c>
      <c r="G84" s="597">
        <f>3180780/1000</f>
        <v>3180.78</v>
      </c>
      <c r="H84" s="597">
        <f t="shared" ref="H84:H85" si="36">ROUND(G84/12*$B$3,2)</f>
        <v>1060.26</v>
      </c>
      <c r="I84" s="597">
        <v>1085.68552</v>
      </c>
      <c r="J84" s="600">
        <f t="shared" si="33"/>
        <v>102.39804576236018</v>
      </c>
      <c r="K84" s="106"/>
    </row>
    <row r="85" spans="1:11" ht="30.75" thickBot="1" x14ac:dyDescent="0.3">
      <c r="A85" s="36">
        <v>1</v>
      </c>
      <c r="B85" s="117" t="s">
        <v>123</v>
      </c>
      <c r="C85" s="114">
        <v>19927</v>
      </c>
      <c r="D85" s="108">
        <f>ROUND(C85/12*$B$3,0)</f>
        <v>6642</v>
      </c>
      <c r="E85" s="114">
        <v>6761</v>
      </c>
      <c r="F85" s="175">
        <f t="shared" si="32"/>
        <v>101.79162902740137</v>
      </c>
      <c r="G85" s="597">
        <v>16161.195539999999</v>
      </c>
      <c r="H85" s="597">
        <f t="shared" si="36"/>
        <v>5387.07</v>
      </c>
      <c r="I85" s="597">
        <v>5475.9200999999994</v>
      </c>
      <c r="J85" s="116">
        <f>I85/H85*100</f>
        <v>101.6493214307592</v>
      </c>
      <c r="K85" s="106"/>
    </row>
    <row r="86" spans="1:11" ht="15" customHeight="1" thickBot="1" x14ac:dyDescent="0.3">
      <c r="A86" s="36">
        <v>1</v>
      </c>
      <c r="B86" s="112" t="s">
        <v>3</v>
      </c>
      <c r="C86" s="427"/>
      <c r="D86" s="427"/>
      <c r="E86" s="427"/>
      <c r="F86" s="615"/>
      <c r="G86" s="624">
        <f>G83+G80+G85</f>
        <v>41397.195099999997</v>
      </c>
      <c r="H86" s="624">
        <f>H83+H80+H85</f>
        <v>13799.07</v>
      </c>
      <c r="I86" s="624">
        <f>I83+I80+I85</f>
        <v>11115.044959999999</v>
      </c>
      <c r="J86" s="616">
        <f t="shared" si="33"/>
        <v>80.549232375805033</v>
      </c>
      <c r="K86" s="106"/>
    </row>
    <row r="87" spans="1:11" x14ac:dyDescent="0.25">
      <c r="A87" s="36">
        <v>1</v>
      </c>
      <c r="B87" s="31"/>
      <c r="C87" s="143"/>
      <c r="D87" s="143"/>
      <c r="E87" s="143"/>
      <c r="F87" s="143"/>
      <c r="G87" s="354"/>
      <c r="H87" s="354"/>
      <c r="I87" s="354"/>
      <c r="J87" s="144"/>
      <c r="K87" s="106"/>
    </row>
    <row r="88" spans="1:11" ht="29.25" x14ac:dyDescent="0.25">
      <c r="A88" s="36">
        <v>1</v>
      </c>
      <c r="B88" s="26" t="s">
        <v>66</v>
      </c>
      <c r="C88" s="119"/>
      <c r="D88" s="119"/>
      <c r="E88" s="119"/>
      <c r="F88" s="119"/>
      <c r="G88" s="597"/>
      <c r="H88" s="597"/>
      <c r="I88" s="597"/>
      <c r="J88" s="116"/>
      <c r="K88" s="106"/>
    </row>
    <row r="89" spans="1:11" ht="30" x14ac:dyDescent="0.25">
      <c r="A89" s="36">
        <v>1</v>
      </c>
      <c r="B89" s="199" t="s">
        <v>120</v>
      </c>
      <c r="C89" s="114">
        <f>SUM(C90:C93)</f>
        <v>7431</v>
      </c>
      <c r="D89" s="114">
        <f>SUM(D90:D93)</f>
        <v>2477</v>
      </c>
      <c r="E89" s="114">
        <f>SUM(E90:E93)</f>
        <v>2836</v>
      </c>
      <c r="F89" s="626">
        <f t="shared" ref="F89:F97" si="37">E89/D89*100</f>
        <v>114.49333871618894</v>
      </c>
      <c r="G89" s="597">
        <f>SUM(G90:G93)</f>
        <v>11223.49158</v>
      </c>
      <c r="H89" s="597">
        <f>SUM(H90:H93)</f>
        <v>3741.1499999999996</v>
      </c>
      <c r="I89" s="597">
        <f>SUM(I90:I93)</f>
        <v>4599.4776000000002</v>
      </c>
      <c r="J89" s="114">
        <f t="shared" si="33"/>
        <v>122.94288119963115</v>
      </c>
      <c r="K89" s="106"/>
    </row>
    <row r="90" spans="1:11" ht="29.25" customHeight="1" x14ac:dyDescent="0.25">
      <c r="A90" s="36">
        <v>1</v>
      </c>
      <c r="B90" s="72" t="s">
        <v>79</v>
      </c>
      <c r="C90" s="114">
        <v>5594</v>
      </c>
      <c r="D90" s="108">
        <f t="shared" ref="D90:D97" si="38">ROUND(C90/12*$B$3,0)</f>
        <v>1865</v>
      </c>
      <c r="E90" s="108">
        <v>2058</v>
      </c>
      <c r="F90" s="626">
        <f t="shared" si="37"/>
        <v>110.34852546916889</v>
      </c>
      <c r="G90" s="597">
        <v>7756.0923999999995</v>
      </c>
      <c r="H90" s="597">
        <f t="shared" ref="H90:H93" si="39">ROUND(G90/12*$B$3,2)</f>
        <v>2585.36</v>
      </c>
      <c r="I90" s="597">
        <v>2787.2732900000001</v>
      </c>
      <c r="J90" s="114">
        <f t="shared" si="33"/>
        <v>107.80987135253891</v>
      </c>
      <c r="K90" s="106"/>
    </row>
    <row r="91" spans="1:11" ht="26.25" customHeight="1" x14ac:dyDescent="0.25">
      <c r="A91" s="36">
        <v>1</v>
      </c>
      <c r="B91" s="72" t="s">
        <v>80</v>
      </c>
      <c r="C91" s="114">
        <v>1678</v>
      </c>
      <c r="D91" s="108">
        <f t="shared" si="38"/>
        <v>559</v>
      </c>
      <c r="E91" s="108">
        <v>625</v>
      </c>
      <c r="F91" s="626">
        <f t="shared" si="37"/>
        <v>111.80679785330949</v>
      </c>
      <c r="G91" s="597">
        <v>2597.9235800000001</v>
      </c>
      <c r="H91" s="597">
        <f t="shared" si="39"/>
        <v>865.97</v>
      </c>
      <c r="I91" s="597">
        <v>975.53910999999994</v>
      </c>
      <c r="J91" s="114">
        <f t="shared" si="33"/>
        <v>112.6527604882386</v>
      </c>
      <c r="K91" s="106"/>
    </row>
    <row r="92" spans="1:11" ht="27.75" customHeight="1" x14ac:dyDescent="0.25">
      <c r="A92" s="36">
        <v>1</v>
      </c>
      <c r="B92" s="72" t="s">
        <v>114</v>
      </c>
      <c r="C92" s="114">
        <v>115</v>
      </c>
      <c r="D92" s="108">
        <f t="shared" si="38"/>
        <v>38</v>
      </c>
      <c r="E92" s="108">
        <v>115</v>
      </c>
      <c r="F92" s="626">
        <f t="shared" si="37"/>
        <v>302.63157894736838</v>
      </c>
      <c r="G92" s="597">
        <v>628.86599999999999</v>
      </c>
      <c r="H92" s="597">
        <f t="shared" si="39"/>
        <v>209.62</v>
      </c>
      <c r="I92" s="597">
        <v>628.86599999999999</v>
      </c>
      <c r="J92" s="114">
        <f t="shared" si="33"/>
        <v>300.00286232229752</v>
      </c>
      <c r="K92" s="106"/>
    </row>
    <row r="93" spans="1:11" ht="27.75" customHeight="1" x14ac:dyDescent="0.25">
      <c r="A93" s="36">
        <v>1</v>
      </c>
      <c r="B93" s="72" t="s">
        <v>115</v>
      </c>
      <c r="C93" s="114">
        <v>44</v>
      </c>
      <c r="D93" s="108">
        <f t="shared" si="38"/>
        <v>15</v>
      </c>
      <c r="E93" s="108">
        <v>38</v>
      </c>
      <c r="F93" s="626">
        <f t="shared" si="37"/>
        <v>253.33333333333331</v>
      </c>
      <c r="G93" s="597">
        <v>240.60959999999997</v>
      </c>
      <c r="H93" s="597">
        <f t="shared" si="39"/>
        <v>80.2</v>
      </c>
      <c r="I93" s="597">
        <v>207.79920000000001</v>
      </c>
      <c r="J93" s="114">
        <f t="shared" si="33"/>
        <v>259.10124688279302</v>
      </c>
      <c r="K93" s="106"/>
    </row>
    <row r="94" spans="1:11" ht="45.75" customHeight="1" x14ac:dyDescent="0.25">
      <c r="A94" s="36">
        <v>1</v>
      </c>
      <c r="B94" s="228" t="s">
        <v>112</v>
      </c>
      <c r="C94" s="114">
        <f>SUM(C95:C97)</f>
        <v>7029</v>
      </c>
      <c r="D94" s="114">
        <f>SUM(D95:D97)</f>
        <v>2343</v>
      </c>
      <c r="E94" s="114">
        <f>SUM(E95:E97)</f>
        <v>1755</v>
      </c>
      <c r="F94" s="626">
        <f t="shared" si="37"/>
        <v>74.903969270166442</v>
      </c>
      <c r="G94" s="597">
        <f>SUM(G95:G97)</f>
        <v>12477.544699999999</v>
      </c>
      <c r="H94" s="597">
        <f>SUM(H95:H97)</f>
        <v>4159.18</v>
      </c>
      <c r="I94" s="597">
        <f>SUM(I95:I97)</f>
        <v>3148.4859200000001</v>
      </c>
      <c r="J94" s="114">
        <f t="shared" si="33"/>
        <v>75.699679263701015</v>
      </c>
      <c r="K94" s="106"/>
    </row>
    <row r="95" spans="1:11" ht="30" x14ac:dyDescent="0.25">
      <c r="A95" s="36">
        <v>1</v>
      </c>
      <c r="B95" s="72" t="s">
        <v>108</v>
      </c>
      <c r="C95" s="114">
        <v>700</v>
      </c>
      <c r="D95" s="108">
        <f t="shared" si="38"/>
        <v>233</v>
      </c>
      <c r="E95" s="114">
        <v>240</v>
      </c>
      <c r="F95" s="626">
        <f t="shared" si="37"/>
        <v>103.00429184549355</v>
      </c>
      <c r="G95" s="597">
        <f>1236970/1000</f>
        <v>1236.97</v>
      </c>
      <c r="H95" s="597">
        <f t="shared" ref="H95:H98" si="40">ROUND(G95/12*$B$3,2)</f>
        <v>412.32</v>
      </c>
      <c r="I95" s="597">
        <v>429.25255999999996</v>
      </c>
      <c r="J95" s="114">
        <f t="shared" si="33"/>
        <v>104.10665502522312</v>
      </c>
      <c r="K95" s="106"/>
    </row>
    <row r="96" spans="1:11" ht="57" customHeight="1" x14ac:dyDescent="0.25">
      <c r="A96" s="36">
        <v>1</v>
      </c>
      <c r="B96" s="72" t="s">
        <v>118</v>
      </c>
      <c r="C96" s="114">
        <v>4109</v>
      </c>
      <c r="D96" s="108">
        <f t="shared" si="38"/>
        <v>1370</v>
      </c>
      <c r="E96" s="108">
        <v>847</v>
      </c>
      <c r="F96" s="626">
        <f t="shared" si="37"/>
        <v>61.824817518248175</v>
      </c>
      <c r="G96" s="597">
        <f>9427278.7/1000</f>
        <v>9427.2786999999989</v>
      </c>
      <c r="H96" s="597">
        <f t="shared" si="40"/>
        <v>3142.43</v>
      </c>
      <c r="I96" s="597">
        <v>2143.8538600000002</v>
      </c>
      <c r="J96" s="114">
        <f t="shared" si="33"/>
        <v>68.222804008362957</v>
      </c>
      <c r="K96" s="106"/>
    </row>
    <row r="97" spans="1:12" ht="43.5" customHeight="1" x14ac:dyDescent="0.25">
      <c r="A97" s="36">
        <v>1</v>
      </c>
      <c r="B97" s="72" t="s">
        <v>109</v>
      </c>
      <c r="C97" s="114">
        <v>2220</v>
      </c>
      <c r="D97" s="108">
        <f t="shared" si="38"/>
        <v>740</v>
      </c>
      <c r="E97" s="108">
        <v>668</v>
      </c>
      <c r="F97" s="626">
        <f t="shared" si="37"/>
        <v>90.270270270270274</v>
      </c>
      <c r="G97" s="597">
        <f>1813296/1000</f>
        <v>1813.296</v>
      </c>
      <c r="H97" s="597">
        <f t="shared" si="40"/>
        <v>604.42999999999995</v>
      </c>
      <c r="I97" s="597">
        <v>575.37950000000001</v>
      </c>
      <c r="J97" s="114">
        <f t="shared" si="33"/>
        <v>95.193736247373579</v>
      </c>
      <c r="K97" s="106"/>
    </row>
    <row r="98" spans="1:12" ht="30" customHeight="1" thickBot="1" x14ac:dyDescent="0.3">
      <c r="A98" s="36">
        <v>1</v>
      </c>
      <c r="B98" s="117" t="s">
        <v>123</v>
      </c>
      <c r="C98" s="114">
        <v>17404</v>
      </c>
      <c r="D98" s="108">
        <f>ROUND(C98/12*$B$3,0)</f>
        <v>5801</v>
      </c>
      <c r="E98" s="108">
        <v>5943</v>
      </c>
      <c r="F98" s="626">
        <f>E98/D98*100</f>
        <v>102.44785381830719</v>
      </c>
      <c r="G98" s="597">
        <v>14114.99208</v>
      </c>
      <c r="H98" s="597">
        <f t="shared" si="40"/>
        <v>4705</v>
      </c>
      <c r="I98" s="597">
        <v>4779.6788599999991</v>
      </c>
      <c r="J98" s="600">
        <f>I98/H98*100</f>
        <v>101.58722337938362</v>
      </c>
      <c r="K98" s="106"/>
    </row>
    <row r="99" spans="1:12" s="34" customFormat="1" ht="15.75" thickBot="1" x14ac:dyDescent="0.3">
      <c r="A99" s="36">
        <v>1</v>
      </c>
      <c r="B99" s="120" t="s">
        <v>3</v>
      </c>
      <c r="C99" s="427"/>
      <c r="D99" s="427"/>
      <c r="E99" s="427"/>
      <c r="F99" s="627"/>
      <c r="G99" s="624">
        <f>G94+G89+G98</f>
        <v>37816.028359999997</v>
      </c>
      <c r="H99" s="624">
        <f>H94+H89+H98</f>
        <v>12605.33</v>
      </c>
      <c r="I99" s="624">
        <f>I94+I89+I98</f>
        <v>12527.642379999999</v>
      </c>
      <c r="J99" s="616">
        <f t="shared" si="33"/>
        <v>99.38369229524335</v>
      </c>
      <c r="K99" s="106"/>
      <c r="L99" s="725"/>
    </row>
    <row r="100" spans="1:12" ht="15" customHeight="1" x14ac:dyDescent="0.25">
      <c r="A100" s="36">
        <v>1</v>
      </c>
      <c r="B100" s="31"/>
      <c r="C100" s="144"/>
      <c r="D100" s="144"/>
      <c r="E100" s="144"/>
      <c r="F100" s="143"/>
      <c r="G100" s="354"/>
      <c r="H100" s="354"/>
      <c r="I100" s="354"/>
      <c r="J100" s="144"/>
      <c r="K100" s="106"/>
    </row>
    <row r="101" spans="1:12" ht="29.25" x14ac:dyDescent="0.25">
      <c r="A101" s="36">
        <v>1</v>
      </c>
      <c r="B101" s="26" t="s">
        <v>67</v>
      </c>
      <c r="C101" s="122"/>
      <c r="D101" s="122"/>
      <c r="E101" s="122"/>
      <c r="F101" s="119"/>
      <c r="G101" s="355"/>
      <c r="H101" s="355"/>
      <c r="I101" s="350"/>
      <c r="J101" s="122"/>
      <c r="K101" s="106"/>
    </row>
    <row r="102" spans="1:12" ht="42" customHeight="1" x14ac:dyDescent="0.25">
      <c r="A102" s="36">
        <v>1</v>
      </c>
      <c r="B102" s="199" t="s">
        <v>120</v>
      </c>
      <c r="C102" s="114">
        <f>SUM(C103:C106)</f>
        <v>5469</v>
      </c>
      <c r="D102" s="108">
        <f>SUM(D103:D106)</f>
        <v>1823</v>
      </c>
      <c r="E102" s="114">
        <f>SUM(E103:E106)</f>
        <v>1839</v>
      </c>
      <c r="F102" s="114">
        <f t="shared" ref="F102:F110" si="41">E102/D102*100</f>
        <v>100.87767416346682</v>
      </c>
      <c r="G102" s="597">
        <f>SUM(G103:G106)</f>
        <v>7993.9445299999998</v>
      </c>
      <c r="H102" s="597">
        <f>SUM(H103:H106)</f>
        <v>2664.6400000000003</v>
      </c>
      <c r="I102" s="597">
        <f>SUM(I103:I106)</f>
        <v>2849.1526799999997</v>
      </c>
      <c r="J102" s="114">
        <f t="shared" ref="J102:J112" si="42">I102/H102*100</f>
        <v>106.9244881109643</v>
      </c>
      <c r="K102" s="106"/>
    </row>
    <row r="103" spans="1:12" ht="35.25" customHeight="1" x14ac:dyDescent="0.25">
      <c r="A103" s="36">
        <v>1</v>
      </c>
      <c r="B103" s="72" t="s">
        <v>79</v>
      </c>
      <c r="C103" s="114">
        <v>4104</v>
      </c>
      <c r="D103" s="108">
        <f t="shared" ref="D103:D110" si="43">ROUND(C103/12*$B$3,0)</f>
        <v>1368</v>
      </c>
      <c r="E103" s="114">
        <v>1345</v>
      </c>
      <c r="F103" s="114">
        <f t="shared" si="41"/>
        <v>98.318713450292393</v>
      </c>
      <c r="G103" s="597">
        <v>5420.0132000000003</v>
      </c>
      <c r="H103" s="597">
        <f t="shared" ref="H103:H106" si="44">ROUND(G103/12*$B$3,2)</f>
        <v>1806.67</v>
      </c>
      <c r="I103" s="597">
        <v>1683.9605699999997</v>
      </c>
      <c r="J103" s="114">
        <f t="shared" si="42"/>
        <v>93.207977660557802</v>
      </c>
      <c r="K103" s="106"/>
    </row>
    <row r="104" spans="1:12" ht="31.5" customHeight="1" x14ac:dyDescent="0.25">
      <c r="A104" s="36">
        <v>1</v>
      </c>
      <c r="B104" s="72" t="s">
        <v>80</v>
      </c>
      <c r="C104" s="114">
        <v>1231</v>
      </c>
      <c r="D104" s="108">
        <f t="shared" si="43"/>
        <v>410</v>
      </c>
      <c r="E104" s="114">
        <v>387</v>
      </c>
      <c r="F104" s="114">
        <f t="shared" si="41"/>
        <v>94.390243902439025</v>
      </c>
      <c r="G104" s="597">
        <v>1841.1657299999999</v>
      </c>
      <c r="H104" s="597">
        <f t="shared" si="44"/>
        <v>613.72</v>
      </c>
      <c r="I104" s="597">
        <v>580.07331000000011</v>
      </c>
      <c r="J104" s="114">
        <f t="shared" si="42"/>
        <v>94.517582936844178</v>
      </c>
      <c r="K104" s="106"/>
    </row>
    <row r="105" spans="1:12" ht="28.5" customHeight="1" x14ac:dyDescent="0.25">
      <c r="A105" s="36">
        <v>1</v>
      </c>
      <c r="B105" s="72" t="s">
        <v>114</v>
      </c>
      <c r="C105" s="114">
        <v>90</v>
      </c>
      <c r="D105" s="108">
        <f t="shared" si="43"/>
        <v>30</v>
      </c>
      <c r="E105" s="114">
        <v>80</v>
      </c>
      <c r="F105" s="114">
        <f t="shared" si="41"/>
        <v>266.66666666666663</v>
      </c>
      <c r="G105" s="597">
        <v>492.15599999999995</v>
      </c>
      <c r="H105" s="597">
        <f t="shared" si="44"/>
        <v>164.05</v>
      </c>
      <c r="I105" s="597">
        <v>437.47199999999998</v>
      </c>
      <c r="J105" s="114">
        <f t="shared" si="42"/>
        <v>266.66991770801582</v>
      </c>
      <c r="K105" s="106"/>
    </row>
    <row r="106" spans="1:12" ht="27.75" customHeight="1" x14ac:dyDescent="0.25">
      <c r="A106" s="36">
        <v>1</v>
      </c>
      <c r="B106" s="72" t="s">
        <v>115</v>
      </c>
      <c r="C106" s="114">
        <v>44</v>
      </c>
      <c r="D106" s="108">
        <f t="shared" si="43"/>
        <v>15</v>
      </c>
      <c r="E106" s="114">
        <v>27</v>
      </c>
      <c r="F106" s="114">
        <f t="shared" si="41"/>
        <v>180</v>
      </c>
      <c r="G106" s="597">
        <v>240.60959999999997</v>
      </c>
      <c r="H106" s="597">
        <f t="shared" si="44"/>
        <v>80.2</v>
      </c>
      <c r="I106" s="597">
        <v>147.64680000000001</v>
      </c>
      <c r="J106" s="114">
        <f t="shared" si="42"/>
        <v>184.09825436408977</v>
      </c>
      <c r="K106" s="106"/>
    </row>
    <row r="107" spans="1:12" ht="43.5" customHeight="1" x14ac:dyDescent="0.25">
      <c r="A107" s="36">
        <v>1</v>
      </c>
      <c r="B107" s="228" t="s">
        <v>112</v>
      </c>
      <c r="C107" s="114">
        <f>SUM(C108:C110)</f>
        <v>7090</v>
      </c>
      <c r="D107" s="114">
        <f>SUM(D108:D110)</f>
        <v>2363</v>
      </c>
      <c r="E107" s="114">
        <f>SUM(E108:E110)</f>
        <v>2412</v>
      </c>
      <c r="F107" s="114">
        <f t="shared" si="41"/>
        <v>102.07363520947948</v>
      </c>
      <c r="G107" s="597">
        <f>SUM(G108:G110)</f>
        <v>13724.020400000001</v>
      </c>
      <c r="H107" s="597">
        <f>SUM(H108:H110)</f>
        <v>4574.68</v>
      </c>
      <c r="I107" s="597">
        <f>SUM(I108:I110)</f>
        <v>4701.3127699999995</v>
      </c>
      <c r="J107" s="114">
        <f t="shared" si="42"/>
        <v>102.76812301625466</v>
      </c>
      <c r="K107" s="106"/>
    </row>
    <row r="108" spans="1:12" ht="43.5" customHeight="1" x14ac:dyDescent="0.25">
      <c r="A108" s="36">
        <v>1</v>
      </c>
      <c r="B108" s="72" t="s">
        <v>108</v>
      </c>
      <c r="C108" s="114">
        <v>3528</v>
      </c>
      <c r="D108" s="108">
        <f t="shared" si="43"/>
        <v>1176</v>
      </c>
      <c r="E108" s="114">
        <v>1156</v>
      </c>
      <c r="F108" s="114">
        <f t="shared" si="41"/>
        <v>98.299319727891159</v>
      </c>
      <c r="G108" s="597">
        <f>6234328.8/1000</f>
        <v>6234.3288000000002</v>
      </c>
      <c r="H108" s="597">
        <f t="shared" ref="H108:H111" si="45">ROUND(G108/12*$B$3,2)</f>
        <v>2078.11</v>
      </c>
      <c r="I108" s="597">
        <v>2045.2648399999998</v>
      </c>
      <c r="J108" s="114">
        <f t="shared" si="42"/>
        <v>98.419469614216752</v>
      </c>
      <c r="K108" s="106"/>
    </row>
    <row r="109" spans="1:12" ht="59.25" customHeight="1" x14ac:dyDescent="0.25">
      <c r="A109" s="36">
        <v>1</v>
      </c>
      <c r="B109" s="72" t="s">
        <v>118</v>
      </c>
      <c r="C109" s="114">
        <v>3100</v>
      </c>
      <c r="D109" s="108">
        <f t="shared" si="43"/>
        <v>1033</v>
      </c>
      <c r="E109" s="114">
        <v>1016</v>
      </c>
      <c r="F109" s="114">
        <f t="shared" si="41"/>
        <v>98.354307841239105</v>
      </c>
      <c r="G109" s="597">
        <f>7112330/1000</f>
        <v>7112.33</v>
      </c>
      <c r="H109" s="597">
        <f t="shared" si="45"/>
        <v>2370.7800000000002</v>
      </c>
      <c r="I109" s="597">
        <v>2427.0296899999998</v>
      </c>
      <c r="J109" s="114">
        <f t="shared" si="42"/>
        <v>102.37262377782838</v>
      </c>
      <c r="K109" s="106"/>
    </row>
    <row r="110" spans="1:12" ht="45" x14ac:dyDescent="0.25">
      <c r="A110" s="36">
        <v>1</v>
      </c>
      <c r="B110" s="72" t="s">
        <v>109</v>
      </c>
      <c r="C110" s="114">
        <v>462</v>
      </c>
      <c r="D110" s="108">
        <f t="shared" si="43"/>
        <v>154</v>
      </c>
      <c r="E110" s="114">
        <v>240</v>
      </c>
      <c r="F110" s="114">
        <f t="shared" si="41"/>
        <v>155.84415584415586</v>
      </c>
      <c r="G110" s="597">
        <f>377361.6/1000</f>
        <v>377.36159999999995</v>
      </c>
      <c r="H110" s="597">
        <f t="shared" si="45"/>
        <v>125.79</v>
      </c>
      <c r="I110" s="597">
        <v>229.01824000000002</v>
      </c>
      <c r="J110" s="114">
        <f t="shared" si="42"/>
        <v>182.06394784959059</v>
      </c>
      <c r="K110" s="106"/>
    </row>
    <row r="111" spans="1:12" ht="30.75" customHeight="1" thickBot="1" x14ac:dyDescent="0.3">
      <c r="A111" s="36">
        <v>1</v>
      </c>
      <c r="B111" s="117" t="s">
        <v>123</v>
      </c>
      <c r="C111" s="114">
        <v>11976</v>
      </c>
      <c r="D111" s="108">
        <f>ROUND(C111/12*$B$3,0)</f>
        <v>3992</v>
      </c>
      <c r="E111" s="114">
        <v>4053</v>
      </c>
      <c r="F111" s="114">
        <f>E111/D111*100</f>
        <v>101.52805611222445</v>
      </c>
      <c r="G111" s="597">
        <v>9712.7755199999992</v>
      </c>
      <c r="H111" s="597">
        <f t="shared" si="45"/>
        <v>3237.59</v>
      </c>
      <c r="I111" s="597">
        <v>3270.41563</v>
      </c>
      <c r="J111" s="114">
        <f>I111/H111*100</f>
        <v>101.01389088797529</v>
      </c>
      <c r="K111" s="106"/>
    </row>
    <row r="112" spans="1:12" ht="15.75" thickBot="1" x14ac:dyDescent="0.3">
      <c r="A112" s="36">
        <v>1</v>
      </c>
      <c r="B112" s="302" t="s">
        <v>3</v>
      </c>
      <c r="C112" s="610"/>
      <c r="D112" s="610"/>
      <c r="E112" s="610"/>
      <c r="F112" s="611"/>
      <c r="G112" s="628">
        <f>G107+G102+G111</f>
        <v>31430.740450000001</v>
      </c>
      <c r="H112" s="628">
        <f>H107+H102+H111</f>
        <v>10476.91</v>
      </c>
      <c r="I112" s="628">
        <f>I107+I102+I111</f>
        <v>10820.881079999999</v>
      </c>
      <c r="J112" s="427">
        <f t="shared" si="42"/>
        <v>103.28313481742231</v>
      </c>
      <c r="K112" s="106"/>
    </row>
    <row r="113" spans="1:12" x14ac:dyDescent="0.25">
      <c r="A113" s="36">
        <v>1</v>
      </c>
      <c r="B113" s="31"/>
      <c r="C113" s="144"/>
      <c r="D113" s="144"/>
      <c r="E113" s="144"/>
      <c r="F113" s="143"/>
      <c r="G113" s="354"/>
      <c r="H113" s="354"/>
      <c r="I113" s="354"/>
      <c r="J113" s="144"/>
      <c r="K113" s="106"/>
    </row>
    <row r="114" spans="1:12" ht="29.25" x14ac:dyDescent="0.25">
      <c r="A114" s="36">
        <v>1</v>
      </c>
      <c r="B114" s="26" t="s">
        <v>68</v>
      </c>
      <c r="C114" s="122"/>
      <c r="D114" s="122"/>
      <c r="E114" s="122"/>
      <c r="F114" s="119"/>
      <c r="G114" s="355"/>
      <c r="H114" s="355"/>
      <c r="I114" s="355"/>
      <c r="J114" s="122"/>
      <c r="K114" s="106"/>
    </row>
    <row r="115" spans="1:12" ht="30" x14ac:dyDescent="0.25">
      <c r="A115" s="36">
        <v>1</v>
      </c>
      <c r="B115" s="199" t="s">
        <v>120</v>
      </c>
      <c r="C115" s="114">
        <f>SUM(C116:C117)</f>
        <v>27938</v>
      </c>
      <c r="D115" s="114">
        <f>SUM(D116:D117)</f>
        <v>9313</v>
      </c>
      <c r="E115" s="114">
        <f>SUM(E116:E117)</f>
        <v>9345</v>
      </c>
      <c r="F115" s="114">
        <f t="shared" ref="F115:F121" si="46">E115/D115*100</f>
        <v>100.34360571244495</v>
      </c>
      <c r="G115" s="597">
        <f>SUM(G116:G117)</f>
        <v>39132.471449999997</v>
      </c>
      <c r="H115" s="597">
        <f>SUM(H116:H117)</f>
        <v>13044.16</v>
      </c>
      <c r="I115" s="597">
        <f>SUM(I116:I117)</f>
        <v>13039.95235</v>
      </c>
      <c r="J115" s="114">
        <f t="shared" ref="J115:J122" si="47">I115/H115*100</f>
        <v>99.967743035963991</v>
      </c>
      <c r="K115" s="106"/>
    </row>
    <row r="116" spans="1:12" ht="37.5" customHeight="1" x14ac:dyDescent="0.25">
      <c r="A116" s="36">
        <v>1</v>
      </c>
      <c r="B116" s="72" t="s">
        <v>79</v>
      </c>
      <c r="C116" s="114">
        <v>21491</v>
      </c>
      <c r="D116" s="108">
        <f>ROUND(C116/12*$B$3,0)</f>
        <v>7164</v>
      </c>
      <c r="E116" s="114">
        <v>7718</v>
      </c>
      <c r="F116" s="114">
        <f t="shared" si="46"/>
        <v>107.73310999441652</v>
      </c>
      <c r="G116" s="597">
        <v>29651.855799999998</v>
      </c>
      <c r="H116" s="597">
        <f t="shared" ref="H116:H117" si="48">ROUND(G116/12*$B$3,2)</f>
        <v>9883.9500000000007</v>
      </c>
      <c r="I116" s="597">
        <v>10483.58116</v>
      </c>
      <c r="J116" s="114">
        <f t="shared" si="47"/>
        <v>106.06671583729177</v>
      </c>
      <c r="K116" s="106"/>
    </row>
    <row r="117" spans="1:12" ht="27.75" customHeight="1" x14ac:dyDescent="0.25">
      <c r="A117" s="36">
        <v>1</v>
      </c>
      <c r="B117" s="72" t="s">
        <v>80</v>
      </c>
      <c r="C117" s="114">
        <v>6447</v>
      </c>
      <c r="D117" s="108">
        <f>ROUND(C117/12*$B$3,0)</f>
        <v>2149</v>
      </c>
      <c r="E117" s="114">
        <v>1627</v>
      </c>
      <c r="F117" s="114">
        <f t="shared" si="46"/>
        <v>75.709632387156816</v>
      </c>
      <c r="G117" s="597">
        <v>9480.6156499999979</v>
      </c>
      <c r="H117" s="597">
        <f t="shared" si="48"/>
        <v>3160.21</v>
      </c>
      <c r="I117" s="597">
        <v>2556.3711899999998</v>
      </c>
      <c r="J117" s="114">
        <f t="shared" si="47"/>
        <v>80.892446704491149</v>
      </c>
      <c r="K117" s="106"/>
    </row>
    <row r="118" spans="1:12" ht="27.75" customHeight="1" x14ac:dyDescent="0.25">
      <c r="A118" s="36">
        <v>1</v>
      </c>
      <c r="B118" s="199" t="s">
        <v>112</v>
      </c>
      <c r="C118" s="114">
        <f>SUM(C119)</f>
        <v>6000</v>
      </c>
      <c r="D118" s="114">
        <f t="shared" ref="D118:I118" si="49">SUM(D119)</f>
        <v>2000</v>
      </c>
      <c r="E118" s="114">
        <f t="shared" si="49"/>
        <v>2279</v>
      </c>
      <c r="F118" s="114">
        <f t="shared" si="46"/>
        <v>113.94999999999999</v>
      </c>
      <c r="G118" s="597">
        <f t="shared" si="49"/>
        <v>10602.6</v>
      </c>
      <c r="H118" s="597">
        <f t="shared" si="49"/>
        <v>3534.2</v>
      </c>
      <c r="I118" s="597">
        <f t="shared" si="49"/>
        <v>4030.5454100000002</v>
      </c>
      <c r="J118" s="114">
        <f t="shared" si="47"/>
        <v>114.0440668326637</v>
      </c>
      <c r="K118" s="106"/>
    </row>
    <row r="119" spans="1:12" ht="27.75" customHeight="1" x14ac:dyDescent="0.25">
      <c r="A119" s="36">
        <v>1</v>
      </c>
      <c r="B119" s="287" t="s">
        <v>108</v>
      </c>
      <c r="C119" s="175">
        <v>6000</v>
      </c>
      <c r="D119" s="301">
        <f>ROUND(C119/12*$B$3,0)</f>
        <v>2000</v>
      </c>
      <c r="E119" s="321">
        <v>2279</v>
      </c>
      <c r="F119" s="175">
        <f t="shared" si="46"/>
        <v>113.94999999999999</v>
      </c>
      <c r="G119" s="597">
        <f>10602600/1000</f>
        <v>10602.6</v>
      </c>
      <c r="H119" s="597">
        <f t="shared" ref="H119:H121" si="50">ROUND(G119/12*$B$3,2)</f>
        <v>3534.2</v>
      </c>
      <c r="I119" s="597">
        <v>4030.5454100000002</v>
      </c>
      <c r="J119" s="175">
        <f t="shared" si="47"/>
        <v>114.0440668326637</v>
      </c>
      <c r="K119" s="106"/>
    </row>
    <row r="120" spans="1:12" s="107" customFormat="1" ht="27.75" customHeight="1" x14ac:dyDescent="0.25">
      <c r="A120" s="36">
        <v>1</v>
      </c>
      <c r="B120" s="286" t="s">
        <v>123</v>
      </c>
      <c r="C120" s="175">
        <v>55185</v>
      </c>
      <c r="D120" s="301">
        <f>ROUND(C120/12*$B$3,0)</f>
        <v>18395</v>
      </c>
      <c r="E120" s="321">
        <v>20438</v>
      </c>
      <c r="F120" s="175">
        <f t="shared" si="46"/>
        <v>111.10627888013047</v>
      </c>
      <c r="G120" s="597">
        <v>44756.138699999996</v>
      </c>
      <c r="H120" s="597">
        <f t="shared" si="50"/>
        <v>14918.71</v>
      </c>
      <c r="I120" s="597">
        <v>16488.176230000001</v>
      </c>
      <c r="J120" s="175">
        <f t="shared" si="47"/>
        <v>110.520120238278</v>
      </c>
      <c r="K120" s="106"/>
      <c r="L120" s="725"/>
    </row>
    <row r="121" spans="1:12" s="107" customFormat="1" ht="27.75" customHeight="1" thickBot="1" x14ac:dyDescent="0.3">
      <c r="A121" s="36">
        <v>1</v>
      </c>
      <c r="B121" s="117" t="s">
        <v>124</v>
      </c>
      <c r="C121" s="114">
        <v>13500</v>
      </c>
      <c r="D121" s="108">
        <f>ROUND(C121/12*$B$3,0)</f>
        <v>4500</v>
      </c>
      <c r="E121" s="114">
        <v>4622</v>
      </c>
      <c r="F121" s="114">
        <f t="shared" si="46"/>
        <v>102.71111111111111</v>
      </c>
      <c r="G121" s="597">
        <v>10948.769999999999</v>
      </c>
      <c r="H121" s="597">
        <f t="shared" si="50"/>
        <v>3649.59</v>
      </c>
      <c r="I121" s="597">
        <v>3731.3440999999998</v>
      </c>
      <c r="J121" s="114"/>
      <c r="K121" s="106"/>
      <c r="L121" s="725"/>
    </row>
    <row r="122" spans="1:12" ht="15.75" thickBot="1" x14ac:dyDescent="0.3">
      <c r="A122" s="36">
        <v>1</v>
      </c>
      <c r="B122" s="120" t="s">
        <v>3</v>
      </c>
      <c r="C122" s="427"/>
      <c r="D122" s="427"/>
      <c r="E122" s="427"/>
      <c r="F122" s="611"/>
      <c r="G122" s="624">
        <f>G115+G118+G120</f>
        <v>94491.210149999999</v>
      </c>
      <c r="H122" s="624">
        <f>H115+H118+H120</f>
        <v>31497.07</v>
      </c>
      <c r="I122" s="624">
        <f>I115+I118+I120</f>
        <v>33558.673989999996</v>
      </c>
      <c r="J122" s="427">
        <f t="shared" si="47"/>
        <v>106.54538339597937</v>
      </c>
      <c r="K122" s="106"/>
    </row>
    <row r="123" spans="1:12" ht="15" customHeight="1" x14ac:dyDescent="0.25">
      <c r="A123" s="36">
        <v>1</v>
      </c>
      <c r="B123" s="31"/>
      <c r="C123" s="144"/>
      <c r="D123" s="144"/>
      <c r="E123" s="144"/>
      <c r="F123" s="143"/>
      <c r="G123" s="354"/>
      <c r="H123" s="354"/>
      <c r="I123" s="354"/>
      <c r="J123" s="144"/>
      <c r="K123" s="106"/>
    </row>
    <row r="124" spans="1:12" ht="29.25" x14ac:dyDescent="0.25">
      <c r="A124" s="36">
        <v>1</v>
      </c>
      <c r="B124" s="26" t="s">
        <v>69</v>
      </c>
      <c r="C124" s="122"/>
      <c r="D124" s="122"/>
      <c r="E124" s="122"/>
      <c r="F124" s="119"/>
      <c r="G124" s="355"/>
      <c r="H124" s="355"/>
      <c r="I124" s="355"/>
      <c r="J124" s="122"/>
      <c r="K124" s="106"/>
    </row>
    <row r="125" spans="1:12" ht="36" customHeight="1" x14ac:dyDescent="0.25">
      <c r="A125" s="36">
        <v>1</v>
      </c>
      <c r="B125" s="199" t="s">
        <v>120</v>
      </c>
      <c r="C125" s="114">
        <f>SUM(C126:C129)</f>
        <v>6342</v>
      </c>
      <c r="D125" s="108">
        <f>SUM(D126:D129)</f>
        <v>2114</v>
      </c>
      <c r="E125" s="114">
        <f>SUM(E126:E129)</f>
        <v>2138</v>
      </c>
      <c r="F125" s="114">
        <f>E125/D125*100</f>
        <v>101.13528855250709</v>
      </c>
      <c r="G125" s="597">
        <f>SUM(G126:G129)</f>
        <v>8530.2624799999994</v>
      </c>
      <c r="H125" s="597">
        <f>SUM(H126:H129)</f>
        <v>2843.42</v>
      </c>
      <c r="I125" s="597">
        <f>SUM(I126:I129)</f>
        <v>3174.6491699999997</v>
      </c>
      <c r="J125" s="114">
        <f t="shared" ref="J125:J144" si="51">I125/H125*100</f>
        <v>111.64897095750889</v>
      </c>
      <c r="K125" s="106"/>
    </row>
    <row r="126" spans="1:12" ht="26.25" customHeight="1" x14ac:dyDescent="0.25">
      <c r="A126" s="36">
        <v>1</v>
      </c>
      <c r="B126" s="72" t="s">
        <v>79</v>
      </c>
      <c r="C126" s="114">
        <v>4846</v>
      </c>
      <c r="D126" s="108">
        <f t="shared" ref="D126:D133" si="52">ROUND(C126/12*$B$3,0)</f>
        <v>1615</v>
      </c>
      <c r="E126" s="114">
        <v>1585</v>
      </c>
      <c r="F126" s="114">
        <f>E126/D126*100</f>
        <v>98.142414860681114</v>
      </c>
      <c r="G126" s="597">
        <v>6118.4129999999996</v>
      </c>
      <c r="H126" s="597">
        <f t="shared" ref="H126:H129" si="53">ROUND(G126/12*$B$3,2)</f>
        <v>2039.47</v>
      </c>
      <c r="I126" s="597">
        <v>2144.5261199999995</v>
      </c>
      <c r="J126" s="114">
        <f t="shared" si="51"/>
        <v>105.15114809239654</v>
      </c>
      <c r="K126" s="106"/>
    </row>
    <row r="127" spans="1:12" ht="27" customHeight="1" x14ac:dyDescent="0.25">
      <c r="A127" s="36">
        <v>1</v>
      </c>
      <c r="B127" s="72" t="s">
        <v>80</v>
      </c>
      <c r="C127" s="114">
        <v>1454</v>
      </c>
      <c r="D127" s="108">
        <f t="shared" si="52"/>
        <v>485</v>
      </c>
      <c r="E127" s="114">
        <v>505</v>
      </c>
      <c r="F127" s="114">
        <f>E127/D127*100</f>
        <v>104.1237113402062</v>
      </c>
      <c r="G127" s="597">
        <v>2182.1766799999996</v>
      </c>
      <c r="H127" s="597">
        <f t="shared" si="53"/>
        <v>727.39</v>
      </c>
      <c r="I127" s="597">
        <v>767.63985000000014</v>
      </c>
      <c r="J127" s="114">
        <f t="shared" si="51"/>
        <v>105.53346210423571</v>
      </c>
      <c r="K127" s="106"/>
    </row>
    <row r="128" spans="1:12" ht="30" x14ac:dyDescent="0.25">
      <c r="A128" s="36">
        <v>1</v>
      </c>
      <c r="B128" s="72" t="s">
        <v>114</v>
      </c>
      <c r="C128" s="114"/>
      <c r="D128" s="108">
        <f t="shared" si="52"/>
        <v>0</v>
      </c>
      <c r="E128" s="114"/>
      <c r="F128" s="114"/>
      <c r="G128" s="597"/>
      <c r="H128" s="597">
        <f t="shared" si="53"/>
        <v>0</v>
      </c>
      <c r="I128" s="597"/>
      <c r="J128" s="114"/>
      <c r="K128" s="106"/>
    </row>
    <row r="129" spans="1:12" ht="30" x14ac:dyDescent="0.25">
      <c r="A129" s="36">
        <v>1</v>
      </c>
      <c r="B129" s="72" t="s">
        <v>115</v>
      </c>
      <c r="C129" s="114">
        <v>42</v>
      </c>
      <c r="D129" s="108">
        <f t="shared" si="52"/>
        <v>14</v>
      </c>
      <c r="E129" s="114">
        <v>48</v>
      </c>
      <c r="F129" s="114">
        <f t="shared" ref="F129:F134" si="54">E129/D129*100</f>
        <v>342.85714285714283</v>
      </c>
      <c r="G129" s="597">
        <v>229.6728</v>
      </c>
      <c r="H129" s="597">
        <f t="shared" si="53"/>
        <v>76.56</v>
      </c>
      <c r="I129" s="597">
        <v>262.48320000000001</v>
      </c>
      <c r="J129" s="114">
        <f t="shared" si="51"/>
        <v>342.84639498432603</v>
      </c>
      <c r="K129" s="106"/>
    </row>
    <row r="130" spans="1:12" ht="30" x14ac:dyDescent="0.25">
      <c r="A130" s="36">
        <v>1</v>
      </c>
      <c r="B130" s="228" t="s">
        <v>112</v>
      </c>
      <c r="C130" s="114">
        <f>SUM(C131:C133)</f>
        <v>7520</v>
      </c>
      <c r="D130" s="114">
        <f>SUM(D131:D133)</f>
        <v>2507</v>
      </c>
      <c r="E130" s="114">
        <f>SUM(E131:E133)</f>
        <v>2504</v>
      </c>
      <c r="F130" s="114">
        <f t="shared" si="54"/>
        <v>99.880335061826884</v>
      </c>
      <c r="G130" s="597">
        <f>SUM(G131:G133)</f>
        <v>13390.177</v>
      </c>
      <c r="H130" s="597">
        <f>SUM(H131:H133)</f>
        <v>4463.3999999999996</v>
      </c>
      <c r="I130" s="597">
        <f>SUM(I131:I133)</f>
        <v>4481.8227499999994</v>
      </c>
      <c r="J130" s="114">
        <f t="shared" si="51"/>
        <v>100.41275148989558</v>
      </c>
      <c r="K130" s="106"/>
    </row>
    <row r="131" spans="1:12" ht="30" x14ac:dyDescent="0.25">
      <c r="A131" s="36">
        <v>1</v>
      </c>
      <c r="B131" s="72" t="s">
        <v>108</v>
      </c>
      <c r="C131" s="114">
        <v>1470</v>
      </c>
      <c r="D131" s="108">
        <f t="shared" si="52"/>
        <v>490</v>
      </c>
      <c r="E131" s="114">
        <v>528</v>
      </c>
      <c r="F131" s="114">
        <f t="shared" si="54"/>
        <v>107.75510204081633</v>
      </c>
      <c r="G131" s="597">
        <f>2597637/1000</f>
        <v>2597.6370000000002</v>
      </c>
      <c r="H131" s="597">
        <f t="shared" ref="H131:H134" si="55">ROUND(G131/12*$B$3,2)</f>
        <v>865.88</v>
      </c>
      <c r="I131" s="597">
        <v>921.94618000000003</v>
      </c>
      <c r="J131" s="114">
        <f t="shared" si="51"/>
        <v>106.47505197024991</v>
      </c>
      <c r="K131" s="106"/>
    </row>
    <row r="132" spans="1:12" ht="45" customHeight="1" x14ac:dyDescent="0.25">
      <c r="A132" s="36">
        <v>1</v>
      </c>
      <c r="B132" s="72" t="s">
        <v>118</v>
      </c>
      <c r="C132" s="114">
        <v>3960</v>
      </c>
      <c r="D132" s="108">
        <f t="shared" si="52"/>
        <v>1320</v>
      </c>
      <c r="E132" s="114">
        <v>1318</v>
      </c>
      <c r="F132" s="114">
        <f t="shared" si="54"/>
        <v>99.848484848484858</v>
      </c>
      <c r="G132" s="597">
        <f>9085428/1000</f>
        <v>9085.4279999999999</v>
      </c>
      <c r="H132" s="597">
        <f t="shared" si="55"/>
        <v>3028.48</v>
      </c>
      <c r="I132" s="597">
        <v>3013.8402299999998</v>
      </c>
      <c r="J132" s="114">
        <f t="shared" si="51"/>
        <v>99.5165967746196</v>
      </c>
      <c r="K132" s="106"/>
    </row>
    <row r="133" spans="1:12" ht="45" customHeight="1" x14ac:dyDescent="0.25">
      <c r="A133" s="36">
        <v>1</v>
      </c>
      <c r="B133" s="72" t="s">
        <v>109</v>
      </c>
      <c r="C133" s="114">
        <v>2090</v>
      </c>
      <c r="D133" s="108">
        <f t="shared" si="52"/>
        <v>697</v>
      </c>
      <c r="E133" s="114">
        <v>658</v>
      </c>
      <c r="F133" s="114">
        <f t="shared" si="54"/>
        <v>94.404591104734578</v>
      </c>
      <c r="G133" s="597">
        <f>1707112/1000</f>
        <v>1707.1120000000001</v>
      </c>
      <c r="H133" s="597">
        <f t="shared" si="55"/>
        <v>569.04</v>
      </c>
      <c r="I133" s="597">
        <v>546.03634000000011</v>
      </c>
      <c r="J133" s="114">
        <f t="shared" si="51"/>
        <v>95.957461689863649</v>
      </c>
      <c r="K133" s="106"/>
    </row>
    <row r="134" spans="1:12" ht="32.25" customHeight="1" thickBot="1" x14ac:dyDescent="0.3">
      <c r="A134" s="36">
        <v>1</v>
      </c>
      <c r="B134" s="117" t="s">
        <v>123</v>
      </c>
      <c r="C134" s="114">
        <v>12195</v>
      </c>
      <c r="D134" s="108">
        <f>ROUND(C134/12*$B$3,0)</f>
        <v>4065</v>
      </c>
      <c r="E134" s="114">
        <v>4216</v>
      </c>
      <c r="F134" s="114">
        <f t="shared" si="54"/>
        <v>103.71463714637146</v>
      </c>
      <c r="G134" s="597">
        <v>9890.3888999999999</v>
      </c>
      <c r="H134" s="597">
        <f t="shared" si="55"/>
        <v>3296.8</v>
      </c>
      <c r="I134" s="597">
        <v>3415.03944</v>
      </c>
      <c r="J134" s="114">
        <f>I134/H134*100</f>
        <v>103.58649114292646</v>
      </c>
      <c r="K134" s="106"/>
    </row>
    <row r="135" spans="1:12" ht="15.75" thickBot="1" x14ac:dyDescent="0.3">
      <c r="A135" s="36">
        <v>1</v>
      </c>
      <c r="B135" s="213" t="s">
        <v>3</v>
      </c>
      <c r="C135" s="610"/>
      <c r="D135" s="610"/>
      <c r="E135" s="610"/>
      <c r="F135" s="611"/>
      <c r="G135" s="628">
        <f>G130+G125+G134</f>
        <v>31810.828379999999</v>
      </c>
      <c r="H135" s="628">
        <f>H130+H125+H134</f>
        <v>10603.619999999999</v>
      </c>
      <c r="I135" s="628">
        <f>I130+I125+I134</f>
        <v>11071.511359999999</v>
      </c>
      <c r="J135" s="427">
        <f t="shared" si="51"/>
        <v>104.41256250223981</v>
      </c>
      <c r="K135" s="106"/>
    </row>
    <row r="136" spans="1:12" x14ac:dyDescent="0.25">
      <c r="A136" s="36">
        <v>1</v>
      </c>
      <c r="B136" s="31"/>
      <c r="C136" s="143"/>
      <c r="D136" s="143"/>
      <c r="E136" s="143"/>
      <c r="F136" s="143"/>
      <c r="G136" s="354"/>
      <c r="H136" s="354"/>
      <c r="I136" s="354"/>
      <c r="J136" s="144"/>
      <c r="K136" s="106"/>
    </row>
    <row r="137" spans="1:12" ht="29.25" x14ac:dyDescent="0.25">
      <c r="A137" s="36">
        <v>1</v>
      </c>
      <c r="B137" s="74" t="s">
        <v>70</v>
      </c>
      <c r="C137" s="119"/>
      <c r="D137" s="119"/>
      <c r="E137" s="119"/>
      <c r="F137" s="119"/>
      <c r="G137" s="355"/>
      <c r="H137" s="355"/>
      <c r="I137" s="355"/>
      <c r="J137" s="114"/>
      <c r="K137" s="106"/>
    </row>
    <row r="138" spans="1:12" ht="30" x14ac:dyDescent="0.25">
      <c r="A138" s="36">
        <v>1</v>
      </c>
      <c r="B138" s="228" t="s">
        <v>120</v>
      </c>
      <c r="C138" s="114">
        <f>SUM(C139:C140)</f>
        <v>13530</v>
      </c>
      <c r="D138" s="114">
        <f>SUM(D139:D140)</f>
        <v>4510</v>
      </c>
      <c r="E138" s="114">
        <f>SUM(E139:E140)</f>
        <v>4514</v>
      </c>
      <c r="F138" s="114">
        <f t="shared" ref="F138:F143" si="56">E138/D138*100</f>
        <v>100.08869179600887</v>
      </c>
      <c r="G138" s="352">
        <f>SUM(G139:G140)</f>
        <v>19034.915760000004</v>
      </c>
      <c r="H138" s="352">
        <f>SUM(H139:H140)</f>
        <v>6344.97</v>
      </c>
      <c r="I138" s="352">
        <f>SUM(I139:I140)</f>
        <v>6101.5752400000001</v>
      </c>
      <c r="J138" s="114">
        <f t="shared" si="51"/>
        <v>96.163973036909539</v>
      </c>
      <c r="K138" s="106"/>
    </row>
    <row r="139" spans="1:12" ht="30" x14ac:dyDescent="0.25">
      <c r="A139" s="36">
        <v>1</v>
      </c>
      <c r="B139" s="72" t="s">
        <v>79</v>
      </c>
      <c r="C139" s="114">
        <v>10408</v>
      </c>
      <c r="D139" s="108">
        <f>ROUND(C139/12*$B$3,0)</f>
        <v>3469</v>
      </c>
      <c r="E139" s="114">
        <v>3459</v>
      </c>
      <c r="F139" s="114">
        <f t="shared" si="56"/>
        <v>99.711732487748634</v>
      </c>
      <c r="G139" s="352">
        <v>14164.273200000003</v>
      </c>
      <c r="H139" s="629">
        <f t="shared" ref="H139:H140" si="57">ROUND(G139/12*$B$3,2)</f>
        <v>4721.42</v>
      </c>
      <c r="I139" s="352">
        <v>4520.6376600000003</v>
      </c>
      <c r="J139" s="114">
        <f t="shared" si="51"/>
        <v>95.7474162434183</v>
      </c>
      <c r="K139" s="106"/>
    </row>
    <row r="140" spans="1:12" ht="30" x14ac:dyDescent="0.25">
      <c r="A140" s="36">
        <v>1</v>
      </c>
      <c r="B140" s="287" t="s">
        <v>80</v>
      </c>
      <c r="C140" s="175">
        <v>3122</v>
      </c>
      <c r="D140" s="301">
        <f>ROUND(C140/12*$B$3,0)</f>
        <v>1041</v>
      </c>
      <c r="E140" s="175">
        <v>1055</v>
      </c>
      <c r="F140" s="175">
        <f t="shared" si="56"/>
        <v>101.34486071085496</v>
      </c>
      <c r="G140" s="375">
        <v>4870.6425600000002</v>
      </c>
      <c r="H140" s="629">
        <f t="shared" si="57"/>
        <v>1623.55</v>
      </c>
      <c r="I140" s="375">
        <v>1580.93758</v>
      </c>
      <c r="J140" s="114">
        <f t="shared" si="51"/>
        <v>97.375355240060372</v>
      </c>
      <c r="K140" s="106"/>
    </row>
    <row r="141" spans="1:12" ht="30" x14ac:dyDescent="0.25">
      <c r="A141" s="36">
        <v>1</v>
      </c>
      <c r="B141" s="228" t="s">
        <v>112</v>
      </c>
      <c r="C141" s="114">
        <f>SUM(C142)</f>
        <v>480</v>
      </c>
      <c r="D141" s="114">
        <f t="shared" ref="D141:H141" si="58">SUM(D142)</f>
        <v>160</v>
      </c>
      <c r="E141" s="114">
        <f t="shared" si="58"/>
        <v>135</v>
      </c>
      <c r="F141" s="114">
        <f t="shared" si="56"/>
        <v>84.375</v>
      </c>
      <c r="G141" s="348">
        <f t="shared" si="58"/>
        <v>848.20799999999997</v>
      </c>
      <c r="H141" s="348">
        <f t="shared" si="58"/>
        <v>282.74</v>
      </c>
      <c r="I141" s="348">
        <f>I142</f>
        <v>236.26002</v>
      </c>
      <c r="J141" s="114">
        <f t="shared" si="51"/>
        <v>83.5608757162057</v>
      </c>
      <c r="K141" s="106"/>
    </row>
    <row r="142" spans="1:12" ht="30" x14ac:dyDescent="0.25">
      <c r="A142" s="36">
        <v>1</v>
      </c>
      <c r="B142" s="287" t="s">
        <v>108</v>
      </c>
      <c r="C142" s="319">
        <v>480</v>
      </c>
      <c r="D142" s="301">
        <f>ROUND(C142/12*$B$3,0)</f>
        <v>160</v>
      </c>
      <c r="E142" s="319">
        <v>135</v>
      </c>
      <c r="F142" s="175">
        <f t="shared" si="56"/>
        <v>84.375</v>
      </c>
      <c r="G142" s="583">
        <f>848208/1000</f>
        <v>848.20799999999997</v>
      </c>
      <c r="H142" s="629">
        <f t="shared" ref="H142:H143" si="59">ROUND(G142/12*$B$3,2)</f>
        <v>282.74</v>
      </c>
      <c r="I142" s="583">
        <v>236.26002</v>
      </c>
      <c r="J142" s="175">
        <f t="shared" si="51"/>
        <v>83.5608757162057</v>
      </c>
      <c r="K142" s="106"/>
    </row>
    <row r="143" spans="1:12" s="107" customFormat="1" ht="30.75" thickBot="1" x14ac:dyDescent="0.3">
      <c r="A143" s="36">
        <v>1</v>
      </c>
      <c r="B143" s="286" t="s">
        <v>123</v>
      </c>
      <c r="C143" s="175">
        <v>13300</v>
      </c>
      <c r="D143" s="301">
        <f>ROUND(C143/12*$B$3,0)</f>
        <v>4433</v>
      </c>
      <c r="E143" s="175">
        <v>4486</v>
      </c>
      <c r="F143" s="175">
        <f t="shared" si="56"/>
        <v>101.19557861493345</v>
      </c>
      <c r="G143" s="375">
        <v>10786.566000000001</v>
      </c>
      <c r="H143" s="629">
        <f t="shared" si="59"/>
        <v>3595.52</v>
      </c>
      <c r="I143" s="375">
        <v>3605.0965200000001</v>
      </c>
      <c r="J143" s="114">
        <f>I143/H143*100</f>
        <v>100.26634589711641</v>
      </c>
      <c r="K143" s="106"/>
      <c r="L143" s="725"/>
    </row>
    <row r="144" spans="1:12" ht="15.75" thickBot="1" x14ac:dyDescent="0.3">
      <c r="A144" s="36">
        <v>1</v>
      </c>
      <c r="B144" s="379" t="s">
        <v>3</v>
      </c>
      <c r="C144" s="610"/>
      <c r="D144" s="610"/>
      <c r="E144" s="610"/>
      <c r="F144" s="611"/>
      <c r="G144" s="612">
        <f>G138+G141+G143</f>
        <v>30669.689760000001</v>
      </c>
      <c r="H144" s="612">
        <f>H138+H141+H143</f>
        <v>10223.23</v>
      </c>
      <c r="I144" s="612">
        <f>I138+I141+I143</f>
        <v>9942.931779999999</v>
      </c>
      <c r="J144" s="427">
        <f t="shared" si="51"/>
        <v>97.258222499151429</v>
      </c>
      <c r="K144" s="106"/>
    </row>
    <row r="145" spans="1:12" ht="15" customHeight="1" x14ac:dyDescent="0.25">
      <c r="A145" s="36">
        <v>1</v>
      </c>
      <c r="B145" s="83"/>
      <c r="C145" s="144"/>
      <c r="D145" s="144"/>
      <c r="E145" s="144"/>
      <c r="F145" s="143"/>
      <c r="G145" s="354"/>
      <c r="H145" s="354"/>
      <c r="I145" s="354"/>
      <c r="J145" s="144"/>
      <c r="K145" s="106"/>
    </row>
    <row r="146" spans="1:12" ht="33" customHeight="1" x14ac:dyDescent="0.25">
      <c r="A146" s="36">
        <v>1</v>
      </c>
      <c r="B146" s="74" t="s">
        <v>82</v>
      </c>
      <c r="C146" s="119"/>
      <c r="D146" s="119"/>
      <c r="E146" s="119"/>
      <c r="F146" s="119"/>
      <c r="G146" s="348"/>
      <c r="H146" s="348"/>
      <c r="I146" s="348"/>
      <c r="J146" s="114"/>
      <c r="K146" s="106"/>
    </row>
    <row r="147" spans="1:12" ht="30" x14ac:dyDescent="0.25">
      <c r="A147" s="36">
        <v>1</v>
      </c>
      <c r="B147" s="199" t="s">
        <v>120</v>
      </c>
      <c r="C147" s="114">
        <f>SUM(C148:C149)</f>
        <v>178</v>
      </c>
      <c r="D147" s="114">
        <f>SUM(D148:D149)</f>
        <v>60</v>
      </c>
      <c r="E147" s="114">
        <f>SUM(E148:E149)</f>
        <v>197</v>
      </c>
      <c r="F147" s="114">
        <f t="shared" ref="F147:F152" si="60">E147/D147*100</f>
        <v>328.33333333333331</v>
      </c>
      <c r="G147" s="597">
        <f>SUM(G148:G149)</f>
        <v>973.37519999999995</v>
      </c>
      <c r="H147" s="597">
        <f>SUM(H148:H149)</f>
        <v>324.45999999999998</v>
      </c>
      <c r="I147" s="597">
        <f>SUM(I148:I149)</f>
        <v>1049.9321000000002</v>
      </c>
      <c r="J147" s="114">
        <f t="shared" ref="J147:J154" si="61">I147/H147*100</f>
        <v>323.59369413795235</v>
      </c>
      <c r="K147" s="106"/>
    </row>
    <row r="148" spans="1:12" ht="30" x14ac:dyDescent="0.25">
      <c r="A148" s="36">
        <v>1</v>
      </c>
      <c r="B148" s="72" t="s">
        <v>114</v>
      </c>
      <c r="C148" s="114">
        <v>89</v>
      </c>
      <c r="D148" s="108">
        <f>ROUND(C148/12*$B$3,0)</f>
        <v>30</v>
      </c>
      <c r="E148" s="114">
        <v>197</v>
      </c>
      <c r="F148" s="114">
        <f t="shared" si="60"/>
        <v>656.66666666666663</v>
      </c>
      <c r="G148" s="597">
        <v>486.68759999999997</v>
      </c>
      <c r="H148" s="597">
        <f t="shared" ref="H148:H149" si="62">ROUND(G148/12*$B$3,2)</f>
        <v>162.22999999999999</v>
      </c>
      <c r="I148" s="597">
        <v>1077.2748000000001</v>
      </c>
      <c r="J148" s="114">
        <f t="shared" si="61"/>
        <v>664.04166923503681</v>
      </c>
      <c r="K148" s="106"/>
    </row>
    <row r="149" spans="1:12" ht="30" x14ac:dyDescent="0.25">
      <c r="A149" s="36">
        <v>1</v>
      </c>
      <c r="B149" s="72" t="s">
        <v>115</v>
      </c>
      <c r="C149" s="114">
        <v>89</v>
      </c>
      <c r="D149" s="108">
        <f>ROUND(C149/12*$B$3,0)</f>
        <v>30</v>
      </c>
      <c r="E149" s="114">
        <v>0</v>
      </c>
      <c r="F149" s="114">
        <f t="shared" si="60"/>
        <v>0</v>
      </c>
      <c r="G149" s="597">
        <v>486.68759999999997</v>
      </c>
      <c r="H149" s="597">
        <f t="shared" si="62"/>
        <v>162.22999999999999</v>
      </c>
      <c r="I149" s="597">
        <v>-27.342700000000001</v>
      </c>
      <c r="J149" s="114">
        <f t="shared" si="61"/>
        <v>-16.854280959132097</v>
      </c>
      <c r="K149" s="106"/>
    </row>
    <row r="150" spans="1:12" ht="30" customHeight="1" x14ac:dyDescent="0.25">
      <c r="A150" s="36">
        <v>1</v>
      </c>
      <c r="B150" s="199" t="s">
        <v>112</v>
      </c>
      <c r="C150" s="114">
        <f>SUM(C151:C152)</f>
        <v>17815</v>
      </c>
      <c r="D150" s="114">
        <f t="shared" ref="D150:I150" si="63">SUM(D151:D152)</f>
        <v>5939</v>
      </c>
      <c r="E150" s="114">
        <f t="shared" si="63"/>
        <v>9145</v>
      </c>
      <c r="F150" s="114">
        <f t="shared" si="60"/>
        <v>153.98215187742045</v>
      </c>
      <c r="G150" s="597">
        <f>SUM(G151:G152)</f>
        <v>38983.728000000003</v>
      </c>
      <c r="H150" s="597">
        <f t="shared" si="63"/>
        <v>12994.58</v>
      </c>
      <c r="I150" s="597">
        <f t="shared" si="63"/>
        <v>12050.986430000001</v>
      </c>
      <c r="J150" s="114">
        <f t="shared" si="61"/>
        <v>92.738560461361587</v>
      </c>
      <c r="K150" s="106"/>
    </row>
    <row r="151" spans="1:12" ht="60" x14ac:dyDescent="0.25">
      <c r="A151" s="36">
        <v>1</v>
      </c>
      <c r="B151" s="72" t="s">
        <v>118</v>
      </c>
      <c r="C151" s="114">
        <v>15164</v>
      </c>
      <c r="D151" s="108">
        <f>ROUND(C151/12*$B$3,0)</f>
        <v>5055</v>
      </c>
      <c r="E151" s="108">
        <v>7159</v>
      </c>
      <c r="F151" s="114">
        <f t="shared" si="60"/>
        <v>141.62215628090999</v>
      </c>
      <c r="G151" s="597">
        <f>36318391.2/1000</f>
        <v>36318.391200000005</v>
      </c>
      <c r="H151" s="597">
        <f t="shared" ref="H151:H153" si="64">ROUND(G151/12*$B$3,2)</f>
        <v>12106.13</v>
      </c>
      <c r="I151" s="597">
        <v>10141.77439</v>
      </c>
      <c r="J151" s="114">
        <f t="shared" si="61"/>
        <v>83.773876457629328</v>
      </c>
      <c r="K151" s="106"/>
    </row>
    <row r="152" spans="1:12" ht="45" x14ac:dyDescent="0.25">
      <c r="A152" s="36">
        <v>1</v>
      </c>
      <c r="B152" s="287" t="s">
        <v>109</v>
      </c>
      <c r="C152" s="175">
        <v>2651</v>
      </c>
      <c r="D152" s="301">
        <f>ROUND(C152/12*$B$3,0)</f>
        <v>884</v>
      </c>
      <c r="E152" s="650">
        <v>1986</v>
      </c>
      <c r="F152" s="175">
        <f t="shared" si="60"/>
        <v>224.6606334841629</v>
      </c>
      <c r="G152" s="597">
        <f>2665336.8/1000</f>
        <v>2665.3368</v>
      </c>
      <c r="H152" s="597">
        <f t="shared" si="64"/>
        <v>888.45</v>
      </c>
      <c r="I152" s="597">
        <v>1909.2120399999999</v>
      </c>
      <c r="J152" s="175">
        <f t="shared" si="61"/>
        <v>214.89245765096513</v>
      </c>
      <c r="K152" s="106"/>
    </row>
    <row r="153" spans="1:12" s="107" customFormat="1" ht="30.75" thickBot="1" x14ac:dyDescent="0.3">
      <c r="A153" s="36">
        <v>1</v>
      </c>
      <c r="B153" s="117" t="s">
        <v>123</v>
      </c>
      <c r="C153" s="114">
        <v>13860</v>
      </c>
      <c r="D153" s="108">
        <f>ROUND(C153/12*$B$3,0)</f>
        <v>4620</v>
      </c>
      <c r="E153" s="114">
        <v>4640</v>
      </c>
      <c r="F153" s="114">
        <f>E153/D153*100</f>
        <v>100.43290043290042</v>
      </c>
      <c r="G153" s="597">
        <v>11240.7372</v>
      </c>
      <c r="H153" s="597">
        <f t="shared" si="64"/>
        <v>3746.91</v>
      </c>
      <c r="I153" s="597">
        <v>3745.0269899999998</v>
      </c>
      <c r="J153" s="114">
        <f>I153/H153*100</f>
        <v>99.949744989871661</v>
      </c>
      <c r="K153" s="106"/>
      <c r="L153" s="725"/>
    </row>
    <row r="154" spans="1:12" ht="15" customHeight="1" thickBot="1" x14ac:dyDescent="0.3">
      <c r="A154" s="36">
        <v>1</v>
      </c>
      <c r="B154" s="120" t="s">
        <v>3</v>
      </c>
      <c r="C154" s="427"/>
      <c r="D154" s="427"/>
      <c r="E154" s="630"/>
      <c r="F154" s="631"/>
      <c r="G154" s="628">
        <f>G150+G147+G153</f>
        <v>51197.840400000001</v>
      </c>
      <c r="H154" s="628">
        <f>H150+H147+H153</f>
        <v>17065.949999999997</v>
      </c>
      <c r="I154" s="628">
        <f>I150+I147+I153</f>
        <v>16845.945520000001</v>
      </c>
      <c r="J154" s="427">
        <f t="shared" si="61"/>
        <v>98.710857116070329</v>
      </c>
      <c r="K154" s="106"/>
    </row>
    <row r="155" spans="1:12" ht="15" customHeight="1" x14ac:dyDescent="0.25">
      <c r="A155" s="36">
        <v>1</v>
      </c>
      <c r="B155" s="31"/>
      <c r="C155" s="143"/>
      <c r="D155" s="143"/>
      <c r="E155" s="143"/>
      <c r="F155" s="143"/>
      <c r="G155" s="357"/>
      <c r="H155" s="357"/>
      <c r="I155" s="357"/>
      <c r="J155" s="632"/>
      <c r="K155" s="106"/>
    </row>
    <row r="156" spans="1:12" ht="43.5" customHeight="1" x14ac:dyDescent="0.25">
      <c r="A156" s="36">
        <v>1</v>
      </c>
      <c r="B156" s="74" t="s">
        <v>83</v>
      </c>
      <c r="C156" s="119"/>
      <c r="D156" s="119"/>
      <c r="E156" s="119"/>
      <c r="F156" s="119"/>
      <c r="G156" s="348"/>
      <c r="H156" s="348"/>
      <c r="I156" s="348"/>
      <c r="J156" s="114"/>
      <c r="K156" s="106"/>
    </row>
    <row r="157" spans="1:12" ht="30" x14ac:dyDescent="0.25">
      <c r="A157" s="36">
        <v>1</v>
      </c>
      <c r="B157" s="199" t="s">
        <v>120</v>
      </c>
      <c r="C157" s="114">
        <f>SUM(C158:C159)</f>
        <v>210</v>
      </c>
      <c r="D157" s="114">
        <f>SUM(D158:D159)</f>
        <v>70</v>
      </c>
      <c r="E157" s="114">
        <f>SUM(E158:E159)</f>
        <v>245</v>
      </c>
      <c r="F157" s="114">
        <f t="shared" ref="F157:F162" si="65">E157/D157*100</f>
        <v>350</v>
      </c>
      <c r="G157" s="597">
        <f>SUM(G158:G159)</f>
        <v>1148.364</v>
      </c>
      <c r="H157" s="597">
        <f>SUM(H158:H159)</f>
        <v>382.79</v>
      </c>
      <c r="I157" s="597">
        <f>SUM(I158:I159)</f>
        <v>1339.758</v>
      </c>
      <c r="J157" s="114">
        <f t="shared" ref="J157:J164" si="66">I157/H157*100</f>
        <v>349.9981713210899</v>
      </c>
      <c r="K157" s="106"/>
    </row>
    <row r="158" spans="1:12" ht="30" x14ac:dyDescent="0.25">
      <c r="A158" s="36">
        <v>1</v>
      </c>
      <c r="B158" s="72" t="s">
        <v>114</v>
      </c>
      <c r="C158" s="114">
        <v>60</v>
      </c>
      <c r="D158" s="108">
        <f>ROUND(C158/12*$B$3,0)</f>
        <v>20</v>
      </c>
      <c r="E158" s="114">
        <v>68</v>
      </c>
      <c r="F158" s="114">
        <f t="shared" si="65"/>
        <v>340</v>
      </c>
      <c r="G158" s="597">
        <v>328.10399999999998</v>
      </c>
      <c r="H158" s="597">
        <f t="shared" ref="H158:H159" si="67">ROUND(G158/12*$B$3,2)</f>
        <v>109.37</v>
      </c>
      <c r="I158" s="597">
        <v>371.85119999999995</v>
      </c>
      <c r="J158" s="114">
        <f t="shared" si="66"/>
        <v>339.99378257291755</v>
      </c>
      <c r="K158" s="106"/>
    </row>
    <row r="159" spans="1:12" ht="31.5" customHeight="1" x14ac:dyDescent="0.25">
      <c r="A159" s="36">
        <v>1</v>
      </c>
      <c r="B159" s="72" t="s">
        <v>115</v>
      </c>
      <c r="C159" s="114">
        <v>150</v>
      </c>
      <c r="D159" s="108">
        <f>ROUND(C159/12*$B$3,0)</f>
        <v>50</v>
      </c>
      <c r="E159" s="114">
        <v>177</v>
      </c>
      <c r="F159" s="114">
        <f t="shared" si="65"/>
        <v>354</v>
      </c>
      <c r="G159" s="597">
        <v>820.26</v>
      </c>
      <c r="H159" s="597">
        <f t="shared" si="67"/>
        <v>273.42</v>
      </c>
      <c r="I159" s="597">
        <v>967.90680000000009</v>
      </c>
      <c r="J159" s="116">
        <f t="shared" si="66"/>
        <v>354</v>
      </c>
      <c r="K159" s="106"/>
    </row>
    <row r="160" spans="1:12" ht="30" x14ac:dyDescent="0.25">
      <c r="A160" s="36">
        <v>1</v>
      </c>
      <c r="B160" s="199" t="s">
        <v>112</v>
      </c>
      <c r="C160" s="114">
        <f>SUM(C161:C162)</f>
        <v>17130</v>
      </c>
      <c r="D160" s="114">
        <f t="shared" ref="D160:I160" si="68">SUM(D161:D162)</f>
        <v>5710</v>
      </c>
      <c r="E160" s="114">
        <f t="shared" si="68"/>
        <v>5384</v>
      </c>
      <c r="F160" s="114">
        <f t="shared" si="65"/>
        <v>94.290718038528894</v>
      </c>
      <c r="G160" s="597">
        <f>SUM(G161:G162)</f>
        <v>37040.784</v>
      </c>
      <c r="H160" s="597">
        <f t="shared" si="68"/>
        <v>12346.93</v>
      </c>
      <c r="I160" s="597">
        <f t="shared" si="68"/>
        <v>11377.767460000003</v>
      </c>
      <c r="J160" s="114">
        <f t="shared" si="66"/>
        <v>92.150578807849428</v>
      </c>
      <c r="K160" s="106"/>
    </row>
    <row r="161" spans="1:12" ht="43.5" customHeight="1" x14ac:dyDescent="0.25">
      <c r="A161" s="36">
        <v>1</v>
      </c>
      <c r="B161" s="72" t="s">
        <v>118</v>
      </c>
      <c r="C161" s="114">
        <v>15600</v>
      </c>
      <c r="D161" s="108">
        <f>ROUND(C161/12*$B$3,0)</f>
        <v>5200</v>
      </c>
      <c r="E161" s="108">
        <v>4872</v>
      </c>
      <c r="F161" s="114">
        <f t="shared" si="65"/>
        <v>93.692307692307693</v>
      </c>
      <c r="G161" s="597">
        <f>35791080/1000</f>
        <v>35791.08</v>
      </c>
      <c r="H161" s="597">
        <f t="shared" ref="H161:H163" si="69">ROUND(G161/12*$B$3,2)</f>
        <v>11930.36</v>
      </c>
      <c r="I161" s="597">
        <v>10876.408760000002</v>
      </c>
      <c r="J161" s="114">
        <f t="shared" si="66"/>
        <v>91.165805222977355</v>
      </c>
      <c r="K161" s="106"/>
    </row>
    <row r="162" spans="1:12" ht="43.5" customHeight="1" x14ac:dyDescent="0.25">
      <c r="A162" s="36">
        <v>1</v>
      </c>
      <c r="B162" s="287" t="s">
        <v>109</v>
      </c>
      <c r="C162" s="175">
        <v>1530</v>
      </c>
      <c r="D162" s="301">
        <f>ROUND(C162/12*$B$3,0)</f>
        <v>510</v>
      </c>
      <c r="E162" s="650">
        <v>512</v>
      </c>
      <c r="F162" s="175">
        <f t="shared" si="65"/>
        <v>100.3921568627451</v>
      </c>
      <c r="G162" s="597">
        <f>1249704/1000</f>
        <v>1249.704</v>
      </c>
      <c r="H162" s="597">
        <f t="shared" si="69"/>
        <v>416.57</v>
      </c>
      <c r="I162" s="597">
        <v>501.35870000000006</v>
      </c>
      <c r="J162" s="175">
        <f t="shared" si="66"/>
        <v>120.35401013035025</v>
      </c>
      <c r="K162" s="106"/>
    </row>
    <row r="163" spans="1:12" s="107" customFormat="1" ht="31.5" customHeight="1" thickBot="1" x14ac:dyDescent="0.3">
      <c r="A163" s="36">
        <v>1</v>
      </c>
      <c r="B163" s="117" t="s">
        <v>123</v>
      </c>
      <c r="C163" s="114">
        <v>22873</v>
      </c>
      <c r="D163" s="108">
        <f>ROUND(C163/12*$B$3,0)</f>
        <v>7624</v>
      </c>
      <c r="E163" s="114">
        <v>7623</v>
      </c>
      <c r="F163" s="114">
        <f>E163/D163*100</f>
        <v>99.986883525708294</v>
      </c>
      <c r="G163" s="597">
        <v>18550.460460000002</v>
      </c>
      <c r="H163" s="597">
        <f t="shared" si="69"/>
        <v>6183.49</v>
      </c>
      <c r="I163" s="597">
        <v>6182.4054599999999</v>
      </c>
      <c r="J163" s="116">
        <f>I163/H163*100</f>
        <v>99.982460713933392</v>
      </c>
      <c r="K163" s="106"/>
      <c r="L163" s="725"/>
    </row>
    <row r="164" spans="1:12" ht="15" customHeight="1" thickBot="1" x14ac:dyDescent="0.3">
      <c r="A164" s="36">
        <v>1</v>
      </c>
      <c r="B164" s="120" t="s">
        <v>3</v>
      </c>
      <c r="C164" s="427"/>
      <c r="D164" s="427"/>
      <c r="E164" s="427"/>
      <c r="F164" s="611"/>
      <c r="G164" s="624">
        <f>G160+G157+G163</f>
        <v>56739.608460000003</v>
      </c>
      <c r="H164" s="624">
        <f>H160+H157+H163</f>
        <v>18913.21</v>
      </c>
      <c r="I164" s="624">
        <f>I160+I157+I163</f>
        <v>18899.930920000003</v>
      </c>
      <c r="J164" s="427">
        <f t="shared" si="66"/>
        <v>99.929789390589988</v>
      </c>
      <c r="K164" s="106"/>
    </row>
    <row r="165" spans="1:12" ht="15" customHeight="1" x14ac:dyDescent="0.25">
      <c r="A165" s="36">
        <v>1</v>
      </c>
      <c r="B165" s="31"/>
      <c r="C165" s="143"/>
      <c r="D165" s="143"/>
      <c r="E165" s="143"/>
      <c r="F165" s="143"/>
      <c r="G165" s="357"/>
      <c r="H165" s="357"/>
      <c r="I165" s="357"/>
      <c r="J165" s="632"/>
      <c r="K165" s="106"/>
    </row>
    <row r="166" spans="1:12" ht="29.25" x14ac:dyDescent="0.25">
      <c r="A166" s="36">
        <v>1</v>
      </c>
      <c r="B166" s="74" t="s">
        <v>84</v>
      </c>
      <c r="C166" s="119"/>
      <c r="D166" s="119"/>
      <c r="E166" s="119"/>
      <c r="F166" s="119"/>
      <c r="G166" s="597"/>
      <c r="H166" s="597"/>
      <c r="I166" s="597"/>
      <c r="J166" s="114"/>
      <c r="K166" s="106"/>
    </row>
    <row r="167" spans="1:12" ht="30" x14ac:dyDescent="0.25">
      <c r="A167" s="36">
        <v>1</v>
      </c>
      <c r="B167" s="199" t="s">
        <v>120</v>
      </c>
      <c r="C167" s="114">
        <f>SUM(C168:C169)</f>
        <v>94</v>
      </c>
      <c r="D167" s="108">
        <f>SUM(D168:D169)</f>
        <v>32</v>
      </c>
      <c r="E167" s="114">
        <f>SUM(E168:E169)</f>
        <v>108</v>
      </c>
      <c r="F167" s="114">
        <f t="shared" ref="F167:F173" si="70">E167/D167*100</f>
        <v>337.5</v>
      </c>
      <c r="G167" s="597">
        <f>SUM(G168:G169)</f>
        <v>514.02960000000007</v>
      </c>
      <c r="H167" s="597">
        <f>SUM(H168:H169)</f>
        <v>171.34</v>
      </c>
      <c r="I167" s="597">
        <f>SUM(I168:I169)</f>
        <v>590.04034999999999</v>
      </c>
      <c r="J167" s="114">
        <f t="shared" ref="J167:J174" si="71">I167/H167*100</f>
        <v>344.36812769931129</v>
      </c>
      <c r="K167" s="106"/>
    </row>
    <row r="168" spans="1:12" ht="30" x14ac:dyDescent="0.25">
      <c r="A168" s="36">
        <v>1</v>
      </c>
      <c r="B168" s="72" t="s">
        <v>114</v>
      </c>
      <c r="C168" s="114">
        <v>29</v>
      </c>
      <c r="D168" s="108">
        <f>ROUND(C168/12*$B$3,0)</f>
        <v>10</v>
      </c>
      <c r="E168" s="114">
        <v>29</v>
      </c>
      <c r="F168" s="114">
        <f t="shared" si="70"/>
        <v>290</v>
      </c>
      <c r="G168" s="597">
        <v>158.58359999999999</v>
      </c>
      <c r="H168" s="597">
        <f t="shared" ref="H168:H169" si="72">ROUND(G168/12*$B$3,2)</f>
        <v>52.86</v>
      </c>
      <c r="I168" s="597">
        <v>158.58360000000002</v>
      </c>
      <c r="J168" s="114">
        <f t="shared" si="71"/>
        <v>300.00681044267884</v>
      </c>
      <c r="K168" s="106"/>
    </row>
    <row r="169" spans="1:12" ht="30" x14ac:dyDescent="0.25">
      <c r="A169" s="36">
        <v>1</v>
      </c>
      <c r="B169" s="72" t="s">
        <v>115</v>
      </c>
      <c r="C169" s="114">
        <v>65</v>
      </c>
      <c r="D169" s="108">
        <f>ROUND(C169/12*$B$3,0)</f>
        <v>22</v>
      </c>
      <c r="E169" s="114">
        <v>79</v>
      </c>
      <c r="F169" s="114">
        <f t="shared" si="70"/>
        <v>359.09090909090907</v>
      </c>
      <c r="G169" s="597">
        <v>355.44600000000003</v>
      </c>
      <c r="H169" s="597">
        <f t="shared" si="72"/>
        <v>118.48</v>
      </c>
      <c r="I169" s="597">
        <v>431.45675</v>
      </c>
      <c r="J169" s="114">
        <f t="shared" si="71"/>
        <v>364.15998480756247</v>
      </c>
      <c r="K169" s="106"/>
    </row>
    <row r="170" spans="1:12" ht="30" x14ac:dyDescent="0.25">
      <c r="A170" s="36">
        <v>1</v>
      </c>
      <c r="B170" s="228" t="s">
        <v>112</v>
      </c>
      <c r="C170" s="114">
        <f>SUM(C171:C172)</f>
        <v>18325</v>
      </c>
      <c r="D170" s="108">
        <f>SUM(D171:D172)</f>
        <v>6108</v>
      </c>
      <c r="E170" s="114">
        <f>SUM(E171:E172)</f>
        <v>7060</v>
      </c>
      <c r="F170" s="114">
        <f t="shared" si="70"/>
        <v>115.58611656843485</v>
      </c>
      <c r="G170" s="597">
        <f>SUM(G171:G172)</f>
        <v>38610.814999999995</v>
      </c>
      <c r="H170" s="597">
        <f>SUM(H171:H172)</f>
        <v>12870.279999999999</v>
      </c>
      <c r="I170" s="597">
        <f>SUM(I171:I172)</f>
        <v>12359.052540000001</v>
      </c>
      <c r="J170" s="114">
        <f t="shared" si="71"/>
        <v>96.027845081847502</v>
      </c>
      <c r="K170" s="106"/>
    </row>
    <row r="171" spans="1:12" ht="59.25" customHeight="1" x14ac:dyDescent="0.25">
      <c r="A171" s="36">
        <v>1</v>
      </c>
      <c r="B171" s="72" t="s">
        <v>118</v>
      </c>
      <c r="C171" s="114">
        <v>16002</v>
      </c>
      <c r="D171" s="108">
        <f>ROUND(C171/12*$B$3,0)</f>
        <v>5334</v>
      </c>
      <c r="E171" s="114">
        <v>5002</v>
      </c>
      <c r="F171" s="114">
        <f t="shared" si="70"/>
        <v>93.77577802774654</v>
      </c>
      <c r="G171" s="597">
        <f>36713388.6/1000</f>
        <v>36713.388599999998</v>
      </c>
      <c r="H171" s="597">
        <f t="shared" ref="H171:H173" si="73">ROUND(G171/12*$B$3,2)</f>
        <v>12237.8</v>
      </c>
      <c r="I171" s="597">
        <v>10320.243530000002</v>
      </c>
      <c r="J171" s="114">
        <f t="shared" si="71"/>
        <v>84.330872624164485</v>
      </c>
      <c r="K171" s="106"/>
    </row>
    <row r="172" spans="1:12" ht="45" x14ac:dyDescent="0.25">
      <c r="A172" s="36">
        <v>1</v>
      </c>
      <c r="B172" s="72" t="s">
        <v>109</v>
      </c>
      <c r="C172" s="114">
        <v>2323</v>
      </c>
      <c r="D172" s="108">
        <f>ROUND(C172/12*$B$3,0)</f>
        <v>774</v>
      </c>
      <c r="E172" s="114">
        <v>2058</v>
      </c>
      <c r="F172" s="114">
        <f t="shared" si="70"/>
        <v>265.89147286821702</v>
      </c>
      <c r="G172" s="597">
        <f>1897426.4/1000</f>
        <v>1897.4263999999998</v>
      </c>
      <c r="H172" s="597">
        <f t="shared" si="73"/>
        <v>632.48</v>
      </c>
      <c r="I172" s="597">
        <v>2038.8090099999999</v>
      </c>
      <c r="J172" s="114">
        <f t="shared" si="71"/>
        <v>322.35153838856559</v>
      </c>
      <c r="K172" s="106"/>
    </row>
    <row r="173" spans="1:12" s="107" customFormat="1" ht="31.5" customHeight="1" thickBot="1" x14ac:dyDescent="0.3">
      <c r="A173" s="36">
        <v>1</v>
      </c>
      <c r="B173" s="117" t="s">
        <v>123</v>
      </c>
      <c r="C173" s="114">
        <v>13728</v>
      </c>
      <c r="D173" s="108">
        <f>ROUND(C173/12*$B$3,0)</f>
        <v>4576</v>
      </c>
      <c r="E173" s="114">
        <v>4692</v>
      </c>
      <c r="F173" s="114">
        <f t="shared" si="70"/>
        <v>102.53496503496504</v>
      </c>
      <c r="G173" s="597">
        <v>11133.682560000001</v>
      </c>
      <c r="H173" s="597">
        <f t="shared" si="73"/>
        <v>3711.23</v>
      </c>
      <c r="I173" s="597">
        <v>3755.2021</v>
      </c>
      <c r="J173" s="114">
        <f t="shared" si="71"/>
        <v>101.18483898869108</v>
      </c>
      <c r="K173" s="106"/>
      <c r="L173" s="725"/>
    </row>
    <row r="174" spans="1:12" ht="15.75" thickBot="1" x14ac:dyDescent="0.3">
      <c r="A174" s="36">
        <v>1</v>
      </c>
      <c r="B174" s="380" t="s">
        <v>3</v>
      </c>
      <c r="C174" s="610"/>
      <c r="D174" s="610"/>
      <c r="E174" s="610"/>
      <c r="F174" s="631"/>
      <c r="G174" s="628">
        <f>G170+G167+G173</f>
        <v>50258.527159999998</v>
      </c>
      <c r="H174" s="628">
        <f>H170+H167+H173</f>
        <v>16752.849999999999</v>
      </c>
      <c r="I174" s="628">
        <f>I170+I167+I173</f>
        <v>16704.294989999999</v>
      </c>
      <c r="J174" s="427">
        <f t="shared" si="71"/>
        <v>99.710168657870156</v>
      </c>
      <c r="K174" s="106"/>
    </row>
    <row r="175" spans="1:12" ht="15" customHeight="1" x14ac:dyDescent="0.25">
      <c r="A175" s="36">
        <v>1</v>
      </c>
      <c r="B175" s="31"/>
      <c r="C175" s="143"/>
      <c r="D175" s="143"/>
      <c r="E175" s="143"/>
      <c r="F175" s="143"/>
      <c r="G175" s="357"/>
      <c r="H175" s="357"/>
      <c r="I175" s="357"/>
      <c r="J175" s="632"/>
      <c r="K175" s="106"/>
    </row>
    <row r="176" spans="1:12" ht="31.5" customHeight="1" x14ac:dyDescent="0.25">
      <c r="A176" s="36">
        <v>1</v>
      </c>
      <c r="B176" s="74" t="s">
        <v>85</v>
      </c>
      <c r="C176" s="119"/>
      <c r="D176" s="119"/>
      <c r="E176" s="119"/>
      <c r="F176" s="119"/>
      <c r="G176" s="597"/>
      <c r="H176" s="597"/>
      <c r="I176" s="597"/>
      <c r="J176" s="119"/>
      <c r="K176" s="106"/>
    </row>
    <row r="177" spans="1:12" ht="45" customHeight="1" x14ac:dyDescent="0.25">
      <c r="A177" s="36">
        <v>1</v>
      </c>
      <c r="B177" s="199" t="s">
        <v>120</v>
      </c>
      <c r="C177" s="114">
        <f>SUM(C178:C179)</f>
        <v>224</v>
      </c>
      <c r="D177" s="114">
        <f>SUM(D178:D179)</f>
        <v>75</v>
      </c>
      <c r="E177" s="114">
        <f>SUM(E178:E179)</f>
        <v>32</v>
      </c>
      <c r="F177" s="114">
        <f t="shared" ref="F177:F183" si="74">E177/D177*100</f>
        <v>42.666666666666671</v>
      </c>
      <c r="G177" s="597">
        <f>SUM(G178:G179)</f>
        <v>1224.9215999999999</v>
      </c>
      <c r="H177" s="597">
        <f>SUM(H178:H179)</f>
        <v>408.31000000000006</v>
      </c>
      <c r="I177" s="597">
        <f>SUM(I178:I179)</f>
        <v>174.9888</v>
      </c>
      <c r="J177" s="114">
        <f t="shared" ref="J177:J184" si="75">I177/H177*100</f>
        <v>42.856848962797869</v>
      </c>
      <c r="K177" s="106"/>
    </row>
    <row r="178" spans="1:12" ht="30" x14ac:dyDescent="0.25">
      <c r="A178" s="36">
        <v>1</v>
      </c>
      <c r="B178" s="72" t="s">
        <v>114</v>
      </c>
      <c r="C178" s="114">
        <v>143</v>
      </c>
      <c r="D178" s="108">
        <f>ROUND(C178/12*$B$3,0)</f>
        <v>48</v>
      </c>
      <c r="E178" s="108">
        <v>0</v>
      </c>
      <c r="F178" s="114">
        <f t="shared" si="74"/>
        <v>0</v>
      </c>
      <c r="G178" s="597">
        <v>781.98119999999994</v>
      </c>
      <c r="H178" s="597">
        <f t="shared" ref="H178:H179" si="76">ROUND(G178/12*$B$3,2)</f>
        <v>260.66000000000003</v>
      </c>
      <c r="I178" s="597">
        <v>0</v>
      </c>
      <c r="J178" s="114">
        <f t="shared" si="75"/>
        <v>0</v>
      </c>
      <c r="K178" s="106"/>
    </row>
    <row r="179" spans="1:12" ht="35.1" customHeight="1" x14ac:dyDescent="0.25">
      <c r="A179" s="36">
        <v>1</v>
      </c>
      <c r="B179" s="72" t="s">
        <v>115</v>
      </c>
      <c r="C179" s="114">
        <v>81</v>
      </c>
      <c r="D179" s="108">
        <f>ROUND(C179/12*$B$3,0)</f>
        <v>27</v>
      </c>
      <c r="E179" s="114">
        <v>32</v>
      </c>
      <c r="F179" s="114">
        <f t="shared" si="74"/>
        <v>118.5185185185185</v>
      </c>
      <c r="G179" s="597">
        <v>442.94039999999995</v>
      </c>
      <c r="H179" s="597">
        <f t="shared" si="76"/>
        <v>147.65</v>
      </c>
      <c r="I179" s="597">
        <v>174.9888</v>
      </c>
      <c r="J179" s="114">
        <f t="shared" si="75"/>
        <v>118.51594988147647</v>
      </c>
      <c r="K179" s="106"/>
    </row>
    <row r="180" spans="1:12" ht="39.75" customHeight="1" x14ac:dyDescent="0.25">
      <c r="A180" s="36">
        <v>1</v>
      </c>
      <c r="B180" s="199" t="s">
        <v>112</v>
      </c>
      <c r="C180" s="114">
        <f>SUM(C181:C182)</f>
        <v>19850</v>
      </c>
      <c r="D180" s="114">
        <f>SUM(D181:D182)</f>
        <v>6617</v>
      </c>
      <c r="E180" s="114">
        <f>SUM(E181:E182)</f>
        <v>7037</v>
      </c>
      <c r="F180" s="114">
        <f t="shared" si="74"/>
        <v>106.34728729031282</v>
      </c>
      <c r="G180" s="597">
        <f>SUM(G181:G182)</f>
        <v>35716.479999999996</v>
      </c>
      <c r="H180" s="597">
        <f>SUM(H181:H182)</f>
        <v>11905.49</v>
      </c>
      <c r="I180" s="597">
        <f>SUM(I181:I182)</f>
        <v>12116.640289999999</v>
      </c>
      <c r="J180" s="114">
        <f t="shared" si="75"/>
        <v>101.77355396543948</v>
      </c>
      <c r="K180" s="106"/>
    </row>
    <row r="181" spans="1:12" ht="61.5" customHeight="1" x14ac:dyDescent="0.25">
      <c r="A181" s="36">
        <v>1</v>
      </c>
      <c r="B181" s="72" t="s">
        <v>118</v>
      </c>
      <c r="C181" s="114">
        <v>13200</v>
      </c>
      <c r="D181" s="108">
        <f>ROUND(C181/12*$B$3,0)</f>
        <v>4400</v>
      </c>
      <c r="E181" s="108">
        <v>4490</v>
      </c>
      <c r="F181" s="114">
        <f t="shared" si="74"/>
        <v>102.04545454545455</v>
      </c>
      <c r="G181" s="597">
        <f>30284760/1000</f>
        <v>30284.76</v>
      </c>
      <c r="H181" s="597">
        <f t="shared" ref="H181:H183" si="77">ROUND(G181/12*$B$3,2)</f>
        <v>10094.92</v>
      </c>
      <c r="I181" s="597">
        <v>9837.13472</v>
      </c>
      <c r="J181" s="114">
        <f t="shared" si="75"/>
        <v>97.44638610310929</v>
      </c>
      <c r="K181" s="106"/>
    </row>
    <row r="182" spans="1:12" ht="45" x14ac:dyDescent="0.25">
      <c r="A182" s="36">
        <v>1</v>
      </c>
      <c r="B182" s="72" t="s">
        <v>109</v>
      </c>
      <c r="C182" s="114">
        <v>6650</v>
      </c>
      <c r="D182" s="108">
        <f>ROUND(C182/12*$B$3,0)</f>
        <v>2217</v>
      </c>
      <c r="E182" s="108">
        <v>2547</v>
      </c>
      <c r="F182" s="114">
        <f t="shared" si="74"/>
        <v>114.8849797023004</v>
      </c>
      <c r="G182" s="597">
        <f>5431720/1000</f>
        <v>5431.72</v>
      </c>
      <c r="H182" s="597">
        <f t="shared" si="77"/>
        <v>1810.57</v>
      </c>
      <c r="I182" s="597">
        <v>2279.5055699999998</v>
      </c>
      <c r="J182" s="114">
        <f t="shared" si="75"/>
        <v>125.89988622367541</v>
      </c>
      <c r="K182" s="106"/>
    </row>
    <row r="183" spans="1:12" s="107" customFormat="1" ht="31.5" customHeight="1" thickBot="1" x14ac:dyDescent="0.3">
      <c r="A183" s="36">
        <v>1</v>
      </c>
      <c r="B183" s="117" t="s">
        <v>123</v>
      </c>
      <c r="C183" s="114">
        <v>10269</v>
      </c>
      <c r="D183" s="108">
        <f>ROUND(C183/12*$B$3,0)</f>
        <v>3423</v>
      </c>
      <c r="E183" s="114">
        <v>3424</v>
      </c>
      <c r="F183" s="114">
        <f t="shared" si="74"/>
        <v>100.02921413964359</v>
      </c>
      <c r="G183" s="597">
        <v>8328.3643799999991</v>
      </c>
      <c r="H183" s="597">
        <f t="shared" si="77"/>
        <v>2776.12</v>
      </c>
      <c r="I183" s="597">
        <v>2776.9324799999999</v>
      </c>
      <c r="J183" s="114">
        <f t="shared" si="75"/>
        <v>100.02926674639426</v>
      </c>
      <c r="K183" s="106"/>
      <c r="L183" s="725"/>
    </row>
    <row r="184" spans="1:12" ht="15.75" thickBot="1" x14ac:dyDescent="0.3">
      <c r="A184" s="36">
        <v>1</v>
      </c>
      <c r="B184" s="300" t="s">
        <v>3</v>
      </c>
      <c r="C184" s="610"/>
      <c r="D184" s="610"/>
      <c r="E184" s="610"/>
      <c r="F184" s="633"/>
      <c r="G184" s="628">
        <f>G180+G177+G183</f>
        <v>45269.765979999996</v>
      </c>
      <c r="H184" s="628">
        <f>H180+H177+H183</f>
        <v>15089.919999999998</v>
      </c>
      <c r="I184" s="628">
        <f>I180+I177+I183</f>
        <v>15068.561569999998</v>
      </c>
      <c r="J184" s="427">
        <f t="shared" si="75"/>
        <v>99.858458958032912</v>
      </c>
      <c r="K184" s="106"/>
    </row>
    <row r="185" spans="1:12" ht="15" customHeight="1" x14ac:dyDescent="0.25">
      <c r="A185" s="36">
        <v>1</v>
      </c>
      <c r="B185" s="79"/>
      <c r="C185" s="105"/>
      <c r="D185" s="105"/>
      <c r="E185" s="105"/>
      <c r="F185" s="431"/>
      <c r="G185" s="358"/>
      <c r="H185" s="358"/>
      <c r="I185" s="358"/>
      <c r="J185" s="634"/>
      <c r="K185" s="106"/>
    </row>
    <row r="186" spans="1:12" ht="43.5" x14ac:dyDescent="0.25">
      <c r="A186" s="36">
        <v>1</v>
      </c>
      <c r="B186" s="297" t="s">
        <v>86</v>
      </c>
      <c r="C186" s="143"/>
      <c r="D186" s="143"/>
      <c r="E186" s="143"/>
      <c r="F186" s="143"/>
      <c r="G186" s="597"/>
      <c r="H186" s="597"/>
      <c r="I186" s="597"/>
      <c r="J186" s="635"/>
      <c r="K186" s="106"/>
    </row>
    <row r="187" spans="1:12" ht="30" customHeight="1" x14ac:dyDescent="0.25">
      <c r="A187" s="36">
        <v>1</v>
      </c>
      <c r="B187" s="228" t="s">
        <v>120</v>
      </c>
      <c r="C187" s="114">
        <f>SUM(C188:C191)</f>
        <v>6522</v>
      </c>
      <c r="D187" s="114">
        <f t="shared" ref="D187:E187" si="78">SUM(D188:D191)</f>
        <v>2174</v>
      </c>
      <c r="E187" s="114">
        <f t="shared" si="78"/>
        <v>1161</v>
      </c>
      <c r="F187" s="114">
        <f t="shared" ref="F187:F197" si="79">E187/D187*100</f>
        <v>53.403863845446189</v>
      </c>
      <c r="G187" s="597">
        <f t="shared" ref="G187:I187" si="80">SUM(G188:G191)</f>
        <v>8133.5897499999992</v>
      </c>
      <c r="H187" s="597">
        <f t="shared" si="80"/>
        <v>2711.19</v>
      </c>
      <c r="I187" s="597">
        <f t="shared" si="80"/>
        <v>1572.66102</v>
      </c>
      <c r="J187" s="114">
        <f t="shared" ref="J187:J198" si="81">I187/H187*100</f>
        <v>58.006300554369119</v>
      </c>
      <c r="K187" s="106"/>
    </row>
    <row r="188" spans="1:12" ht="27" customHeight="1" x14ac:dyDescent="0.25">
      <c r="A188" s="36">
        <v>1</v>
      </c>
      <c r="B188" s="72" t="s">
        <v>79</v>
      </c>
      <c r="C188" s="114">
        <v>5000</v>
      </c>
      <c r="D188" s="108">
        <f t="shared" ref="D188:D189" si="82">ROUND(C188/12*$B$3,0)</f>
        <v>1667</v>
      </c>
      <c r="E188" s="114">
        <v>1002</v>
      </c>
      <c r="F188" s="114">
        <f t="shared" si="79"/>
        <v>60.107978404319141</v>
      </c>
      <c r="G188" s="597">
        <v>5846.8857999999991</v>
      </c>
      <c r="H188" s="597">
        <f t="shared" ref="H188:H191" si="83">ROUND(G188/12*$B$3,2)</f>
        <v>1948.96</v>
      </c>
      <c r="I188" s="597">
        <v>1149.77026</v>
      </c>
      <c r="J188" s="114">
        <f t="shared" si="81"/>
        <v>58.994040924390447</v>
      </c>
      <c r="K188" s="106"/>
    </row>
    <row r="189" spans="1:12" ht="30" customHeight="1" x14ac:dyDescent="0.25">
      <c r="A189" s="36">
        <v>1</v>
      </c>
      <c r="B189" s="72" t="s">
        <v>80</v>
      </c>
      <c r="C189" s="175">
        <v>1500</v>
      </c>
      <c r="D189" s="301">
        <f t="shared" si="82"/>
        <v>500</v>
      </c>
      <c r="E189" s="175">
        <v>108</v>
      </c>
      <c r="F189" s="175">
        <f t="shared" si="79"/>
        <v>21.6</v>
      </c>
      <c r="G189" s="597">
        <v>2166.3991499999997</v>
      </c>
      <c r="H189" s="597">
        <f t="shared" si="83"/>
        <v>722.13</v>
      </c>
      <c r="I189" s="597">
        <v>144.00236000000001</v>
      </c>
      <c r="J189" s="114">
        <f t="shared" si="81"/>
        <v>19.941334662733858</v>
      </c>
      <c r="K189" s="106"/>
    </row>
    <row r="190" spans="1:12" ht="30" customHeight="1" x14ac:dyDescent="0.25">
      <c r="B190" s="72" t="s">
        <v>114</v>
      </c>
      <c r="C190" s="175"/>
      <c r="D190" s="301"/>
      <c r="E190" s="175"/>
      <c r="F190" s="321"/>
      <c r="G190" s="597"/>
      <c r="H190" s="597">
        <f t="shared" si="83"/>
        <v>0</v>
      </c>
      <c r="I190" s="597"/>
      <c r="J190" s="622"/>
      <c r="K190" s="106"/>
    </row>
    <row r="191" spans="1:12" ht="30" customHeight="1" x14ac:dyDescent="0.25">
      <c r="B191" s="72" t="s">
        <v>115</v>
      </c>
      <c r="C191" s="175">
        <v>22</v>
      </c>
      <c r="D191" s="301">
        <f>ROUND(C191/12*$B$3,0)</f>
        <v>7</v>
      </c>
      <c r="E191" s="175">
        <v>51</v>
      </c>
      <c r="F191" s="321"/>
      <c r="G191" s="597">
        <v>120.30479999999999</v>
      </c>
      <c r="H191" s="597">
        <f t="shared" si="83"/>
        <v>40.1</v>
      </c>
      <c r="I191" s="597">
        <v>278.88840000000005</v>
      </c>
      <c r="J191" s="114">
        <f t="shared" ref="J191" si="84">I191/H191*100</f>
        <v>695.48229426433932</v>
      </c>
      <c r="K191" s="106"/>
    </row>
    <row r="192" spans="1:12" ht="30" customHeight="1" x14ac:dyDescent="0.25">
      <c r="A192" s="36">
        <v>1</v>
      </c>
      <c r="B192" s="228" t="s">
        <v>112</v>
      </c>
      <c r="C192" s="114">
        <f>SUM(C193:C195)</f>
        <v>8600</v>
      </c>
      <c r="D192" s="114">
        <f t="shared" ref="D192:E192" si="85">SUM(D193:D195)</f>
        <v>2867</v>
      </c>
      <c r="E192" s="114">
        <f t="shared" si="85"/>
        <v>1989</v>
      </c>
      <c r="F192" s="321">
        <f t="shared" si="79"/>
        <v>69.37565399372167</v>
      </c>
      <c r="G192" s="597">
        <f t="shared" ref="G192" si="86">SUM(G193:G195)</f>
        <v>14878.06</v>
      </c>
      <c r="H192" s="597">
        <f t="shared" ref="H192" si="87">SUM(H193:H195)</f>
        <v>4959.3499999999995</v>
      </c>
      <c r="I192" s="597">
        <f t="shared" ref="I192" si="88">SUM(I193:I195)</f>
        <v>3548.66084</v>
      </c>
      <c r="J192" s="636">
        <f t="shared" si="81"/>
        <v>71.554958613527987</v>
      </c>
      <c r="K192" s="106"/>
    </row>
    <row r="193" spans="1:12" ht="30" customHeight="1" x14ac:dyDescent="0.25">
      <c r="A193" s="36">
        <v>1</v>
      </c>
      <c r="B193" s="287" t="s">
        <v>108</v>
      </c>
      <c r="C193" s="114">
        <v>3600</v>
      </c>
      <c r="D193" s="108">
        <f t="shared" ref="D193:D196" si="89">ROUND(C193/12*$B$3,0)</f>
        <v>1200</v>
      </c>
      <c r="E193" s="319">
        <v>964</v>
      </c>
      <c r="F193" s="175">
        <f t="shared" si="79"/>
        <v>80.333333333333329</v>
      </c>
      <c r="G193" s="597">
        <f>6361560/1000</f>
        <v>6361.56</v>
      </c>
      <c r="H193" s="597">
        <f t="shared" ref="H193:H197" si="90">ROUND(G193/12*$B$3,2)</f>
        <v>2120.52</v>
      </c>
      <c r="I193" s="597">
        <v>1678.0655200000001</v>
      </c>
      <c r="J193" s="636">
        <f t="shared" si="81"/>
        <v>79.134623582894775</v>
      </c>
      <c r="K193" s="106"/>
    </row>
    <row r="194" spans="1:12" ht="66" customHeight="1" x14ac:dyDescent="0.25">
      <c r="B194" s="72" t="s">
        <v>118</v>
      </c>
      <c r="C194" s="632">
        <v>3000</v>
      </c>
      <c r="D194" s="621">
        <f t="shared" si="89"/>
        <v>1000</v>
      </c>
      <c r="E194" s="114">
        <v>362</v>
      </c>
      <c r="F194" s="175">
        <f t="shared" si="79"/>
        <v>36.199999999999996</v>
      </c>
      <c r="G194" s="597">
        <f>6882900/1000</f>
        <v>6882.9</v>
      </c>
      <c r="H194" s="597">
        <f t="shared" si="90"/>
        <v>2294.3000000000002</v>
      </c>
      <c r="I194" s="597">
        <v>1281.1612</v>
      </c>
      <c r="J194" s="636">
        <f t="shared" si="81"/>
        <v>55.841049557599263</v>
      </c>
      <c r="K194" s="106"/>
    </row>
    <row r="195" spans="1:12" ht="58.5" customHeight="1" x14ac:dyDescent="0.25">
      <c r="B195" s="72" t="s">
        <v>109</v>
      </c>
      <c r="C195" s="319">
        <v>2000</v>
      </c>
      <c r="D195" s="108">
        <f t="shared" si="89"/>
        <v>667</v>
      </c>
      <c r="E195" s="319">
        <v>663</v>
      </c>
      <c r="F195" s="175">
        <f t="shared" si="79"/>
        <v>99.400299850074958</v>
      </c>
      <c r="G195" s="597">
        <f>1633600/1000</f>
        <v>1633.6</v>
      </c>
      <c r="H195" s="597">
        <f t="shared" si="90"/>
        <v>544.53</v>
      </c>
      <c r="I195" s="597">
        <v>589.43412000000001</v>
      </c>
      <c r="J195" s="636">
        <f t="shared" si="81"/>
        <v>108.24639964740234</v>
      </c>
      <c r="K195" s="106"/>
    </row>
    <row r="196" spans="1:12" s="107" customFormat="1" ht="31.5" customHeight="1" x14ac:dyDescent="0.25">
      <c r="A196" s="36">
        <v>1</v>
      </c>
      <c r="B196" s="117" t="s">
        <v>123</v>
      </c>
      <c r="C196" s="114">
        <v>18200</v>
      </c>
      <c r="D196" s="108">
        <f t="shared" si="89"/>
        <v>6067</v>
      </c>
      <c r="E196" s="114">
        <v>5433</v>
      </c>
      <c r="F196" s="114">
        <f t="shared" si="79"/>
        <v>89.550024723916266</v>
      </c>
      <c r="G196" s="597">
        <v>14760.564</v>
      </c>
      <c r="H196" s="597">
        <f t="shared" si="90"/>
        <v>4920.1899999999996</v>
      </c>
      <c r="I196" s="597">
        <v>4369.3990199999998</v>
      </c>
      <c r="J196" s="114">
        <f t="shared" si="81"/>
        <v>88.805493690284322</v>
      </c>
      <c r="K196" s="106"/>
      <c r="L196" s="725"/>
    </row>
    <row r="197" spans="1:12" s="107" customFormat="1" ht="26.25" customHeight="1" thickBot="1" x14ac:dyDescent="0.3">
      <c r="A197" s="36">
        <v>1</v>
      </c>
      <c r="B197" s="117" t="s">
        <v>125</v>
      </c>
      <c r="C197" s="114">
        <v>786</v>
      </c>
      <c r="D197" s="108">
        <f>ROUND(C197/12*$B$3,0)</f>
        <v>262</v>
      </c>
      <c r="E197" s="114">
        <v>597</v>
      </c>
      <c r="F197" s="114">
        <f t="shared" si="79"/>
        <v>227.86259541984734</v>
      </c>
      <c r="G197" s="597">
        <v>637.46172000000001</v>
      </c>
      <c r="H197" s="597">
        <f t="shared" si="90"/>
        <v>212.49</v>
      </c>
      <c r="I197" s="597">
        <v>482.54724000000004</v>
      </c>
      <c r="J197" s="114">
        <f>I197/E197*100</f>
        <v>80.828683417085429</v>
      </c>
      <c r="K197" s="106"/>
      <c r="L197" s="725"/>
    </row>
    <row r="198" spans="1:12" ht="15.75" thickBot="1" x14ac:dyDescent="0.3">
      <c r="A198" s="36">
        <v>1</v>
      </c>
      <c r="B198" s="303" t="s">
        <v>3</v>
      </c>
      <c r="C198" s="610"/>
      <c r="D198" s="610"/>
      <c r="E198" s="610"/>
      <c r="F198" s="611"/>
      <c r="G198" s="612">
        <f>G192+G187+G196</f>
        <v>37772.213749999995</v>
      </c>
      <c r="H198" s="612">
        <f>H192+H187+H196</f>
        <v>12590.73</v>
      </c>
      <c r="I198" s="612">
        <f>I192+I187+I196</f>
        <v>9490.7208800000008</v>
      </c>
      <c r="J198" s="427">
        <f t="shared" si="81"/>
        <v>75.378638728651964</v>
      </c>
      <c r="K198" s="106"/>
    </row>
    <row r="199" spans="1:12" ht="15" customHeight="1" x14ac:dyDescent="0.25">
      <c r="A199" s="36">
        <v>1</v>
      </c>
      <c r="B199" s="8"/>
      <c r="C199" s="141"/>
      <c r="D199" s="141"/>
      <c r="E199" s="141"/>
      <c r="F199" s="141"/>
      <c r="G199" s="359"/>
      <c r="H199" s="359"/>
      <c r="I199" s="359"/>
      <c r="J199" s="140"/>
      <c r="K199" s="106"/>
    </row>
    <row r="200" spans="1:12" ht="43.5" customHeight="1" x14ac:dyDescent="0.25">
      <c r="A200" s="36">
        <v>1</v>
      </c>
      <c r="B200" s="74" t="s">
        <v>127</v>
      </c>
      <c r="C200" s="119"/>
      <c r="D200" s="119"/>
      <c r="E200" s="119"/>
      <c r="F200" s="119"/>
      <c r="G200" s="345"/>
      <c r="H200" s="345"/>
      <c r="I200" s="345"/>
      <c r="J200" s="155"/>
      <c r="K200" s="106"/>
    </row>
    <row r="201" spans="1:12" ht="26.25" customHeight="1" x14ac:dyDescent="0.25">
      <c r="A201" s="36">
        <v>1</v>
      </c>
      <c r="B201" s="228" t="s">
        <v>120</v>
      </c>
      <c r="C201" s="114">
        <f>SUM(C202:C203)</f>
        <v>695</v>
      </c>
      <c r="D201" s="114">
        <f>SUM(D202:D203)</f>
        <v>231</v>
      </c>
      <c r="E201" s="114">
        <f>SUM(E202:E203)</f>
        <v>247</v>
      </c>
      <c r="F201" s="114">
        <f t="shared" ref="F201:F206" si="91">E201/D201*100</f>
        <v>106.92640692640694</v>
      </c>
      <c r="G201" s="597">
        <f>SUM(G202:G203)</f>
        <v>876.21408999999994</v>
      </c>
      <c r="H201" s="597">
        <f>SUM(H202:H203)</f>
        <v>292.08</v>
      </c>
      <c r="I201" s="597">
        <f>SUM(I202:I203)</f>
        <v>260.64025000000004</v>
      </c>
      <c r="J201" s="114">
        <f t="shared" ref="J201:J207" si="92">I201/H201*100</f>
        <v>89.235911394138611</v>
      </c>
      <c r="K201" s="106"/>
    </row>
    <row r="202" spans="1:12" ht="30.75" customHeight="1" x14ac:dyDescent="0.25">
      <c r="A202" s="36">
        <v>1</v>
      </c>
      <c r="B202" s="72" t="s">
        <v>79</v>
      </c>
      <c r="C202" s="114">
        <v>535</v>
      </c>
      <c r="D202" s="108">
        <f>ROUND(C202/12*$B$3,0)</f>
        <v>178</v>
      </c>
      <c r="E202" s="114">
        <v>173</v>
      </c>
      <c r="F202" s="114">
        <f t="shared" si="91"/>
        <v>97.19101123595506</v>
      </c>
      <c r="G202" s="597">
        <v>626.74639999999999</v>
      </c>
      <c r="H202" s="597">
        <f t="shared" ref="H202:H203" si="93">ROUND(G202/12*$B$3,2)</f>
        <v>208.92</v>
      </c>
      <c r="I202" s="597">
        <v>150.90395000000001</v>
      </c>
      <c r="J202" s="114">
        <f t="shared" si="92"/>
        <v>72.230494926287577</v>
      </c>
      <c r="K202" s="106"/>
    </row>
    <row r="203" spans="1:12" ht="33" customHeight="1" x14ac:dyDescent="0.25">
      <c r="A203" s="36">
        <v>1</v>
      </c>
      <c r="B203" s="72" t="s">
        <v>80</v>
      </c>
      <c r="C203" s="114">
        <v>160</v>
      </c>
      <c r="D203" s="108">
        <f>ROUND(C203/12*$B$3,0)</f>
        <v>53</v>
      </c>
      <c r="E203" s="114">
        <v>74</v>
      </c>
      <c r="F203" s="175">
        <f t="shared" si="91"/>
        <v>139.62264150943395</v>
      </c>
      <c r="G203" s="597">
        <v>249.46768999999998</v>
      </c>
      <c r="H203" s="597">
        <f t="shared" si="93"/>
        <v>83.16</v>
      </c>
      <c r="I203" s="597">
        <v>109.73630000000001</v>
      </c>
      <c r="J203" s="114">
        <f t="shared" si="92"/>
        <v>131.95803270803273</v>
      </c>
      <c r="K203" s="106"/>
    </row>
    <row r="204" spans="1:12" ht="30" x14ac:dyDescent="0.25">
      <c r="A204" s="36">
        <v>1</v>
      </c>
      <c r="B204" s="228" t="s">
        <v>112</v>
      </c>
      <c r="C204" s="175">
        <f>SUM(C205)</f>
        <v>300</v>
      </c>
      <c r="D204" s="175">
        <f t="shared" ref="D204:I204" si="94">SUM(D205)</f>
        <v>100</v>
      </c>
      <c r="E204" s="175">
        <f t="shared" si="94"/>
        <v>71</v>
      </c>
      <c r="F204" s="175">
        <f t="shared" si="91"/>
        <v>71</v>
      </c>
      <c r="G204" s="597">
        <f>SUM(G205)</f>
        <v>530.13</v>
      </c>
      <c r="H204" s="597">
        <f t="shared" si="94"/>
        <v>176.71</v>
      </c>
      <c r="I204" s="597">
        <f t="shared" si="94"/>
        <v>117.20862</v>
      </c>
      <c r="J204" s="114">
        <f t="shared" si="92"/>
        <v>66.328232697640203</v>
      </c>
      <c r="K204" s="106"/>
    </row>
    <row r="205" spans="1:12" ht="33" customHeight="1" x14ac:dyDescent="0.25">
      <c r="A205" s="36">
        <v>1</v>
      </c>
      <c r="B205" s="287" t="s">
        <v>108</v>
      </c>
      <c r="C205" s="175">
        <v>300</v>
      </c>
      <c r="D205" s="301">
        <f>ROUND(C205/12*$B$3,0)</f>
        <v>100</v>
      </c>
      <c r="E205" s="321">
        <v>71</v>
      </c>
      <c r="F205" s="175">
        <f t="shared" si="91"/>
        <v>71</v>
      </c>
      <c r="G205" s="597">
        <f>530130/1000</f>
        <v>530.13</v>
      </c>
      <c r="H205" s="597">
        <f t="shared" ref="H205:H206" si="95">ROUND(G205/12*$B$3,2)</f>
        <v>176.71</v>
      </c>
      <c r="I205" s="597">
        <v>117.20862</v>
      </c>
      <c r="J205" s="175">
        <f t="shared" si="92"/>
        <v>66.328232697640203</v>
      </c>
      <c r="K205" s="106"/>
    </row>
    <row r="206" spans="1:12" s="107" customFormat="1" ht="31.5" customHeight="1" thickBot="1" x14ac:dyDescent="0.3">
      <c r="A206" s="36">
        <v>1</v>
      </c>
      <c r="B206" s="117" t="s">
        <v>123</v>
      </c>
      <c r="C206" s="114">
        <v>450</v>
      </c>
      <c r="D206" s="108">
        <f>ROUND(C206/12*$B$3,0)</f>
        <v>150</v>
      </c>
      <c r="E206" s="114">
        <v>34</v>
      </c>
      <c r="F206" s="114">
        <f t="shared" si="91"/>
        <v>22.666666666666664</v>
      </c>
      <c r="G206" s="597">
        <v>364.959</v>
      </c>
      <c r="H206" s="597">
        <f t="shared" si="95"/>
        <v>121.65</v>
      </c>
      <c r="I206" s="597">
        <v>26.359099999999998</v>
      </c>
      <c r="J206" s="114">
        <f t="shared" si="92"/>
        <v>21.667981915330863</v>
      </c>
      <c r="K206" s="106"/>
      <c r="L206" s="725"/>
    </row>
    <row r="207" spans="1:12" ht="15.75" thickBot="1" x14ac:dyDescent="0.3">
      <c r="A207" s="36">
        <v>1</v>
      </c>
      <c r="B207" s="120" t="s">
        <v>3</v>
      </c>
      <c r="C207" s="427"/>
      <c r="D207" s="427"/>
      <c r="E207" s="427"/>
      <c r="F207" s="611"/>
      <c r="G207" s="624">
        <f>G204+G201+G206</f>
        <v>1771.3030900000001</v>
      </c>
      <c r="H207" s="624">
        <f>H204+H201+H206</f>
        <v>590.43999999999994</v>
      </c>
      <c r="I207" s="624">
        <f>I204+I201+I206</f>
        <v>404.20797000000005</v>
      </c>
      <c r="J207" s="427">
        <f t="shared" si="92"/>
        <v>68.458771424700231</v>
      </c>
      <c r="K207" s="106"/>
    </row>
    <row r="208" spans="1:12" ht="15" customHeight="1" x14ac:dyDescent="0.25">
      <c r="A208" s="36">
        <v>1</v>
      </c>
      <c r="B208" s="82"/>
      <c r="C208" s="144"/>
      <c r="D208" s="144"/>
      <c r="E208" s="144"/>
      <c r="F208" s="143"/>
      <c r="G208" s="354"/>
      <c r="H208" s="354"/>
      <c r="I208" s="354"/>
      <c r="J208" s="144"/>
      <c r="K208" s="106"/>
    </row>
    <row r="209" spans="1:12" ht="29.25" hidden="1" customHeight="1" x14ac:dyDescent="0.25">
      <c r="B209" s="685"/>
      <c r="C209" s="686"/>
      <c r="D209" s="686"/>
      <c r="E209" s="686"/>
      <c r="F209" s="687"/>
      <c r="G209" s="447"/>
      <c r="H209" s="447"/>
      <c r="I209" s="447"/>
      <c r="J209" s="145"/>
      <c r="K209" s="106"/>
    </row>
    <row r="210" spans="1:12" ht="30.75" hidden="1" customHeight="1" x14ac:dyDescent="0.25">
      <c r="B210" s="228"/>
      <c r="C210" s="114"/>
      <c r="D210" s="114"/>
      <c r="E210" s="114"/>
      <c r="F210" s="114"/>
      <c r="G210" s="597"/>
      <c r="H210" s="597"/>
      <c r="I210" s="597"/>
      <c r="J210" s="114"/>
      <c r="K210" s="106"/>
    </row>
    <row r="211" spans="1:12" ht="38.1" hidden="1" customHeight="1" x14ac:dyDescent="0.25">
      <c r="B211" s="72"/>
      <c r="C211" s="114"/>
      <c r="D211" s="108"/>
      <c r="E211" s="114"/>
      <c r="F211" s="114"/>
      <c r="G211" s="597"/>
      <c r="H211" s="597"/>
      <c r="I211" s="597"/>
      <c r="J211" s="114"/>
      <c r="K211" s="106"/>
    </row>
    <row r="212" spans="1:12" ht="38.1" hidden="1" customHeight="1" x14ac:dyDescent="0.25">
      <c r="B212" s="72"/>
      <c r="C212" s="114"/>
      <c r="D212" s="108"/>
      <c r="E212" s="114"/>
      <c r="F212" s="114"/>
      <c r="G212" s="597"/>
      <c r="H212" s="597"/>
      <c r="I212" s="597"/>
      <c r="J212" s="114"/>
      <c r="K212" s="106"/>
    </row>
    <row r="213" spans="1:12" hidden="1" x14ac:dyDescent="0.25">
      <c r="B213" s="72"/>
      <c r="C213" s="114"/>
      <c r="D213" s="108"/>
      <c r="E213" s="114"/>
      <c r="F213" s="114"/>
      <c r="G213" s="597"/>
      <c r="H213" s="597"/>
      <c r="I213" s="597"/>
      <c r="J213" s="114"/>
      <c r="K213" s="106"/>
    </row>
    <row r="214" spans="1:12" hidden="1" x14ac:dyDescent="0.25">
      <c r="B214" s="72"/>
      <c r="C214" s="114"/>
      <c r="D214" s="108"/>
      <c r="E214" s="114"/>
      <c r="F214" s="114"/>
      <c r="G214" s="597"/>
      <c r="H214" s="597"/>
      <c r="I214" s="597"/>
      <c r="J214" s="114"/>
      <c r="K214" s="106"/>
    </row>
    <row r="215" spans="1:12" hidden="1" x14ac:dyDescent="0.25">
      <c r="B215" s="228"/>
      <c r="C215" s="114"/>
      <c r="D215" s="114"/>
      <c r="E215" s="114"/>
      <c r="F215" s="114"/>
      <c r="G215" s="597"/>
      <c r="H215" s="597"/>
      <c r="I215" s="597"/>
      <c r="J215" s="114"/>
      <c r="K215" s="106"/>
    </row>
    <row r="216" spans="1:12" hidden="1" x14ac:dyDescent="0.25">
      <c r="B216" s="72"/>
      <c r="C216" s="114"/>
      <c r="D216" s="108"/>
      <c r="E216" s="114"/>
      <c r="F216" s="114"/>
      <c r="G216" s="597"/>
      <c r="H216" s="597"/>
      <c r="I216" s="597"/>
      <c r="J216" s="114"/>
      <c r="K216" s="106"/>
    </row>
    <row r="217" spans="1:12" ht="45" hidden="1" customHeight="1" x14ac:dyDescent="0.25">
      <c r="B217" s="72"/>
      <c r="C217" s="114"/>
      <c r="D217" s="108"/>
      <c r="E217" s="114"/>
      <c r="F217" s="114"/>
      <c r="G217" s="597"/>
      <c r="H217" s="597"/>
      <c r="I217" s="597"/>
      <c r="J217" s="114"/>
      <c r="K217" s="106"/>
    </row>
    <row r="218" spans="1:12" ht="45" hidden="1" customHeight="1" x14ac:dyDescent="0.25">
      <c r="B218" s="72"/>
      <c r="C218" s="114"/>
      <c r="D218" s="108"/>
      <c r="E218" s="114"/>
      <c r="F218" s="114"/>
      <c r="G218" s="597"/>
      <c r="H218" s="597"/>
      <c r="I218" s="597"/>
      <c r="J218" s="114"/>
      <c r="K218" s="106"/>
    </row>
    <row r="219" spans="1:12" s="107" customFormat="1" ht="31.5" hidden="1" customHeight="1" thickBot="1" x14ac:dyDescent="0.3">
      <c r="A219" s="36"/>
      <c r="B219" s="117"/>
      <c r="C219" s="114"/>
      <c r="D219" s="108"/>
      <c r="E219" s="114"/>
      <c r="F219" s="114"/>
      <c r="G219" s="597"/>
      <c r="H219" s="597"/>
      <c r="I219" s="597"/>
      <c r="J219" s="114"/>
      <c r="K219" s="106"/>
      <c r="L219" s="725"/>
    </row>
    <row r="220" spans="1:12" ht="15.75" hidden="1" thickBot="1" x14ac:dyDescent="0.3">
      <c r="B220" s="112"/>
      <c r="C220" s="427"/>
      <c r="D220" s="427"/>
      <c r="E220" s="427"/>
      <c r="F220" s="611"/>
      <c r="G220" s="651"/>
      <c r="H220" s="651"/>
      <c r="I220" s="651"/>
      <c r="J220" s="427"/>
      <c r="K220" s="106"/>
    </row>
    <row r="221" spans="1:12" ht="15" hidden="1" customHeight="1" x14ac:dyDescent="0.25">
      <c r="A221" s="36">
        <v>1</v>
      </c>
      <c r="B221" s="79"/>
      <c r="C221" s="105"/>
      <c r="D221" s="105"/>
      <c r="E221" s="105"/>
      <c r="F221" s="431"/>
      <c r="G221" s="346"/>
      <c r="H221" s="346"/>
      <c r="I221" s="346"/>
      <c r="J221" s="105"/>
      <c r="K221" s="106"/>
    </row>
    <row r="222" spans="1:12" ht="29.25" customHeight="1" x14ac:dyDescent="0.25">
      <c r="A222" s="36">
        <v>1</v>
      </c>
      <c r="B222" s="74" t="s">
        <v>88</v>
      </c>
      <c r="C222" s="119"/>
      <c r="D222" s="119"/>
      <c r="E222" s="119"/>
      <c r="F222" s="119"/>
      <c r="G222" s="345"/>
      <c r="H222" s="345"/>
      <c r="I222" s="345"/>
      <c r="J222" s="155"/>
      <c r="K222" s="106"/>
    </row>
    <row r="223" spans="1:12" ht="30" x14ac:dyDescent="0.25">
      <c r="A223" s="36">
        <v>1</v>
      </c>
      <c r="B223" s="228" t="s">
        <v>120</v>
      </c>
      <c r="C223" s="114">
        <f>SUM(C224:C225)</f>
        <v>1933</v>
      </c>
      <c r="D223" s="114">
        <f>SUM(D224:D225)</f>
        <v>645</v>
      </c>
      <c r="E223" s="114">
        <f>SUM(E224:E225)</f>
        <v>582</v>
      </c>
      <c r="F223" s="114">
        <f t="shared" ref="F223:F228" si="96">E223/D223*100</f>
        <v>90.232558139534873</v>
      </c>
      <c r="G223" s="345">
        <f>SUM(G224:G225)</f>
        <v>2873.1963399999995</v>
      </c>
      <c r="H223" s="345">
        <f>SUM(H224:H225)</f>
        <v>957.74</v>
      </c>
      <c r="I223" s="345">
        <f>SUM(I224:I225)</f>
        <v>545.32944999999995</v>
      </c>
      <c r="J223" s="114">
        <f t="shared" ref="J223:J229" si="97">I223/H223*100</f>
        <v>56.939195397498274</v>
      </c>
      <c r="K223" s="106"/>
    </row>
    <row r="224" spans="1:12" ht="30" x14ac:dyDescent="0.25">
      <c r="A224" s="36">
        <v>1</v>
      </c>
      <c r="B224" s="72" t="s">
        <v>79</v>
      </c>
      <c r="C224" s="114">
        <v>1487</v>
      </c>
      <c r="D224" s="108">
        <f>ROUND(C224/12*$B$3,0)</f>
        <v>496</v>
      </c>
      <c r="E224" s="114">
        <v>484</v>
      </c>
      <c r="F224" s="114">
        <f t="shared" si="96"/>
        <v>97.58064516129032</v>
      </c>
      <c r="G224" s="345">
        <v>2137.0957999999996</v>
      </c>
      <c r="H224" s="345">
        <f t="shared" ref="H224:H225" si="98">ROUND(G224/12*$B$3,2)</f>
        <v>712.37</v>
      </c>
      <c r="I224" s="345">
        <v>412.65464999999995</v>
      </c>
      <c r="J224" s="114">
        <f t="shared" si="97"/>
        <v>57.927011244156823</v>
      </c>
      <c r="K224" s="106"/>
    </row>
    <row r="225" spans="1:12" ht="30" x14ac:dyDescent="0.25">
      <c r="A225" s="36">
        <v>1</v>
      </c>
      <c r="B225" s="72" t="s">
        <v>80</v>
      </c>
      <c r="C225" s="114">
        <v>446</v>
      </c>
      <c r="D225" s="108">
        <f>ROUND(C225/12*$B$3,0)</f>
        <v>149</v>
      </c>
      <c r="E225" s="114">
        <v>98</v>
      </c>
      <c r="F225" s="114">
        <f t="shared" si="96"/>
        <v>65.771812080536918</v>
      </c>
      <c r="G225" s="360">
        <v>736.10054000000002</v>
      </c>
      <c r="H225" s="345">
        <f t="shared" si="98"/>
        <v>245.37</v>
      </c>
      <c r="I225" s="360">
        <v>132.67479999999998</v>
      </c>
      <c r="J225" s="114">
        <f t="shared" si="97"/>
        <v>54.071320862371095</v>
      </c>
      <c r="K225" s="106"/>
    </row>
    <row r="226" spans="1:12" ht="30" x14ac:dyDescent="0.25">
      <c r="A226" s="36">
        <v>1</v>
      </c>
      <c r="B226" s="228" t="s">
        <v>112</v>
      </c>
      <c r="C226" s="175">
        <f>SUM(C227)</f>
        <v>60</v>
      </c>
      <c r="D226" s="175">
        <f t="shared" ref="D226:I226" si="99">SUM(D227)</f>
        <v>20</v>
      </c>
      <c r="E226" s="175">
        <f t="shared" si="99"/>
        <v>2</v>
      </c>
      <c r="F226" s="114">
        <f t="shared" si="96"/>
        <v>10</v>
      </c>
      <c r="G226" s="360">
        <f>SUM(G227)</f>
        <v>106.026</v>
      </c>
      <c r="H226" s="360">
        <f t="shared" si="99"/>
        <v>35.340000000000003</v>
      </c>
      <c r="I226" s="360">
        <f t="shared" si="99"/>
        <v>3.4708599999999996</v>
      </c>
      <c r="J226" s="360">
        <f t="shared" si="97"/>
        <v>9.821335597057157</v>
      </c>
      <c r="K226" s="106"/>
    </row>
    <row r="227" spans="1:12" ht="30" x14ac:dyDescent="0.25">
      <c r="A227" s="36">
        <v>1</v>
      </c>
      <c r="B227" s="287" t="s">
        <v>108</v>
      </c>
      <c r="C227" s="175">
        <v>60</v>
      </c>
      <c r="D227" s="301">
        <f>ROUND(C227/12*$B$3,0)</f>
        <v>20</v>
      </c>
      <c r="E227" s="175">
        <v>2</v>
      </c>
      <c r="F227" s="175">
        <f t="shared" si="96"/>
        <v>10</v>
      </c>
      <c r="G227" s="360">
        <f>106026/1000</f>
        <v>106.026</v>
      </c>
      <c r="H227" s="360">
        <f t="shared" ref="H227:H228" si="100">ROUND(G227/12*$B$3,2)</f>
        <v>35.340000000000003</v>
      </c>
      <c r="I227" s="360">
        <v>3.4708599999999996</v>
      </c>
      <c r="J227" s="360">
        <f t="shared" si="97"/>
        <v>9.821335597057157</v>
      </c>
      <c r="K227" s="106"/>
    </row>
    <row r="228" spans="1:12" s="107" customFormat="1" ht="31.5" customHeight="1" thickBot="1" x14ac:dyDescent="0.3">
      <c r="A228" s="36">
        <v>1</v>
      </c>
      <c r="B228" s="117" t="s">
        <v>123</v>
      </c>
      <c r="C228" s="114">
        <v>1500</v>
      </c>
      <c r="D228" s="108">
        <f>ROUND(C228/12*$B$3,0)</f>
        <v>500</v>
      </c>
      <c r="E228" s="114">
        <v>573</v>
      </c>
      <c r="F228" s="114">
        <f t="shared" si="96"/>
        <v>114.6</v>
      </c>
      <c r="G228" s="597">
        <v>1216.53</v>
      </c>
      <c r="H228" s="597">
        <f t="shared" si="100"/>
        <v>405.51</v>
      </c>
      <c r="I228" s="360">
        <v>461.81538</v>
      </c>
      <c r="J228" s="116">
        <f t="shared" si="97"/>
        <v>113.88507804986314</v>
      </c>
      <c r="K228" s="106"/>
      <c r="L228" s="725"/>
    </row>
    <row r="229" spans="1:12" ht="15.75" thickBot="1" x14ac:dyDescent="0.3">
      <c r="A229" s="36">
        <v>1</v>
      </c>
      <c r="B229" s="120" t="s">
        <v>3</v>
      </c>
      <c r="C229" s="427"/>
      <c r="D229" s="427"/>
      <c r="E229" s="427"/>
      <c r="F229" s="611"/>
      <c r="G229" s="624">
        <f>G223+G226+G228</f>
        <v>4195.7523399999991</v>
      </c>
      <c r="H229" s="624">
        <f>H223+H226+H228</f>
        <v>1398.5900000000001</v>
      </c>
      <c r="I229" s="624">
        <f>I223+I226+I228</f>
        <v>1010.61569</v>
      </c>
      <c r="J229" s="427">
        <f t="shared" si="97"/>
        <v>72.259610750827605</v>
      </c>
      <c r="K229" s="106"/>
    </row>
    <row r="230" spans="1:12" ht="15" customHeight="1" x14ac:dyDescent="0.25">
      <c r="A230" s="36">
        <v>1</v>
      </c>
      <c r="B230" s="82"/>
      <c r="C230" s="115"/>
      <c r="D230" s="115"/>
      <c r="E230" s="115"/>
      <c r="F230" s="635"/>
      <c r="G230" s="357"/>
      <c r="H230" s="357"/>
      <c r="I230" s="357"/>
      <c r="J230" s="632"/>
      <c r="K230" s="106"/>
    </row>
    <row r="231" spans="1:12" ht="38.25" customHeight="1" x14ac:dyDescent="0.25">
      <c r="A231" s="36">
        <v>1</v>
      </c>
      <c r="B231" s="189" t="s">
        <v>89</v>
      </c>
      <c r="C231" s="114"/>
      <c r="D231" s="114"/>
      <c r="E231" s="114"/>
      <c r="F231" s="114"/>
      <c r="G231" s="348"/>
      <c r="H231" s="348"/>
      <c r="I231" s="348"/>
      <c r="J231" s="114"/>
      <c r="K231" s="106"/>
    </row>
    <row r="232" spans="1:12" ht="30" x14ac:dyDescent="0.25">
      <c r="A232" s="36">
        <v>1</v>
      </c>
      <c r="B232" s="228" t="s">
        <v>120</v>
      </c>
      <c r="C232" s="114">
        <f>SUM(C233:C234)</f>
        <v>1338</v>
      </c>
      <c r="D232" s="114">
        <f>SUM(D233:D234)</f>
        <v>446</v>
      </c>
      <c r="E232" s="114">
        <f>SUM(E233:E234)</f>
        <v>456</v>
      </c>
      <c r="F232" s="114">
        <f t="shared" ref="F232:F237" si="101">E232/D232*100</f>
        <v>102.24215246636771</v>
      </c>
      <c r="G232" s="597">
        <f>SUM(G233:G234)</f>
        <v>1478.7047299999999</v>
      </c>
      <c r="H232" s="597">
        <f>SUM(H233:H234)</f>
        <v>492.90999999999997</v>
      </c>
      <c r="I232" s="597">
        <f>SUM(I233:I234)</f>
        <v>432.25623999999999</v>
      </c>
      <c r="J232" s="114">
        <f t="shared" ref="J232:J238" si="102">I232/H232*100</f>
        <v>87.69475969243878</v>
      </c>
      <c r="K232" s="106"/>
    </row>
    <row r="233" spans="1:12" ht="30" x14ac:dyDescent="0.25">
      <c r="A233" s="36">
        <v>1</v>
      </c>
      <c r="B233" s="72" t="s">
        <v>79</v>
      </c>
      <c r="C233" s="114">
        <v>1029</v>
      </c>
      <c r="D233" s="108">
        <f>ROUND(C233/12*$B$3,0)</f>
        <v>343</v>
      </c>
      <c r="E233" s="114">
        <v>369</v>
      </c>
      <c r="F233" s="114">
        <f t="shared" si="101"/>
        <v>107.58017492711369</v>
      </c>
      <c r="G233" s="597">
        <v>1048.5454</v>
      </c>
      <c r="H233" s="597">
        <f t="shared" ref="H233:H234" si="103">ROUND(G233/12*$B$3,2)</f>
        <v>349.52</v>
      </c>
      <c r="I233" s="597">
        <v>324.09744999999998</v>
      </c>
      <c r="J233" s="114">
        <f t="shared" si="102"/>
        <v>92.726439116502632</v>
      </c>
      <c r="K233" s="106"/>
    </row>
    <row r="234" spans="1:12" ht="30" x14ac:dyDescent="0.25">
      <c r="A234" s="36">
        <v>1</v>
      </c>
      <c r="B234" s="72" t="s">
        <v>80</v>
      </c>
      <c r="C234" s="114">
        <v>309</v>
      </c>
      <c r="D234" s="108">
        <f>ROUND(C234/12*$B$3,0)</f>
        <v>103</v>
      </c>
      <c r="E234" s="114">
        <v>87</v>
      </c>
      <c r="F234" s="114">
        <f t="shared" si="101"/>
        <v>84.466019417475721</v>
      </c>
      <c r="G234" s="597">
        <v>430.15933000000007</v>
      </c>
      <c r="H234" s="597">
        <f t="shared" si="103"/>
        <v>143.38999999999999</v>
      </c>
      <c r="I234" s="597">
        <v>108.15879000000001</v>
      </c>
      <c r="J234" s="114">
        <f t="shared" si="102"/>
        <v>75.429799846572294</v>
      </c>
      <c r="K234" s="106"/>
    </row>
    <row r="235" spans="1:12" ht="30" x14ac:dyDescent="0.25">
      <c r="A235" s="36">
        <v>1</v>
      </c>
      <c r="B235" s="228" t="s">
        <v>112</v>
      </c>
      <c r="C235" s="175">
        <f>SUM(C236)</f>
        <v>400</v>
      </c>
      <c r="D235" s="175">
        <f t="shared" ref="D235:I235" si="104">SUM(D236)</f>
        <v>133</v>
      </c>
      <c r="E235" s="175">
        <f t="shared" si="104"/>
        <v>160</v>
      </c>
      <c r="F235" s="114">
        <f t="shared" si="101"/>
        <v>120.30075187969925</v>
      </c>
      <c r="G235" s="597">
        <f>SUM(G236)</f>
        <v>706.84</v>
      </c>
      <c r="H235" s="597">
        <f t="shared" si="104"/>
        <v>235.61</v>
      </c>
      <c r="I235" s="597">
        <f t="shared" si="104"/>
        <v>287.72117999999995</v>
      </c>
      <c r="J235" s="114">
        <f t="shared" si="102"/>
        <v>122.11755867747547</v>
      </c>
      <c r="K235" s="106"/>
    </row>
    <row r="236" spans="1:12" ht="30" x14ac:dyDescent="0.25">
      <c r="A236" s="36">
        <v>1</v>
      </c>
      <c r="B236" s="287" t="s">
        <v>108</v>
      </c>
      <c r="C236" s="175">
        <v>400</v>
      </c>
      <c r="D236" s="301">
        <f>ROUND(C236/12*$B$3,0)</f>
        <v>133</v>
      </c>
      <c r="E236" s="175">
        <v>160</v>
      </c>
      <c r="F236" s="175">
        <f t="shared" si="101"/>
        <v>120.30075187969925</v>
      </c>
      <c r="G236" s="597">
        <f>706840/1000</f>
        <v>706.84</v>
      </c>
      <c r="H236" s="597">
        <f t="shared" ref="H236:H237" si="105">ROUND(G236/12*$B$3,2)</f>
        <v>235.61</v>
      </c>
      <c r="I236" s="597">
        <v>287.72117999999995</v>
      </c>
      <c r="J236" s="622">
        <f t="shared" si="102"/>
        <v>122.11755867747547</v>
      </c>
      <c r="K236" s="106"/>
    </row>
    <row r="237" spans="1:12" s="107" customFormat="1" ht="31.5" customHeight="1" thickBot="1" x14ac:dyDescent="0.3">
      <c r="A237" s="36">
        <v>1</v>
      </c>
      <c r="B237" s="117" t="s">
        <v>123</v>
      </c>
      <c r="C237" s="114">
        <v>370</v>
      </c>
      <c r="D237" s="108">
        <f>ROUND(C237/12*$B$3,0)</f>
        <v>123</v>
      </c>
      <c r="E237" s="114">
        <v>204</v>
      </c>
      <c r="F237" s="114">
        <f t="shared" si="101"/>
        <v>165.85365853658536</v>
      </c>
      <c r="G237" s="597">
        <v>300.07739999999995</v>
      </c>
      <c r="H237" s="597">
        <f t="shared" si="105"/>
        <v>100.03</v>
      </c>
      <c r="I237" s="597">
        <v>165.44808</v>
      </c>
      <c r="J237" s="114">
        <f t="shared" si="102"/>
        <v>165.39846046186145</v>
      </c>
      <c r="K237" s="106"/>
      <c r="L237" s="725"/>
    </row>
    <row r="238" spans="1:12" ht="15.75" thickBot="1" x14ac:dyDescent="0.3">
      <c r="A238" s="36">
        <v>1</v>
      </c>
      <c r="B238" s="294" t="s">
        <v>3</v>
      </c>
      <c r="C238" s="340"/>
      <c r="D238" s="340"/>
      <c r="E238" s="340"/>
      <c r="F238" s="339"/>
      <c r="G238" s="388">
        <f>G232+G235+G237</f>
        <v>2485.6221300000002</v>
      </c>
      <c r="H238" s="388">
        <f>H232+H235+H237</f>
        <v>828.55</v>
      </c>
      <c r="I238" s="388">
        <f>I232+I235+I237</f>
        <v>885.42549999999994</v>
      </c>
      <c r="J238" s="340">
        <f t="shared" si="102"/>
        <v>106.86446201194859</v>
      </c>
      <c r="K238" s="106"/>
    </row>
    <row r="239" spans="1:12" ht="15" customHeight="1" thickBot="1" x14ac:dyDescent="0.3">
      <c r="A239" s="36">
        <v>1</v>
      </c>
      <c r="B239" s="82"/>
      <c r="C239" s="84"/>
      <c r="D239" s="84"/>
      <c r="E239" s="115"/>
      <c r="F239" s="52"/>
      <c r="G239" s="390"/>
      <c r="H239" s="390"/>
      <c r="I239" s="357"/>
      <c r="J239" s="69"/>
      <c r="K239" s="106"/>
    </row>
    <row r="240" spans="1:12" ht="15" customHeight="1" x14ac:dyDescent="0.25">
      <c r="A240" s="36">
        <v>1</v>
      </c>
      <c r="B240" s="280" t="s">
        <v>34</v>
      </c>
      <c r="C240" s="281"/>
      <c r="D240" s="281"/>
      <c r="E240" s="282"/>
      <c r="F240" s="281"/>
      <c r="G240" s="391"/>
      <c r="H240" s="391"/>
      <c r="I240" s="361"/>
      <c r="J240" s="281"/>
      <c r="K240" s="106"/>
    </row>
    <row r="241" spans="1:12" s="107" customFormat="1" ht="33.75" customHeight="1" x14ac:dyDescent="0.25">
      <c r="A241" s="36">
        <v>1</v>
      </c>
      <c r="B241" s="454" t="s">
        <v>120</v>
      </c>
      <c r="C241" s="313">
        <f>SUM(C232,C223,C210,C201,C187,C177,C167,C157,C147,C138,C125,C115,C102,C89,C80,C71,C62,C51,C30,C41)</f>
        <v>136098</v>
      </c>
      <c r="D241" s="313">
        <f>SUM(D232,D223,D210,D201,D187,D177,D167,D157,D147,D138,D125,D115,D102,D89,D80,D71,D62,D51,D30,D41)</f>
        <v>45368</v>
      </c>
      <c r="E241" s="313">
        <f>SUM(E232,E223,E210,E201,E187,E177,E167,E157,E147,E138,E125,E115,E102,E89,E80,E71,E62,E51,E30,E41)</f>
        <v>43342</v>
      </c>
      <c r="F241" s="295">
        <f t="shared" ref="F241:F252" si="106">E241/D241*100</f>
        <v>95.534297302063138</v>
      </c>
      <c r="G241" s="453">
        <f>SUM(G232,G223,G210,G201,G187,G177,G167,G157,G147,G138,G125,G115,G102,G89,G80,G71,G62,G51,G41,G30)</f>
        <v>194960.87882999997</v>
      </c>
      <c r="H241" s="453">
        <f>SUM(H232,H223,H210,H201,H187,H177,H167,H157,H147,H138,H125,H115,H102,H89,H80,H71,H62,H51,H41,H30)</f>
        <v>64986.950000000004</v>
      </c>
      <c r="I241" s="453">
        <f>SUM(I232,I223,I210,I201,I187,I177,I167,I157,I147,I138,I125,I115,I102,I89,I80,I71,I62,I51,I41,I30)</f>
        <v>62648.673849999999</v>
      </c>
      <c r="J241" s="453">
        <f t="shared" ref="J241:J253" si="107">I241/H241*100</f>
        <v>96.401929695115712</v>
      </c>
      <c r="K241" s="106"/>
      <c r="L241" s="725"/>
    </row>
    <row r="242" spans="1:12" s="107" customFormat="1" ht="30" customHeight="1" x14ac:dyDescent="0.25">
      <c r="A242" s="36">
        <v>1</v>
      </c>
      <c r="B242" s="296" t="s">
        <v>79</v>
      </c>
      <c r="C242" s="313">
        <f t="shared" ref="C242:E243" si="108">SUM(C233,C224,C211,C202,C188,C139,C126,C116,C103,C90,C81,C72,C63,C31)</f>
        <v>103458</v>
      </c>
      <c r="D242" s="313">
        <f t="shared" si="108"/>
        <v>34486</v>
      </c>
      <c r="E242" s="313">
        <f t="shared" si="108"/>
        <v>33188</v>
      </c>
      <c r="F242" s="295">
        <f t="shared" si="106"/>
        <v>96.236153801542656</v>
      </c>
      <c r="G242" s="453">
        <f t="shared" ref="G242:I242" si="109">SUM(G233,G224,G211,G202,G188,G139,G126,G116,G103,G90,G81,G72,G63,G31)</f>
        <v>138915.41019999998</v>
      </c>
      <c r="H242" s="453">
        <f t="shared" si="109"/>
        <v>46305.130000000005</v>
      </c>
      <c r="I242" s="453">
        <f t="shared" si="109"/>
        <v>41872.238469999997</v>
      </c>
      <c r="J242" s="453">
        <f t="shared" si="107"/>
        <v>90.426780941982017</v>
      </c>
      <c r="K242" s="106"/>
      <c r="L242" s="725"/>
    </row>
    <row r="243" spans="1:12" s="107" customFormat="1" ht="30" customHeight="1" x14ac:dyDescent="0.25">
      <c r="A243" s="36">
        <v>1</v>
      </c>
      <c r="B243" s="296" t="s">
        <v>80</v>
      </c>
      <c r="C243" s="313">
        <f t="shared" si="108"/>
        <v>31037</v>
      </c>
      <c r="D243" s="313">
        <f t="shared" si="108"/>
        <v>10345</v>
      </c>
      <c r="E243" s="313">
        <f t="shared" si="108"/>
        <v>8802</v>
      </c>
      <c r="F243" s="295">
        <f t="shared" si="106"/>
        <v>85.084581923634602</v>
      </c>
      <c r="G243" s="453">
        <f>SUM(G234,G225,G212,G203,G189,G140,G127,G117,G104,G91,G82,G73,G64,G32)</f>
        <v>47279.62343</v>
      </c>
      <c r="H243" s="453">
        <f>SUM(H234,H225,H212,H203,H189,H140,H127,H117,H104,H91,H82,H73,H64,H32)</f>
        <v>15759.880000000001</v>
      </c>
      <c r="I243" s="453">
        <f>SUM(I234,I225,I212,I203,I189,I140,I127,I117,I104,I91,I82,I73,I64,I32)</f>
        <v>13411.048130000003</v>
      </c>
      <c r="J243" s="453">
        <f t="shared" si="107"/>
        <v>85.096130998459401</v>
      </c>
      <c r="K243" s="106"/>
      <c r="L243" s="725"/>
    </row>
    <row r="244" spans="1:12" s="107" customFormat="1" ht="44.25" customHeight="1" x14ac:dyDescent="0.25">
      <c r="A244" s="36">
        <v>1</v>
      </c>
      <c r="B244" s="296" t="s">
        <v>114</v>
      </c>
      <c r="C244" s="313">
        <f>SUM(C213,C178,C168,C158,C148,C128,C105,C92,C52,C42)</f>
        <v>846</v>
      </c>
      <c r="D244" s="313">
        <f>SUM(D213,D178,D168,D158,D148,D128,D105,D92,D52,D42)</f>
        <v>283</v>
      </c>
      <c r="E244" s="313">
        <f>SUM(E213,E178,E168,E158,E148,E128,E105,E92,E52,E42)</f>
        <v>732</v>
      </c>
      <c r="F244" s="295">
        <f t="shared" si="106"/>
        <v>258.65724381625444</v>
      </c>
      <c r="G244" s="453">
        <f>SUM(G213,G178,G168,G158,G148,G128,G105,G92,G52,G42)</f>
        <v>4626.2663999999995</v>
      </c>
      <c r="H244" s="453">
        <f>SUM(H213,H178,H168,H158,H148,H128,H105,H92,H52,H42)</f>
        <v>1542.0800000000002</v>
      </c>
      <c r="I244" s="453">
        <f>SUM(I213,I178,I168,I158,I148,I128,I105,I92,I52,I42)</f>
        <v>4002.8688000000002</v>
      </c>
      <c r="J244" s="453">
        <f t="shared" si="107"/>
        <v>259.57594936708858</v>
      </c>
      <c r="K244" s="106"/>
      <c r="L244" s="725"/>
    </row>
    <row r="245" spans="1:12" s="107" customFormat="1" ht="30" customHeight="1" x14ac:dyDescent="0.25">
      <c r="A245" s="36">
        <v>1</v>
      </c>
      <c r="B245" s="296" t="s">
        <v>115</v>
      </c>
      <c r="C245" s="313">
        <f>SUM(C214,C179,C169,C159,C149,C129,C106,C93,C53,C43,C191)</f>
        <v>757</v>
      </c>
      <c r="D245" s="313">
        <f t="shared" ref="D245:E245" si="110">SUM(D214,D179,D169,D159,D149,D129,D106,D93,D53,D43,D191)</f>
        <v>254</v>
      </c>
      <c r="E245" s="313">
        <f t="shared" si="110"/>
        <v>620</v>
      </c>
      <c r="F245" s="295">
        <f t="shared" si="106"/>
        <v>244.09448818897638</v>
      </c>
      <c r="G245" s="313">
        <f t="shared" ref="G245:I245" si="111">SUM(G214,G179,G169,G159,G149,G129,G106,G93,G53,G43,G191)</f>
        <v>4139.5787999999993</v>
      </c>
      <c r="H245" s="313">
        <f t="shared" si="111"/>
        <v>1379.86</v>
      </c>
      <c r="I245" s="313">
        <f t="shared" si="111"/>
        <v>3362.5184499999996</v>
      </c>
      <c r="J245" s="453">
        <f t="shared" si="107"/>
        <v>243.68547896163381</v>
      </c>
      <c r="K245" s="106"/>
      <c r="L245" s="725"/>
    </row>
    <row r="246" spans="1:12" s="107" customFormat="1" ht="45" customHeight="1" x14ac:dyDescent="0.25">
      <c r="A246" s="36">
        <v>1</v>
      </c>
      <c r="B246" s="454" t="s">
        <v>112</v>
      </c>
      <c r="C246" s="313">
        <f>SUM(C235,C226,C215,C204,C192,C180,C170,C160,C150,C141,C130,C118,C107,C94,C83,C74,C65,C54,C44,C33)</f>
        <v>150239</v>
      </c>
      <c r="D246" s="313">
        <f>SUM(D235,D226,D215,D204,D192,D180,D170,D160,D150,D141,D130,D118,D107,D94,D83,D74,D65,D54,D44,D33)</f>
        <v>50081</v>
      </c>
      <c r="E246" s="313">
        <f>SUM(E235,E226,E215,E204,E192,E180,E170,E160,E150,E141,E130,E118,E107,E94,E83,E74,E65,E54,E44,E33)</f>
        <v>51293</v>
      </c>
      <c r="F246" s="295">
        <f t="shared" si="106"/>
        <v>102.42007947125657</v>
      </c>
      <c r="G246" s="453">
        <f>SUM(G235,G226,G215,G204,G192,G180,G170,G160,G150,G141,G130,G118,G107,G94,G83,G74,G65,G54,G44,G33)</f>
        <v>299908.21309999999</v>
      </c>
      <c r="H246" s="453">
        <f>SUM(H235,H226,H215,H204,H192,H180,H170,H160,H150,H141,H130,H118,H107,H94,H83,H74,H65,H54,H44,H33)</f>
        <v>99969.419999999984</v>
      </c>
      <c r="I246" s="453">
        <f>SUM(I235,I226,I215,I204,I192,I180,I170,I160,I150,I141,I130,I118,I107,I94,I83,I74,I65,I54,I44,I33)</f>
        <v>92723.593980000005</v>
      </c>
      <c r="J246" s="453">
        <f t="shared" si="107"/>
        <v>92.751957528612266</v>
      </c>
      <c r="K246" s="106"/>
      <c r="L246" s="725"/>
    </row>
    <row r="247" spans="1:12" s="107" customFormat="1" ht="30" x14ac:dyDescent="0.25">
      <c r="A247" s="36">
        <v>1</v>
      </c>
      <c r="B247" s="296" t="s">
        <v>108</v>
      </c>
      <c r="C247" s="313">
        <f>SUM(C236,C227,C216,C205,C193,C142,C131,C119,C108,C95,C84,C75,C66,C34)</f>
        <v>20598</v>
      </c>
      <c r="D247" s="313">
        <f>SUM(D236,D227,D216,D205,D193,D142,D131,D119,D108,D95,D84,D75,D66,D34)</f>
        <v>6866</v>
      </c>
      <c r="E247" s="313">
        <f>SUM(E236,E227,E216,E205,E193,E142,E131,E119,E108,E95,E84,E75,E66,E34)</f>
        <v>6807</v>
      </c>
      <c r="F247" s="295">
        <f t="shared" si="106"/>
        <v>99.140693271191381</v>
      </c>
      <c r="G247" s="453">
        <f>SUM(G236,G227,G216,G205,G193,G142,G131,G119,G108,G95,G84,G75,G66,G34)</f>
        <v>36398.725800000007</v>
      </c>
      <c r="H247" s="453">
        <f>SUM(H236,H227,H216,H205,H193,H142,H131,H119,H108,H95,H84,H75,H66,H34)</f>
        <v>12132.91</v>
      </c>
      <c r="I247" s="453">
        <f>SUM(I236,I227,I216,I205,I193,I142,I131,I119,I108,I95,I84,I75,I66,I34)</f>
        <v>11989.15474</v>
      </c>
      <c r="J247" s="453">
        <f t="shared" si="107"/>
        <v>98.815162561990491</v>
      </c>
      <c r="K247" s="106"/>
      <c r="L247" s="725"/>
    </row>
    <row r="248" spans="1:12" s="107" customFormat="1" ht="63.75" customHeight="1" x14ac:dyDescent="0.25">
      <c r="A248" s="36">
        <v>1</v>
      </c>
      <c r="B248" s="296" t="s">
        <v>119</v>
      </c>
      <c r="C248" s="313">
        <f>SUM(C217,C181,C171,C161,C151,C132,C109,C96,C55,C45,C194)</f>
        <v>105307</v>
      </c>
      <c r="D248" s="313">
        <f t="shared" ref="D248:E248" si="112">SUM(D217,D181,D171,D161,D151,D132,D109,D96,D55,D45,D194)</f>
        <v>35103</v>
      </c>
      <c r="E248" s="313">
        <f t="shared" si="112"/>
        <v>33627</v>
      </c>
      <c r="F248" s="295">
        <f t="shared" si="106"/>
        <v>95.795231176822497</v>
      </c>
      <c r="G248" s="453">
        <f t="shared" ref="G248:I248" si="113">SUM(G217,G181,G171,G161,G151,G132,G109,G96,G55,G45,G194)</f>
        <v>243133.47609999997</v>
      </c>
      <c r="H248" s="453">
        <f t="shared" si="113"/>
        <v>81044.500000000015</v>
      </c>
      <c r="I248" s="453">
        <f t="shared" si="113"/>
        <v>70701.292440000019</v>
      </c>
      <c r="J248" s="453">
        <f t="shared" si="107"/>
        <v>87.237619381944498</v>
      </c>
      <c r="K248" s="106"/>
      <c r="L248" s="725"/>
    </row>
    <row r="249" spans="1:12" s="107" customFormat="1" ht="45" x14ac:dyDescent="0.25">
      <c r="A249" s="36">
        <v>1</v>
      </c>
      <c r="B249" s="296" t="s">
        <v>109</v>
      </c>
      <c r="C249" s="313">
        <f>SUM(C218,C182,C172,C162,C152,C133,C110,C97,C56,C46,C195)</f>
        <v>24334</v>
      </c>
      <c r="D249" s="313">
        <f t="shared" ref="D249:E249" si="114">SUM(D218,D182,D172,D162,D152,D133,D110,D97,D56,D46,D195)</f>
        <v>8112</v>
      </c>
      <c r="E249" s="313">
        <f t="shared" si="114"/>
        <v>10859</v>
      </c>
      <c r="F249" s="295">
        <f t="shared" si="106"/>
        <v>133.86341222879685</v>
      </c>
      <c r="G249" s="453">
        <f t="shared" ref="G249:I249" si="115">SUM(G218,G182,G172,G162,G152,G133,G110,G97,G56,G46,G195)</f>
        <v>20376.011200000001</v>
      </c>
      <c r="H249" s="453">
        <f t="shared" si="115"/>
        <v>6792.0100000000011</v>
      </c>
      <c r="I249" s="453">
        <f t="shared" si="115"/>
        <v>10033.1468</v>
      </c>
      <c r="J249" s="453">
        <f t="shared" si="107"/>
        <v>147.71984729115533</v>
      </c>
      <c r="K249" s="106"/>
      <c r="L249" s="725"/>
    </row>
    <row r="250" spans="1:12" s="107" customFormat="1" ht="38.25" customHeight="1" x14ac:dyDescent="0.25">
      <c r="A250" s="36">
        <v>1</v>
      </c>
      <c r="B250" s="395" t="s">
        <v>123</v>
      </c>
      <c r="C250" s="402">
        <f>SUM(C237,C228,C219,C206,C196,C183,C173,C163,C153,C143,C134,C120,C111,C98,C85,C76,C67,C57,C47,C35)</f>
        <v>295944.8</v>
      </c>
      <c r="D250" s="402">
        <f>SUM(D237,D228,D219,D206,D196,D183,D173,D163,D153,D143,D134,D120,D111,D98,D85,D76,D67,D57,D47,D35)</f>
        <v>98647</v>
      </c>
      <c r="E250" s="402">
        <f>SUM(E237,E228,E219,E206,E196,E183,E173,E163,E153,E143,E134,E120,E111,E98,E85,E76,E67,E57,E47,E35)</f>
        <v>102002</v>
      </c>
      <c r="F250" s="295">
        <f t="shared" si="106"/>
        <v>103.40101574300282</v>
      </c>
      <c r="G250" s="402">
        <f>SUM(G237,G228,G219,G206,G196,G183,G173,G163,G153,G143,G134,G120,G111,G98,G85,G76,G67,G57,G47,G35)</f>
        <v>240017.31389999998</v>
      </c>
      <c r="H250" s="402">
        <f>SUM(H237,H228,H219,H206,H196,H183,H173,H163,H153,H143,H134,H120,H111,H98,H85,H76,H67,H57,H47,H35)</f>
        <v>80005.780000000013</v>
      </c>
      <c r="I250" s="402">
        <f>SUM(I237,I228,I219,I206,I196,I183,I173,I163,I153,I143,I134,I120,I111,I98,I85,I76,I67,I57,I47,I35)</f>
        <v>82359.86096000002</v>
      </c>
      <c r="J250" s="584">
        <f t="shared" si="107"/>
        <v>102.94238861242275</v>
      </c>
      <c r="K250" s="106"/>
      <c r="L250" s="725"/>
    </row>
    <row r="251" spans="1:12" s="107" customFormat="1" ht="30.75" customHeight="1" x14ac:dyDescent="0.25">
      <c r="A251" s="36">
        <v>1</v>
      </c>
      <c r="B251" s="395" t="s">
        <v>124</v>
      </c>
      <c r="C251" s="402">
        <f>SUM(C121,C36)</f>
        <v>25864.400000000001</v>
      </c>
      <c r="D251" s="402">
        <f>SUM(D121,D36)</f>
        <v>8621</v>
      </c>
      <c r="E251" s="402">
        <f>SUM(E121,E36)</f>
        <v>8269</v>
      </c>
      <c r="F251" s="295">
        <f t="shared" si="106"/>
        <v>95.916946989908354</v>
      </c>
      <c r="G251" s="402">
        <f>SUM(G121,G36)</f>
        <v>20976.617719373913</v>
      </c>
      <c r="H251" s="402">
        <f>SUM(H121,H36)</f>
        <v>6992.21</v>
      </c>
      <c r="I251" s="402">
        <f>SUM(I121,I36)</f>
        <v>6689.1340399999999</v>
      </c>
      <c r="J251" s="584">
        <f t="shared" si="107"/>
        <v>95.665519771288331</v>
      </c>
      <c r="K251" s="106"/>
      <c r="L251" s="725"/>
    </row>
    <row r="252" spans="1:12" s="107" customFormat="1" ht="26.25" customHeight="1" thickBot="1" x14ac:dyDescent="0.3">
      <c r="A252" s="36">
        <v>1</v>
      </c>
      <c r="B252" s="395" t="s">
        <v>125</v>
      </c>
      <c r="C252" s="402">
        <f>SUM(C197,C58,C37)</f>
        <v>9471.6</v>
      </c>
      <c r="D252" s="402">
        <f>SUM(D197,D58,D37)</f>
        <v>3158</v>
      </c>
      <c r="E252" s="402">
        <f>SUM(E197,E58,E37)</f>
        <v>4068</v>
      </c>
      <c r="F252" s="295">
        <f t="shared" si="106"/>
        <v>128.81570614312855</v>
      </c>
      <c r="G252" s="402">
        <f>SUM(G197,G58,G37)</f>
        <v>7681.7064666208862</v>
      </c>
      <c r="H252" s="402">
        <f>SUM(H197,H58,H37)</f>
        <v>2560.5700000000002</v>
      </c>
      <c r="I252" s="402">
        <f>SUM(I197,I58,I37)</f>
        <v>3295.0084999999999</v>
      </c>
      <c r="J252" s="584">
        <f t="shared" si="107"/>
        <v>128.68261754218787</v>
      </c>
      <c r="K252" s="106"/>
      <c r="L252" s="725"/>
    </row>
    <row r="253" spans="1:12" s="107" customFormat="1" ht="15" customHeight="1" thickBot="1" x14ac:dyDescent="0.3">
      <c r="A253" s="36">
        <v>1</v>
      </c>
      <c r="B253" s="396" t="s">
        <v>116</v>
      </c>
      <c r="C253" s="403">
        <f>SUM(C238,C229,C220,C207,C198,C184,C174,C164,C154,C144,C135,C122,C112,C99,C86,C77,C68,C59,C48,C38)</f>
        <v>0</v>
      </c>
      <c r="D253" s="403">
        <f>SUM(D238,D229,D220,D207,D198,D184,D174,D164,D154,D144,D135,D122,D112,D99,D86,D77,D68,D59,D48,D38)</f>
        <v>0</v>
      </c>
      <c r="E253" s="403">
        <f>SUM(E238,E229,E220,E207,E198,E184,E174,E164,E154,E144,E135,E122,E112,E99,E86,E77,E68,E59,E48,E38)</f>
        <v>0</v>
      </c>
      <c r="F253" s="432">
        <f>SUM(F220,F184,F174,F135,F112,F99,F59,F48)</f>
        <v>0</v>
      </c>
      <c r="G253" s="405">
        <f>SUM(G238,G229,G220,G207,G198,G184,G174,G164,G154,G144,G135,G122,G112,G99,G86,G77,G68,G59,G48,G38)</f>
        <v>734886.40583000006</v>
      </c>
      <c r="H253" s="405">
        <f>SUM(H238,H229,H220,H207,H198,H184,H174,H164,H154,H144,H135,H122,H112,H99,H86,H77,H68,H59,H48,H38)</f>
        <v>244962.14999999997</v>
      </c>
      <c r="I253" s="405">
        <f>SUM(I238,I229,I220,I207,I198,I184,I174,I164,I154,I144,I135,I122,I112,I99,I86,I77,I68,I59,I48,I38)</f>
        <v>237732.12878999996</v>
      </c>
      <c r="J253" s="404">
        <f t="shared" si="107"/>
        <v>97.048514960372444</v>
      </c>
      <c r="K253" s="106"/>
      <c r="L253" s="725"/>
    </row>
    <row r="254" spans="1:12" ht="15" customHeight="1" x14ac:dyDescent="0.25">
      <c r="A254" s="36">
        <v>1</v>
      </c>
      <c r="B254" s="6"/>
      <c r="C254" s="304"/>
      <c r="D254" s="304"/>
      <c r="E254" s="304"/>
      <c r="F254" s="69"/>
      <c r="G254" s="362"/>
      <c r="H254" s="362"/>
      <c r="I254" s="362"/>
      <c r="J254" s="32"/>
      <c r="K254" s="106"/>
    </row>
    <row r="255" spans="1:12" ht="15" customHeight="1" thickBot="1" x14ac:dyDescent="0.3">
      <c r="A255" s="36">
        <v>1</v>
      </c>
      <c r="B255" s="202" t="s">
        <v>90</v>
      </c>
      <c r="C255" s="146"/>
      <c r="D255" s="146"/>
      <c r="E255" s="146"/>
      <c r="F255" s="146"/>
      <c r="G255" s="363"/>
      <c r="H255" s="363"/>
      <c r="I255" s="363"/>
      <c r="J255" s="652"/>
      <c r="K255" s="106"/>
    </row>
    <row r="256" spans="1:12" ht="29.25" customHeight="1" x14ac:dyDescent="0.25">
      <c r="A256" s="36">
        <v>1</v>
      </c>
      <c r="B256" s="118" t="s">
        <v>36</v>
      </c>
      <c r="C256" s="124"/>
      <c r="D256" s="124"/>
      <c r="E256" s="124"/>
      <c r="F256" s="124"/>
      <c r="G256" s="653"/>
      <c r="H256" s="653"/>
      <c r="I256" s="355"/>
      <c r="J256" s="124"/>
      <c r="K256" s="106"/>
    </row>
    <row r="257" spans="1:12" ht="30.75" customHeight="1" x14ac:dyDescent="0.25">
      <c r="A257" s="36">
        <v>1</v>
      </c>
      <c r="B257" s="228" t="s">
        <v>120</v>
      </c>
      <c r="C257" s="114">
        <f>SUM(C258:C261)</f>
        <v>2987</v>
      </c>
      <c r="D257" s="114">
        <f>SUM(D258:D261)</f>
        <v>995</v>
      </c>
      <c r="E257" s="114">
        <f>SUM(E258:E261)</f>
        <v>657</v>
      </c>
      <c r="F257" s="114">
        <f t="shared" ref="F257:F266" si="116">E257/D257*100</f>
        <v>66.030150753768851</v>
      </c>
      <c r="G257" s="597">
        <f>SUM(G258:G261)</f>
        <v>5092.2485500000003</v>
      </c>
      <c r="H257" s="597">
        <f>SUM(H258:H261)</f>
        <v>1697.41</v>
      </c>
      <c r="I257" s="597">
        <f>SUM(I258:I261)</f>
        <v>792.66564999999991</v>
      </c>
      <c r="J257" s="114">
        <f t="shared" ref="J257:J268" si="117">I257/H257*100</f>
        <v>46.698537772253012</v>
      </c>
      <c r="K257" s="106"/>
    </row>
    <row r="258" spans="1:12" ht="31.5" customHeight="1" x14ac:dyDescent="0.25">
      <c r="A258" s="36">
        <v>1</v>
      </c>
      <c r="B258" s="72" t="s">
        <v>79</v>
      </c>
      <c r="C258" s="114">
        <v>2121</v>
      </c>
      <c r="D258" s="108">
        <f t="shared" ref="D258:D267" si="118">ROUND(C258/12*$B$3,0)</f>
        <v>707</v>
      </c>
      <c r="E258" s="114">
        <v>657</v>
      </c>
      <c r="F258" s="114">
        <f t="shared" si="116"/>
        <v>92.927864214992923</v>
      </c>
      <c r="G258" s="597">
        <v>2919.2939999999999</v>
      </c>
      <c r="H258" s="597">
        <f t="shared" ref="H258:H261" si="119">ROUND(G258/12*$B$3,2)</f>
        <v>973.1</v>
      </c>
      <c r="I258" s="597">
        <v>810.86140999999986</v>
      </c>
      <c r="J258" s="114">
        <f t="shared" si="117"/>
        <v>83.327654917274671</v>
      </c>
      <c r="K258" s="106"/>
    </row>
    <row r="259" spans="1:12" ht="30" customHeight="1" x14ac:dyDescent="0.25">
      <c r="A259" s="36">
        <v>1</v>
      </c>
      <c r="B259" s="72" t="s">
        <v>80</v>
      </c>
      <c r="C259" s="114">
        <v>636</v>
      </c>
      <c r="D259" s="108">
        <f t="shared" si="118"/>
        <v>212</v>
      </c>
      <c r="E259" s="114">
        <v>0</v>
      </c>
      <c r="F259" s="114">
        <f t="shared" si="116"/>
        <v>0</v>
      </c>
      <c r="G259" s="597">
        <v>915.22255000000007</v>
      </c>
      <c r="H259" s="597">
        <f t="shared" si="119"/>
        <v>305.07</v>
      </c>
      <c r="I259" s="597">
        <v>-18.19576</v>
      </c>
      <c r="J259" s="114">
        <f t="shared" si="117"/>
        <v>-5.9644540597239972</v>
      </c>
      <c r="K259" s="106"/>
    </row>
    <row r="260" spans="1:12" ht="28.5" customHeight="1" x14ac:dyDescent="0.25">
      <c r="A260" s="36">
        <v>1</v>
      </c>
      <c r="B260" s="72" t="s">
        <v>114</v>
      </c>
      <c r="C260" s="114">
        <v>130</v>
      </c>
      <c r="D260" s="108">
        <f t="shared" si="118"/>
        <v>43</v>
      </c>
      <c r="E260" s="114">
        <v>0</v>
      </c>
      <c r="F260" s="114">
        <f t="shared" si="116"/>
        <v>0</v>
      </c>
      <c r="G260" s="597">
        <v>710.89200000000005</v>
      </c>
      <c r="H260" s="597">
        <f t="shared" si="119"/>
        <v>236.96</v>
      </c>
      <c r="I260" s="597">
        <v>0</v>
      </c>
      <c r="J260" s="114">
        <f t="shared" si="117"/>
        <v>0</v>
      </c>
      <c r="K260" s="106"/>
    </row>
    <row r="261" spans="1:12" ht="33.75" customHeight="1" x14ac:dyDescent="0.25">
      <c r="A261" s="36">
        <v>1</v>
      </c>
      <c r="B261" s="72" t="s">
        <v>115</v>
      </c>
      <c r="C261" s="114">
        <v>100</v>
      </c>
      <c r="D261" s="108">
        <f t="shared" si="118"/>
        <v>33</v>
      </c>
      <c r="E261" s="114">
        <v>0</v>
      </c>
      <c r="F261" s="114">
        <f t="shared" si="116"/>
        <v>0</v>
      </c>
      <c r="G261" s="597">
        <v>546.84</v>
      </c>
      <c r="H261" s="597">
        <f t="shared" si="119"/>
        <v>182.28</v>
      </c>
      <c r="I261" s="597">
        <v>0</v>
      </c>
      <c r="J261" s="114">
        <f t="shared" si="117"/>
        <v>0</v>
      </c>
      <c r="K261" s="106"/>
    </row>
    <row r="262" spans="1:12" ht="30" x14ac:dyDescent="0.25">
      <c r="A262" s="36">
        <v>1</v>
      </c>
      <c r="B262" s="228" t="s">
        <v>112</v>
      </c>
      <c r="C262" s="114">
        <f>SUM(C263:C265)</f>
        <v>6270</v>
      </c>
      <c r="D262" s="114">
        <f>SUM(D263:D265)</f>
        <v>2090</v>
      </c>
      <c r="E262" s="114">
        <f>SUM(E263:E265)</f>
        <v>377</v>
      </c>
      <c r="F262" s="114">
        <f t="shared" si="116"/>
        <v>18.038277511961724</v>
      </c>
      <c r="G262" s="597">
        <f>SUM(G263:G265)</f>
        <v>11715.552</v>
      </c>
      <c r="H262" s="597">
        <f>SUM(H263:H265)</f>
        <v>3905.1800000000003</v>
      </c>
      <c r="I262" s="597">
        <f>SUM(I263:I265)</f>
        <v>548.15764999999999</v>
      </c>
      <c r="J262" s="114">
        <f t="shared" si="117"/>
        <v>14.036680767595858</v>
      </c>
      <c r="K262" s="106"/>
    </row>
    <row r="263" spans="1:12" ht="30" x14ac:dyDescent="0.25">
      <c r="A263" s="36">
        <v>1</v>
      </c>
      <c r="B263" s="72" t="s">
        <v>108</v>
      </c>
      <c r="C263" s="114">
        <v>720</v>
      </c>
      <c r="D263" s="108">
        <f t="shared" si="118"/>
        <v>240</v>
      </c>
      <c r="E263" s="114">
        <v>229</v>
      </c>
      <c r="F263" s="114">
        <f t="shared" si="116"/>
        <v>95.416666666666671</v>
      </c>
      <c r="G263" s="597">
        <f>1272312/1000</f>
        <v>1272.3119999999999</v>
      </c>
      <c r="H263" s="597">
        <f t="shared" ref="H263:H267" si="120">ROUND(G263/12*$B$3,2)</f>
        <v>424.1</v>
      </c>
      <c r="I263" s="597">
        <v>408.00538999999998</v>
      </c>
      <c r="J263" s="114">
        <f t="shared" si="117"/>
        <v>96.204996463098311</v>
      </c>
      <c r="K263" s="106"/>
    </row>
    <row r="264" spans="1:12" ht="43.5" customHeight="1" x14ac:dyDescent="0.25">
      <c r="A264" s="36">
        <v>1</v>
      </c>
      <c r="B264" s="72" t="s">
        <v>118</v>
      </c>
      <c r="C264" s="114">
        <v>4000</v>
      </c>
      <c r="D264" s="108">
        <f t="shared" si="118"/>
        <v>1333</v>
      </c>
      <c r="E264" s="114">
        <v>50</v>
      </c>
      <c r="F264" s="114">
        <f t="shared" si="116"/>
        <v>3.7509377344336086</v>
      </c>
      <c r="G264" s="597">
        <f>9177200/1000</f>
        <v>9177.2000000000007</v>
      </c>
      <c r="H264" s="597">
        <f t="shared" si="120"/>
        <v>3059.07</v>
      </c>
      <c r="I264" s="597">
        <v>67.314549999999997</v>
      </c>
      <c r="J264" s="114">
        <f t="shared" si="117"/>
        <v>2.2004906720016213</v>
      </c>
      <c r="K264" s="106"/>
    </row>
    <row r="265" spans="1:12" ht="28.5" customHeight="1" x14ac:dyDescent="0.25">
      <c r="A265" s="36">
        <v>1</v>
      </c>
      <c r="B265" s="72" t="s">
        <v>109</v>
      </c>
      <c r="C265" s="114">
        <v>1550</v>
      </c>
      <c r="D265" s="108">
        <f t="shared" si="118"/>
        <v>517</v>
      </c>
      <c r="E265" s="114">
        <v>98</v>
      </c>
      <c r="F265" s="114">
        <f t="shared" si="116"/>
        <v>18.955512572533848</v>
      </c>
      <c r="G265" s="597">
        <f>1266040/1000</f>
        <v>1266.04</v>
      </c>
      <c r="H265" s="597">
        <f t="shared" si="120"/>
        <v>422.01</v>
      </c>
      <c r="I265" s="597">
        <v>72.837709999999987</v>
      </c>
      <c r="J265" s="114">
        <f t="shared" si="117"/>
        <v>17.259711855169307</v>
      </c>
      <c r="K265" s="106"/>
    </row>
    <row r="266" spans="1:12" s="107" customFormat="1" ht="33" customHeight="1" x14ac:dyDescent="0.25">
      <c r="A266" s="36">
        <v>1</v>
      </c>
      <c r="B266" s="117" t="s">
        <v>123</v>
      </c>
      <c r="C266" s="114">
        <v>10781</v>
      </c>
      <c r="D266" s="108">
        <f t="shared" si="118"/>
        <v>3594</v>
      </c>
      <c r="E266" s="114">
        <v>3355</v>
      </c>
      <c r="F266" s="114">
        <f t="shared" si="116"/>
        <v>93.350027824151354</v>
      </c>
      <c r="G266" s="597">
        <v>8743.6066199999987</v>
      </c>
      <c r="H266" s="597">
        <f t="shared" si="120"/>
        <v>2914.54</v>
      </c>
      <c r="I266" s="597">
        <v>2685.7956999999997</v>
      </c>
      <c r="J266" s="114">
        <f t="shared" si="117"/>
        <v>92.151615692356245</v>
      </c>
      <c r="K266" s="106"/>
      <c r="L266" s="725"/>
    </row>
    <row r="267" spans="1:12" s="107" customFormat="1" ht="23.25" customHeight="1" thickBot="1" x14ac:dyDescent="0.3">
      <c r="A267" s="36"/>
      <c r="B267" s="668" t="s">
        <v>125</v>
      </c>
      <c r="C267" s="622"/>
      <c r="D267" s="621">
        <f t="shared" si="118"/>
        <v>0</v>
      </c>
      <c r="E267" s="622">
        <v>0</v>
      </c>
      <c r="F267" s="622"/>
      <c r="G267" s="658"/>
      <c r="H267" s="658">
        <f t="shared" si="120"/>
        <v>0</v>
      </c>
      <c r="I267" s="658">
        <v>-4.0454400000000001</v>
      </c>
      <c r="J267" s="622" t="e">
        <f>I267/E267*100</f>
        <v>#DIV/0!</v>
      </c>
      <c r="K267" s="106"/>
      <c r="L267" s="725"/>
    </row>
    <row r="268" spans="1:12" s="13" customFormat="1" ht="15.75" thickBot="1" x14ac:dyDescent="0.3">
      <c r="A268" s="36">
        <v>1</v>
      </c>
      <c r="B268" s="205" t="s">
        <v>3</v>
      </c>
      <c r="C268" s="340"/>
      <c r="D268" s="340"/>
      <c r="E268" s="340"/>
      <c r="F268" s="339"/>
      <c r="G268" s="389">
        <f>G262+G257+G266</f>
        <v>25551.407169999999</v>
      </c>
      <c r="H268" s="389">
        <f>H262+H257+H266</f>
        <v>8517.130000000001</v>
      </c>
      <c r="I268" s="389">
        <f>I262+I257+I266</f>
        <v>4026.6189999999997</v>
      </c>
      <c r="J268" s="340">
        <f t="shared" si="117"/>
        <v>47.276711756190167</v>
      </c>
      <c r="K268" s="106"/>
      <c r="L268" s="725"/>
    </row>
    <row r="269" spans="1:12" ht="15" customHeight="1" thickBot="1" x14ac:dyDescent="0.3">
      <c r="A269" s="36">
        <v>1</v>
      </c>
      <c r="B269" s="36"/>
      <c r="C269" s="206"/>
      <c r="D269" s="206"/>
      <c r="E269" s="206"/>
      <c r="F269" s="433"/>
      <c r="G269" s="392"/>
      <c r="H269" s="392"/>
      <c r="I269" s="364"/>
      <c r="J269" s="207"/>
      <c r="K269" s="106"/>
    </row>
    <row r="270" spans="1:12" ht="15" customHeight="1" x14ac:dyDescent="0.25">
      <c r="A270" s="36">
        <v>1</v>
      </c>
      <c r="B270" s="288" t="s">
        <v>38</v>
      </c>
      <c r="C270" s="289"/>
      <c r="D270" s="289"/>
      <c r="E270" s="289"/>
      <c r="F270" s="289"/>
      <c r="G270" s="365"/>
      <c r="H270" s="365"/>
      <c r="I270" s="365"/>
      <c r="J270" s="290"/>
      <c r="K270" s="106"/>
    </row>
    <row r="271" spans="1:12" ht="45.75" customHeight="1" x14ac:dyDescent="0.25">
      <c r="A271" s="36">
        <v>1</v>
      </c>
      <c r="B271" s="209" t="s">
        <v>120</v>
      </c>
      <c r="C271" s="210">
        <f t="shared" ref="C271:I279" si="121">C257</f>
        <v>2987</v>
      </c>
      <c r="D271" s="210">
        <f t="shared" si="121"/>
        <v>995</v>
      </c>
      <c r="E271" s="210">
        <f t="shared" si="121"/>
        <v>657</v>
      </c>
      <c r="F271" s="434">
        <f t="shared" si="121"/>
        <v>66.030150753768851</v>
      </c>
      <c r="G271" s="452">
        <f t="shared" si="121"/>
        <v>5092.2485500000003</v>
      </c>
      <c r="H271" s="452">
        <f t="shared" si="121"/>
        <v>1697.41</v>
      </c>
      <c r="I271" s="452">
        <f t="shared" si="121"/>
        <v>792.66564999999991</v>
      </c>
      <c r="J271" s="210">
        <f t="shared" ref="J271:J278" si="122">I271/H271*100</f>
        <v>46.698537772253012</v>
      </c>
      <c r="K271" s="106"/>
    </row>
    <row r="272" spans="1:12" ht="32.25" customHeight="1" x14ac:dyDescent="0.25">
      <c r="A272" s="36">
        <v>1</v>
      </c>
      <c r="B272" s="208" t="s">
        <v>79</v>
      </c>
      <c r="C272" s="210">
        <f t="shared" si="121"/>
        <v>2121</v>
      </c>
      <c r="D272" s="210">
        <f t="shared" si="121"/>
        <v>707</v>
      </c>
      <c r="E272" s="210">
        <f t="shared" si="121"/>
        <v>657</v>
      </c>
      <c r="F272" s="434">
        <f t="shared" si="121"/>
        <v>92.927864214992923</v>
      </c>
      <c r="G272" s="452">
        <f t="shared" si="121"/>
        <v>2919.2939999999999</v>
      </c>
      <c r="H272" s="452">
        <f t="shared" si="121"/>
        <v>973.1</v>
      </c>
      <c r="I272" s="452">
        <f t="shared" si="121"/>
        <v>810.86140999999986</v>
      </c>
      <c r="J272" s="452">
        <f t="shared" si="122"/>
        <v>83.327654917274671</v>
      </c>
      <c r="K272" s="106"/>
    </row>
    <row r="273" spans="1:12" ht="38.25" customHeight="1" x14ac:dyDescent="0.25">
      <c r="A273" s="36">
        <v>1</v>
      </c>
      <c r="B273" s="208" t="s">
        <v>80</v>
      </c>
      <c r="C273" s="210">
        <f t="shared" si="121"/>
        <v>636</v>
      </c>
      <c r="D273" s="210">
        <f t="shared" si="121"/>
        <v>212</v>
      </c>
      <c r="E273" s="210">
        <f t="shared" si="121"/>
        <v>0</v>
      </c>
      <c r="F273" s="434">
        <f t="shared" si="121"/>
        <v>0</v>
      </c>
      <c r="G273" s="452">
        <f t="shared" si="121"/>
        <v>915.22255000000007</v>
      </c>
      <c r="H273" s="452">
        <f t="shared" si="121"/>
        <v>305.07</v>
      </c>
      <c r="I273" s="452">
        <f t="shared" si="121"/>
        <v>-18.19576</v>
      </c>
      <c r="J273" s="210">
        <f t="shared" si="122"/>
        <v>-5.9644540597239972</v>
      </c>
      <c r="K273" s="106"/>
    </row>
    <row r="274" spans="1:12" ht="51" customHeight="1" x14ac:dyDescent="0.25">
      <c r="A274" s="36">
        <v>1</v>
      </c>
      <c r="B274" s="208" t="s">
        <v>114</v>
      </c>
      <c r="C274" s="210">
        <f t="shared" si="121"/>
        <v>130</v>
      </c>
      <c r="D274" s="210">
        <f t="shared" si="121"/>
        <v>43</v>
      </c>
      <c r="E274" s="210">
        <f t="shared" si="121"/>
        <v>0</v>
      </c>
      <c r="F274" s="434">
        <f t="shared" si="121"/>
        <v>0</v>
      </c>
      <c r="G274" s="452">
        <f t="shared" si="121"/>
        <v>710.89200000000005</v>
      </c>
      <c r="H274" s="452">
        <f t="shared" si="121"/>
        <v>236.96</v>
      </c>
      <c r="I274" s="452">
        <f t="shared" si="121"/>
        <v>0</v>
      </c>
      <c r="J274" s="210">
        <f t="shared" si="122"/>
        <v>0</v>
      </c>
      <c r="K274" s="106"/>
    </row>
    <row r="275" spans="1:12" ht="38.25" customHeight="1" x14ac:dyDescent="0.25">
      <c r="A275" s="36">
        <v>1</v>
      </c>
      <c r="B275" s="208" t="s">
        <v>115</v>
      </c>
      <c r="C275" s="210">
        <f t="shared" si="121"/>
        <v>100</v>
      </c>
      <c r="D275" s="210">
        <f t="shared" si="121"/>
        <v>33</v>
      </c>
      <c r="E275" s="210">
        <f t="shared" si="121"/>
        <v>0</v>
      </c>
      <c r="F275" s="434">
        <f t="shared" si="121"/>
        <v>0</v>
      </c>
      <c r="G275" s="452">
        <f t="shared" si="121"/>
        <v>546.84</v>
      </c>
      <c r="H275" s="452">
        <f t="shared" si="121"/>
        <v>182.28</v>
      </c>
      <c r="I275" s="452">
        <f t="shared" si="121"/>
        <v>0</v>
      </c>
      <c r="J275" s="210">
        <f t="shared" si="122"/>
        <v>0</v>
      </c>
      <c r="K275" s="106"/>
    </row>
    <row r="276" spans="1:12" ht="30" x14ac:dyDescent="0.25">
      <c r="A276" s="36">
        <v>1</v>
      </c>
      <c r="B276" s="209" t="s">
        <v>112</v>
      </c>
      <c r="C276" s="210">
        <f t="shared" si="121"/>
        <v>6270</v>
      </c>
      <c r="D276" s="210">
        <f t="shared" si="121"/>
        <v>2090</v>
      </c>
      <c r="E276" s="210">
        <f t="shared" si="121"/>
        <v>377</v>
      </c>
      <c r="F276" s="434">
        <f t="shared" si="121"/>
        <v>18.038277511961724</v>
      </c>
      <c r="G276" s="452">
        <f t="shared" si="121"/>
        <v>11715.552</v>
      </c>
      <c r="H276" s="452">
        <f t="shared" si="121"/>
        <v>3905.1800000000003</v>
      </c>
      <c r="I276" s="452">
        <f t="shared" si="121"/>
        <v>548.15764999999999</v>
      </c>
      <c r="J276" s="210">
        <f t="shared" si="122"/>
        <v>14.036680767595858</v>
      </c>
      <c r="K276" s="106"/>
    </row>
    <row r="277" spans="1:12" ht="30" x14ac:dyDescent="0.25">
      <c r="A277" s="36">
        <v>1</v>
      </c>
      <c r="B277" s="208" t="s">
        <v>108</v>
      </c>
      <c r="C277" s="210">
        <f t="shared" si="121"/>
        <v>720</v>
      </c>
      <c r="D277" s="210">
        <f t="shared" si="121"/>
        <v>240</v>
      </c>
      <c r="E277" s="210">
        <f t="shared" si="121"/>
        <v>229</v>
      </c>
      <c r="F277" s="434">
        <f t="shared" si="121"/>
        <v>95.416666666666671</v>
      </c>
      <c r="G277" s="452">
        <f t="shared" si="121"/>
        <v>1272.3119999999999</v>
      </c>
      <c r="H277" s="452">
        <f t="shared" si="121"/>
        <v>424.1</v>
      </c>
      <c r="I277" s="452">
        <f t="shared" si="121"/>
        <v>408.00538999999998</v>
      </c>
      <c r="J277" s="210">
        <f>J263</f>
        <v>96.204996463098311</v>
      </c>
      <c r="K277" s="106"/>
    </row>
    <row r="278" spans="1:12" ht="44.25" customHeight="1" x14ac:dyDescent="0.25">
      <c r="A278" s="36">
        <v>1</v>
      </c>
      <c r="B278" s="208" t="s">
        <v>81</v>
      </c>
      <c r="C278" s="210">
        <f t="shared" si="121"/>
        <v>4000</v>
      </c>
      <c r="D278" s="210">
        <f t="shared" si="121"/>
        <v>1333</v>
      </c>
      <c r="E278" s="210">
        <f t="shared" si="121"/>
        <v>50</v>
      </c>
      <c r="F278" s="434">
        <f t="shared" si="121"/>
        <v>3.7509377344336086</v>
      </c>
      <c r="G278" s="452">
        <f t="shared" si="121"/>
        <v>9177.2000000000007</v>
      </c>
      <c r="H278" s="452">
        <f t="shared" si="121"/>
        <v>3059.07</v>
      </c>
      <c r="I278" s="452">
        <f t="shared" si="121"/>
        <v>67.314549999999997</v>
      </c>
      <c r="J278" s="210">
        <f t="shared" si="122"/>
        <v>2.2004906720016213</v>
      </c>
      <c r="K278" s="106"/>
    </row>
    <row r="279" spans="1:12" ht="44.25" customHeight="1" x14ac:dyDescent="0.25">
      <c r="A279" s="36">
        <v>1</v>
      </c>
      <c r="B279" s="208" t="s">
        <v>109</v>
      </c>
      <c r="C279" s="210">
        <f t="shared" si="121"/>
        <v>1550</v>
      </c>
      <c r="D279" s="210">
        <f t="shared" si="121"/>
        <v>517</v>
      </c>
      <c r="E279" s="210">
        <f t="shared" si="121"/>
        <v>98</v>
      </c>
      <c r="F279" s="434">
        <f t="shared" si="121"/>
        <v>18.955512572533848</v>
      </c>
      <c r="G279" s="452">
        <f t="shared" si="121"/>
        <v>1266.04</v>
      </c>
      <c r="H279" s="452">
        <f t="shared" si="121"/>
        <v>422.01</v>
      </c>
      <c r="I279" s="452">
        <f t="shared" si="121"/>
        <v>72.837709999999987</v>
      </c>
      <c r="J279" s="210">
        <f>J265</f>
        <v>17.259711855169307</v>
      </c>
      <c r="K279" s="106"/>
    </row>
    <row r="280" spans="1:12" ht="38.25" customHeight="1" x14ac:dyDescent="0.25">
      <c r="B280" s="208" t="s">
        <v>123</v>
      </c>
      <c r="C280" s="670">
        <f t="shared" ref="C280:J281" si="123">SUM(C266)</f>
        <v>10781</v>
      </c>
      <c r="D280" s="670">
        <f t="shared" si="123"/>
        <v>3594</v>
      </c>
      <c r="E280" s="670">
        <f t="shared" si="123"/>
        <v>3355</v>
      </c>
      <c r="F280" s="670">
        <f t="shared" si="123"/>
        <v>93.350027824151354</v>
      </c>
      <c r="G280" s="670">
        <f t="shared" si="123"/>
        <v>8743.6066199999987</v>
      </c>
      <c r="H280" s="670">
        <f t="shared" si="123"/>
        <v>2914.54</v>
      </c>
      <c r="I280" s="670">
        <f t="shared" si="123"/>
        <v>2685.7956999999997</v>
      </c>
      <c r="J280" s="670">
        <f t="shared" si="123"/>
        <v>92.151615692356245</v>
      </c>
      <c r="K280" s="106"/>
    </row>
    <row r="281" spans="1:12" ht="28.5" customHeight="1" thickBot="1" x14ac:dyDescent="0.3">
      <c r="B281" s="669" t="s">
        <v>125</v>
      </c>
      <c r="C281" s="670">
        <f t="shared" si="123"/>
        <v>0</v>
      </c>
      <c r="D281" s="670">
        <f t="shared" si="123"/>
        <v>0</v>
      </c>
      <c r="E281" s="670">
        <f t="shared" si="123"/>
        <v>0</v>
      </c>
      <c r="F281" s="670">
        <f t="shared" si="123"/>
        <v>0</v>
      </c>
      <c r="G281" s="670">
        <f t="shared" si="123"/>
        <v>0</v>
      </c>
      <c r="H281" s="670">
        <f t="shared" si="123"/>
        <v>0</v>
      </c>
      <c r="I281" s="670">
        <f t="shared" si="123"/>
        <v>-4.0454400000000001</v>
      </c>
      <c r="J281" s="670" t="e">
        <f t="shared" si="123"/>
        <v>#DIV/0!</v>
      </c>
      <c r="K281" s="106"/>
    </row>
    <row r="282" spans="1:12" s="34" customFormat="1" ht="17.25" customHeight="1" thickBot="1" x14ac:dyDescent="0.3">
      <c r="A282" s="36">
        <v>1</v>
      </c>
      <c r="B282" s="398" t="s">
        <v>117</v>
      </c>
      <c r="C282" s="399"/>
      <c r="D282" s="399"/>
      <c r="E282" s="399"/>
      <c r="F282" s="400"/>
      <c r="G282" s="401">
        <f>G268</f>
        <v>25551.407169999999</v>
      </c>
      <c r="H282" s="401">
        <f>H268</f>
        <v>8517.130000000001</v>
      </c>
      <c r="I282" s="401">
        <f>I268</f>
        <v>4026.6189999999997</v>
      </c>
      <c r="J282" s="401">
        <f>J268</f>
        <v>47.276711756190167</v>
      </c>
      <c r="K282" s="106"/>
      <c r="L282" s="725"/>
    </row>
    <row r="283" spans="1:12" s="34" customFormat="1" ht="17.25" customHeight="1" x14ac:dyDescent="0.25">
      <c r="A283" s="36">
        <v>1</v>
      </c>
      <c r="B283" s="204"/>
      <c r="C283" s="305"/>
      <c r="D283" s="305"/>
      <c r="E283" s="305"/>
      <c r="F283" s="69"/>
      <c r="G283" s="366"/>
      <c r="H283" s="366"/>
      <c r="I283" s="366"/>
      <c r="J283" s="41"/>
      <c r="K283" s="106"/>
      <c r="L283" s="725"/>
    </row>
    <row r="284" spans="1:12" ht="29.25" x14ac:dyDescent="0.25">
      <c r="A284" s="36">
        <v>1</v>
      </c>
      <c r="B284" s="306" t="s">
        <v>39</v>
      </c>
      <c r="C284" s="599"/>
      <c r="D284" s="143"/>
      <c r="E284" s="143"/>
      <c r="F284" s="143"/>
      <c r="G284" s="367"/>
      <c r="H284" s="367"/>
      <c r="I284" s="367"/>
      <c r="J284" s="148"/>
      <c r="K284" s="106"/>
    </row>
    <row r="285" spans="1:12" ht="36" customHeight="1" x14ac:dyDescent="0.25">
      <c r="A285" s="36">
        <v>1</v>
      </c>
      <c r="B285" s="455" t="s">
        <v>120</v>
      </c>
      <c r="C285" s="114">
        <f>SUM(C286:C289)</f>
        <v>4015</v>
      </c>
      <c r="D285" s="114">
        <f>SUM(D286:D289)</f>
        <v>1338</v>
      </c>
      <c r="E285" s="114">
        <f>SUM(E286:E289)</f>
        <v>298</v>
      </c>
      <c r="F285" s="119">
        <f t="shared" ref="F285:F293" si="124">E285/D285*100</f>
        <v>22.272047832585951</v>
      </c>
      <c r="G285" s="597">
        <f>SUM(G286:G289)</f>
        <v>7369.6050500000001</v>
      </c>
      <c r="H285" s="597">
        <f>SUM(H286:H289)</f>
        <v>2456.54</v>
      </c>
      <c r="I285" s="597">
        <f>SUM(I286:I289)</f>
        <v>511.8152399999999</v>
      </c>
      <c r="J285" s="114">
        <f t="shared" ref="J285:J296" si="125">I285/H285*100</f>
        <v>20.834801794393737</v>
      </c>
      <c r="K285" s="106"/>
    </row>
    <row r="286" spans="1:12" ht="31.5" customHeight="1" x14ac:dyDescent="0.25">
      <c r="A286" s="36">
        <v>1</v>
      </c>
      <c r="B286" s="72" t="s">
        <v>79</v>
      </c>
      <c r="C286" s="114">
        <v>2788</v>
      </c>
      <c r="D286" s="108">
        <f t="shared" ref="D286:D293" si="126">ROUND(C286/12*$B$3,0)</f>
        <v>929</v>
      </c>
      <c r="E286" s="114">
        <v>266</v>
      </c>
      <c r="F286" s="119">
        <f t="shared" si="124"/>
        <v>28.632938643702904</v>
      </c>
      <c r="G286" s="597">
        <v>3965.808</v>
      </c>
      <c r="H286" s="597">
        <f t="shared" ref="H286:H289" si="127">ROUND(G286/12*$B$3,2)</f>
        <v>1321.94</v>
      </c>
      <c r="I286" s="597">
        <v>343.19110999999998</v>
      </c>
      <c r="J286" s="114">
        <f t="shared" si="125"/>
        <v>25.961171460126781</v>
      </c>
      <c r="K286" s="106"/>
    </row>
    <row r="287" spans="1:12" ht="33" customHeight="1" x14ac:dyDescent="0.25">
      <c r="A287" s="36">
        <v>1</v>
      </c>
      <c r="B287" s="72" t="s">
        <v>80</v>
      </c>
      <c r="C287" s="114">
        <v>837</v>
      </c>
      <c r="D287" s="108">
        <f t="shared" si="126"/>
        <v>279</v>
      </c>
      <c r="E287" s="114">
        <v>1</v>
      </c>
      <c r="F287" s="119">
        <f t="shared" si="124"/>
        <v>0.35842293906810035</v>
      </c>
      <c r="G287" s="597">
        <v>1271.12105</v>
      </c>
      <c r="H287" s="597">
        <f t="shared" si="127"/>
        <v>423.71</v>
      </c>
      <c r="I287" s="597">
        <v>-0.8962699999999999</v>
      </c>
      <c r="J287" s="114">
        <f t="shared" si="125"/>
        <v>-0.21152911189256801</v>
      </c>
      <c r="K287" s="106"/>
    </row>
    <row r="288" spans="1:12" ht="30" x14ac:dyDescent="0.25">
      <c r="A288" s="36">
        <v>1</v>
      </c>
      <c r="B288" s="72" t="s">
        <v>114</v>
      </c>
      <c r="C288" s="114">
        <v>160</v>
      </c>
      <c r="D288" s="108">
        <f t="shared" si="126"/>
        <v>53</v>
      </c>
      <c r="E288" s="114">
        <v>21</v>
      </c>
      <c r="F288" s="119">
        <f t="shared" si="124"/>
        <v>39.622641509433961</v>
      </c>
      <c r="G288" s="597">
        <v>874.94399999999996</v>
      </c>
      <c r="H288" s="597">
        <f t="shared" si="127"/>
        <v>291.64999999999998</v>
      </c>
      <c r="I288" s="597">
        <v>114.8364</v>
      </c>
      <c r="J288" s="114">
        <f t="shared" si="125"/>
        <v>39.37472998457055</v>
      </c>
      <c r="K288" s="106"/>
    </row>
    <row r="289" spans="1:12" ht="34.5" customHeight="1" x14ac:dyDescent="0.25">
      <c r="A289" s="36">
        <v>1</v>
      </c>
      <c r="B289" s="72" t="s">
        <v>115</v>
      </c>
      <c r="C289" s="114">
        <v>230</v>
      </c>
      <c r="D289" s="108">
        <f t="shared" si="126"/>
        <v>77</v>
      </c>
      <c r="E289" s="114">
        <v>10</v>
      </c>
      <c r="F289" s="119">
        <f t="shared" si="124"/>
        <v>12.987012987012985</v>
      </c>
      <c r="G289" s="597">
        <v>1257.732</v>
      </c>
      <c r="H289" s="597">
        <f t="shared" si="127"/>
        <v>419.24</v>
      </c>
      <c r="I289" s="597">
        <v>54.683999999999997</v>
      </c>
      <c r="J289" s="114">
        <f t="shared" si="125"/>
        <v>13.043602709665109</v>
      </c>
      <c r="K289" s="106"/>
    </row>
    <row r="290" spans="1:12" ht="44.25" customHeight="1" x14ac:dyDescent="0.25">
      <c r="A290" s="36">
        <v>1</v>
      </c>
      <c r="B290" s="228" t="s">
        <v>112</v>
      </c>
      <c r="C290" s="114">
        <f>SUM(C291:C293)</f>
        <v>5859</v>
      </c>
      <c r="D290" s="114">
        <f>SUM(D291:D293)</f>
        <v>1953</v>
      </c>
      <c r="E290" s="114">
        <f>SUM(E291:E293)</f>
        <v>1404</v>
      </c>
      <c r="F290" s="119">
        <f t="shared" si="124"/>
        <v>71.889400921658989</v>
      </c>
      <c r="G290" s="597">
        <f>SUM(G291:G293)</f>
        <v>12236.931200000001</v>
      </c>
      <c r="H290" s="597">
        <f>SUM(H291:H293)</f>
        <v>4078.97</v>
      </c>
      <c r="I290" s="597">
        <f>SUM(I291:I293)</f>
        <v>3830.2751400000002</v>
      </c>
      <c r="J290" s="114">
        <f t="shared" si="125"/>
        <v>93.902998551104815</v>
      </c>
      <c r="K290" s="106"/>
    </row>
    <row r="291" spans="1:12" ht="30" x14ac:dyDescent="0.25">
      <c r="A291" s="36">
        <v>1</v>
      </c>
      <c r="B291" s="72" t="s">
        <v>108</v>
      </c>
      <c r="C291" s="114">
        <v>1000</v>
      </c>
      <c r="D291" s="108">
        <f t="shared" si="126"/>
        <v>333</v>
      </c>
      <c r="E291" s="114">
        <v>156</v>
      </c>
      <c r="F291" s="119">
        <f t="shared" si="124"/>
        <v>46.846846846846844</v>
      </c>
      <c r="G291" s="597">
        <f>1767100/1000</f>
        <v>1767.1</v>
      </c>
      <c r="H291" s="597">
        <f t="shared" ref="H291:H295" si="128">ROUND(G291/12*$B$3,2)</f>
        <v>589.03</v>
      </c>
      <c r="I291" s="597">
        <v>283.96679999999998</v>
      </c>
      <c r="J291" s="114">
        <f t="shared" si="125"/>
        <v>48.209225336570292</v>
      </c>
      <c r="K291" s="106"/>
    </row>
    <row r="292" spans="1:12" ht="45" customHeight="1" x14ac:dyDescent="0.25">
      <c r="A292" s="36">
        <v>1</v>
      </c>
      <c r="B292" s="72" t="s">
        <v>118</v>
      </c>
      <c r="C292" s="114">
        <v>4400</v>
      </c>
      <c r="D292" s="108">
        <f t="shared" si="126"/>
        <v>1467</v>
      </c>
      <c r="E292" s="114">
        <v>1235</v>
      </c>
      <c r="F292" s="119">
        <f t="shared" si="124"/>
        <v>84.185412406271297</v>
      </c>
      <c r="G292" s="597">
        <f>10094920/1000</f>
        <v>10094.92</v>
      </c>
      <c r="H292" s="597">
        <f t="shared" si="128"/>
        <v>3364.97</v>
      </c>
      <c r="I292" s="597">
        <v>3536.3948</v>
      </c>
      <c r="J292" s="114">
        <f t="shared" si="125"/>
        <v>105.09439311494606</v>
      </c>
      <c r="K292" s="106"/>
    </row>
    <row r="293" spans="1:12" ht="45" customHeight="1" x14ac:dyDescent="0.25">
      <c r="A293" s="36">
        <v>1</v>
      </c>
      <c r="B293" s="72" t="s">
        <v>109</v>
      </c>
      <c r="C293" s="114">
        <v>459</v>
      </c>
      <c r="D293" s="108">
        <f t="shared" si="126"/>
        <v>153</v>
      </c>
      <c r="E293" s="114">
        <v>13</v>
      </c>
      <c r="F293" s="119">
        <f t="shared" si="124"/>
        <v>8.4967320261437909</v>
      </c>
      <c r="G293" s="597">
        <f>374911.2/1000</f>
        <v>374.91120000000001</v>
      </c>
      <c r="H293" s="597">
        <f t="shared" si="128"/>
        <v>124.97</v>
      </c>
      <c r="I293" s="597">
        <v>9.9135400000000011</v>
      </c>
      <c r="J293" s="114">
        <f t="shared" si="125"/>
        <v>7.9327358566055866</v>
      </c>
      <c r="K293" s="106"/>
    </row>
    <row r="294" spans="1:12" s="107" customFormat="1" ht="30" x14ac:dyDescent="0.25">
      <c r="B294" s="117" t="s">
        <v>123</v>
      </c>
      <c r="C294" s="114">
        <v>12363</v>
      </c>
      <c r="D294" s="108">
        <f>ROUND(C294/12*$B$3,0)</f>
        <v>4121</v>
      </c>
      <c r="E294" s="114">
        <v>1841</v>
      </c>
      <c r="F294" s="119">
        <f>E294/D294*100</f>
        <v>44.673622907061393</v>
      </c>
      <c r="G294" s="597">
        <v>10026.64026</v>
      </c>
      <c r="H294" s="597">
        <f t="shared" si="128"/>
        <v>3342.21</v>
      </c>
      <c r="I294" s="597">
        <v>1489.6972999999998</v>
      </c>
      <c r="J294" s="114">
        <f>I294/H294*100</f>
        <v>44.572223169699086</v>
      </c>
      <c r="K294" s="106"/>
      <c r="L294" s="725"/>
    </row>
    <row r="295" spans="1:12" s="107" customFormat="1" ht="15.75" thickBot="1" x14ac:dyDescent="0.3">
      <c r="B295" s="668" t="s">
        <v>125</v>
      </c>
      <c r="C295" s="622">
        <v>6500</v>
      </c>
      <c r="D295" s="108">
        <f>ROUND(C295/12*$B$3,0)</f>
        <v>2167</v>
      </c>
      <c r="E295" s="622">
        <v>371</v>
      </c>
      <c r="F295" s="141">
        <f>E295/D295*100</f>
        <v>17.120443008767882</v>
      </c>
      <c r="G295" s="658">
        <v>5271.63</v>
      </c>
      <c r="H295" s="597">
        <f t="shared" si="128"/>
        <v>1757.21</v>
      </c>
      <c r="I295" s="658">
        <v>298.8657</v>
      </c>
      <c r="J295" s="114">
        <f>I295/H295*100</f>
        <v>17.007967175238019</v>
      </c>
      <c r="K295" s="106"/>
      <c r="L295" s="725"/>
    </row>
    <row r="296" spans="1:12" s="13" customFormat="1" ht="15.75" thickBot="1" x14ac:dyDescent="0.3">
      <c r="A296" s="36">
        <v>1</v>
      </c>
      <c r="B296" s="112" t="s">
        <v>3</v>
      </c>
      <c r="C296" s="340"/>
      <c r="D296" s="340"/>
      <c r="E296" s="340"/>
      <c r="F296" s="381"/>
      <c r="G296" s="389">
        <f>G290+G285+G294</f>
        <v>29633.176510000001</v>
      </c>
      <c r="H296" s="389">
        <f>H290+H285+H294</f>
        <v>9877.7200000000012</v>
      </c>
      <c r="I296" s="389">
        <f>I290+I285+I294</f>
        <v>5831.7876799999995</v>
      </c>
      <c r="J296" s="340">
        <f t="shared" si="125"/>
        <v>59.039815665963388</v>
      </c>
      <c r="K296" s="106"/>
      <c r="L296" s="725"/>
    </row>
    <row r="297" spans="1:12" ht="35.25" customHeight="1" x14ac:dyDescent="0.25">
      <c r="A297" s="36">
        <v>1</v>
      </c>
      <c r="B297" s="406" t="s">
        <v>37</v>
      </c>
      <c r="C297" s="407"/>
      <c r="D297" s="407"/>
      <c r="E297" s="407"/>
      <c r="F297" s="435"/>
      <c r="G297" s="408"/>
      <c r="H297" s="408"/>
      <c r="I297" s="408"/>
      <c r="J297" s="409"/>
      <c r="K297" s="106"/>
    </row>
    <row r="298" spans="1:12" ht="30" x14ac:dyDescent="0.25">
      <c r="A298" s="36">
        <v>1</v>
      </c>
      <c r="B298" s="224" t="s">
        <v>120</v>
      </c>
      <c r="C298" s="216">
        <f t="shared" ref="C298:J308" si="129">C285</f>
        <v>4015</v>
      </c>
      <c r="D298" s="216">
        <f t="shared" si="129"/>
        <v>1338</v>
      </c>
      <c r="E298" s="216">
        <f t="shared" si="129"/>
        <v>298</v>
      </c>
      <c r="F298" s="436">
        <f t="shared" si="129"/>
        <v>22.272047832585951</v>
      </c>
      <c r="G298" s="451">
        <f t="shared" si="129"/>
        <v>7369.6050500000001</v>
      </c>
      <c r="H298" s="451">
        <f t="shared" si="129"/>
        <v>2456.54</v>
      </c>
      <c r="I298" s="451">
        <f t="shared" si="129"/>
        <v>511.8152399999999</v>
      </c>
      <c r="J298" s="215">
        <f t="shared" si="129"/>
        <v>20.834801794393737</v>
      </c>
      <c r="K298" s="106"/>
    </row>
    <row r="299" spans="1:12" ht="27" customHeight="1" x14ac:dyDescent="0.25">
      <c r="A299" s="36">
        <v>1</v>
      </c>
      <c r="B299" s="212" t="s">
        <v>79</v>
      </c>
      <c r="C299" s="216">
        <f t="shared" si="129"/>
        <v>2788</v>
      </c>
      <c r="D299" s="216">
        <f t="shared" si="129"/>
        <v>929</v>
      </c>
      <c r="E299" s="216">
        <f t="shared" si="129"/>
        <v>266</v>
      </c>
      <c r="F299" s="436">
        <f t="shared" si="129"/>
        <v>28.632938643702904</v>
      </c>
      <c r="G299" s="451">
        <f t="shared" si="129"/>
        <v>3965.808</v>
      </c>
      <c r="H299" s="451">
        <f t="shared" si="129"/>
        <v>1321.94</v>
      </c>
      <c r="I299" s="451">
        <f t="shared" si="129"/>
        <v>343.19110999999998</v>
      </c>
      <c r="J299" s="215">
        <f t="shared" si="129"/>
        <v>25.961171460126781</v>
      </c>
      <c r="K299" s="106"/>
    </row>
    <row r="300" spans="1:12" ht="27" customHeight="1" x14ac:dyDescent="0.25">
      <c r="A300" s="36">
        <v>1</v>
      </c>
      <c r="B300" s="212" t="s">
        <v>80</v>
      </c>
      <c r="C300" s="216">
        <f t="shared" si="129"/>
        <v>837</v>
      </c>
      <c r="D300" s="216">
        <f t="shared" si="129"/>
        <v>279</v>
      </c>
      <c r="E300" s="216">
        <f t="shared" si="129"/>
        <v>1</v>
      </c>
      <c r="F300" s="436">
        <f t="shared" si="129"/>
        <v>0.35842293906810035</v>
      </c>
      <c r="G300" s="451">
        <f t="shared" si="129"/>
        <v>1271.12105</v>
      </c>
      <c r="H300" s="451">
        <f t="shared" si="129"/>
        <v>423.71</v>
      </c>
      <c r="I300" s="451">
        <f t="shared" si="129"/>
        <v>-0.8962699999999999</v>
      </c>
      <c r="J300" s="215">
        <f t="shared" si="129"/>
        <v>-0.21152911189256801</v>
      </c>
      <c r="K300" s="106"/>
    </row>
    <row r="301" spans="1:12" ht="27" customHeight="1" x14ac:dyDescent="0.25">
      <c r="A301" s="36">
        <v>1</v>
      </c>
      <c r="B301" s="212" t="s">
        <v>114</v>
      </c>
      <c r="C301" s="216">
        <f t="shared" si="129"/>
        <v>160</v>
      </c>
      <c r="D301" s="216">
        <f t="shared" si="129"/>
        <v>53</v>
      </c>
      <c r="E301" s="216">
        <f t="shared" si="129"/>
        <v>21</v>
      </c>
      <c r="F301" s="436">
        <f t="shared" si="129"/>
        <v>39.622641509433961</v>
      </c>
      <c r="G301" s="451">
        <f t="shared" si="129"/>
        <v>874.94399999999996</v>
      </c>
      <c r="H301" s="451">
        <f t="shared" si="129"/>
        <v>291.64999999999998</v>
      </c>
      <c r="I301" s="451">
        <f t="shared" si="129"/>
        <v>114.8364</v>
      </c>
      <c r="J301" s="215">
        <f t="shared" si="129"/>
        <v>39.37472998457055</v>
      </c>
      <c r="K301" s="106"/>
    </row>
    <row r="302" spans="1:12" ht="27" customHeight="1" x14ac:dyDescent="0.25">
      <c r="A302" s="36">
        <v>1</v>
      </c>
      <c r="B302" s="212" t="s">
        <v>115</v>
      </c>
      <c r="C302" s="216">
        <f t="shared" si="129"/>
        <v>230</v>
      </c>
      <c r="D302" s="216">
        <f t="shared" si="129"/>
        <v>77</v>
      </c>
      <c r="E302" s="216">
        <f t="shared" si="129"/>
        <v>10</v>
      </c>
      <c r="F302" s="436">
        <f t="shared" si="129"/>
        <v>12.987012987012985</v>
      </c>
      <c r="G302" s="451">
        <f t="shared" si="129"/>
        <v>1257.732</v>
      </c>
      <c r="H302" s="451">
        <f t="shared" si="129"/>
        <v>419.24</v>
      </c>
      <c r="I302" s="451">
        <f t="shared" si="129"/>
        <v>54.683999999999997</v>
      </c>
      <c r="J302" s="215">
        <f t="shared" si="129"/>
        <v>13.043602709665109</v>
      </c>
      <c r="K302" s="106"/>
    </row>
    <row r="303" spans="1:12" ht="41.25" customHeight="1" x14ac:dyDescent="0.25">
      <c r="A303" s="36">
        <v>1</v>
      </c>
      <c r="B303" s="224" t="s">
        <v>112</v>
      </c>
      <c r="C303" s="216">
        <f t="shared" si="129"/>
        <v>5859</v>
      </c>
      <c r="D303" s="216">
        <f t="shared" si="129"/>
        <v>1953</v>
      </c>
      <c r="E303" s="216">
        <f t="shared" si="129"/>
        <v>1404</v>
      </c>
      <c r="F303" s="436">
        <f t="shared" si="129"/>
        <v>71.889400921658989</v>
      </c>
      <c r="G303" s="451">
        <f t="shared" si="129"/>
        <v>12236.931200000001</v>
      </c>
      <c r="H303" s="451">
        <f t="shared" si="129"/>
        <v>4078.97</v>
      </c>
      <c r="I303" s="451">
        <f t="shared" si="129"/>
        <v>3830.2751400000002</v>
      </c>
      <c r="J303" s="215">
        <f t="shared" si="129"/>
        <v>93.902998551104815</v>
      </c>
      <c r="K303" s="106"/>
    </row>
    <row r="304" spans="1:12" ht="30" x14ac:dyDescent="0.25">
      <c r="A304" s="36">
        <v>1</v>
      </c>
      <c r="B304" s="212" t="s">
        <v>108</v>
      </c>
      <c r="C304" s="216">
        <f t="shared" si="129"/>
        <v>1000</v>
      </c>
      <c r="D304" s="216">
        <f t="shared" si="129"/>
        <v>333</v>
      </c>
      <c r="E304" s="216">
        <f t="shared" si="129"/>
        <v>156</v>
      </c>
      <c r="F304" s="436">
        <f t="shared" si="129"/>
        <v>46.846846846846844</v>
      </c>
      <c r="G304" s="451">
        <f t="shared" si="129"/>
        <v>1767.1</v>
      </c>
      <c r="H304" s="451">
        <f t="shared" si="129"/>
        <v>589.03</v>
      </c>
      <c r="I304" s="451">
        <f t="shared" si="129"/>
        <v>283.96679999999998</v>
      </c>
      <c r="J304" s="216">
        <f t="shared" si="129"/>
        <v>48.209225336570292</v>
      </c>
      <c r="K304" s="106"/>
    </row>
    <row r="305" spans="1:12" ht="42.75" customHeight="1" x14ac:dyDescent="0.25">
      <c r="A305" s="36">
        <v>1</v>
      </c>
      <c r="B305" s="212" t="s">
        <v>81</v>
      </c>
      <c r="C305" s="216">
        <f t="shared" si="129"/>
        <v>4400</v>
      </c>
      <c r="D305" s="216">
        <f t="shared" si="129"/>
        <v>1467</v>
      </c>
      <c r="E305" s="216">
        <f t="shared" si="129"/>
        <v>1235</v>
      </c>
      <c r="F305" s="436">
        <f t="shared" si="129"/>
        <v>84.185412406271297</v>
      </c>
      <c r="G305" s="451">
        <f t="shared" si="129"/>
        <v>10094.92</v>
      </c>
      <c r="H305" s="451">
        <f t="shared" si="129"/>
        <v>3364.97</v>
      </c>
      <c r="I305" s="451">
        <f t="shared" si="129"/>
        <v>3536.3948</v>
      </c>
      <c r="J305" s="215">
        <f t="shared" si="129"/>
        <v>105.09439311494606</v>
      </c>
      <c r="K305" s="106"/>
    </row>
    <row r="306" spans="1:12" ht="42.75" customHeight="1" x14ac:dyDescent="0.25">
      <c r="A306" s="36">
        <v>1</v>
      </c>
      <c r="B306" s="212" t="s">
        <v>109</v>
      </c>
      <c r="C306" s="216">
        <f t="shared" si="129"/>
        <v>459</v>
      </c>
      <c r="D306" s="216">
        <f t="shared" si="129"/>
        <v>153</v>
      </c>
      <c r="E306" s="216">
        <f t="shared" si="129"/>
        <v>13</v>
      </c>
      <c r="F306" s="436">
        <f t="shared" si="129"/>
        <v>8.4967320261437909</v>
      </c>
      <c r="G306" s="451">
        <f t="shared" si="129"/>
        <v>374.91120000000001</v>
      </c>
      <c r="H306" s="451">
        <f t="shared" si="129"/>
        <v>124.97</v>
      </c>
      <c r="I306" s="451">
        <f t="shared" si="129"/>
        <v>9.9135400000000011</v>
      </c>
      <c r="J306" s="451">
        <f t="shared" si="129"/>
        <v>7.9327358566055866</v>
      </c>
      <c r="K306" s="106"/>
    </row>
    <row r="307" spans="1:12" ht="27" customHeight="1" x14ac:dyDescent="0.25">
      <c r="A307" s="36">
        <v>1</v>
      </c>
      <c r="B307" s="117" t="s">
        <v>123</v>
      </c>
      <c r="C307" s="410">
        <f t="shared" si="129"/>
        <v>12363</v>
      </c>
      <c r="D307" s="410">
        <f t="shared" si="129"/>
        <v>4121</v>
      </c>
      <c r="E307" s="410">
        <f t="shared" si="129"/>
        <v>1841</v>
      </c>
      <c r="F307" s="437">
        <f t="shared" si="129"/>
        <v>44.673622907061393</v>
      </c>
      <c r="G307" s="451">
        <f t="shared" si="129"/>
        <v>10026.64026</v>
      </c>
      <c r="H307" s="451">
        <f t="shared" si="129"/>
        <v>3342.21</v>
      </c>
      <c r="I307" s="451">
        <f t="shared" si="129"/>
        <v>1489.6972999999998</v>
      </c>
      <c r="J307" s="411">
        <f t="shared" si="129"/>
        <v>44.572223169699086</v>
      </c>
      <c r="K307" s="106"/>
    </row>
    <row r="308" spans="1:12" ht="27" customHeight="1" thickBot="1" x14ac:dyDescent="0.3">
      <c r="B308" s="668" t="s">
        <v>125</v>
      </c>
      <c r="C308" s="410">
        <f t="shared" si="129"/>
        <v>6500</v>
      </c>
      <c r="D308" s="410">
        <f t="shared" si="129"/>
        <v>2167</v>
      </c>
      <c r="E308" s="410">
        <f t="shared" si="129"/>
        <v>371</v>
      </c>
      <c r="F308" s="437">
        <f t="shared" si="129"/>
        <v>17.120443008767882</v>
      </c>
      <c r="G308" s="451">
        <f t="shared" si="129"/>
        <v>5271.63</v>
      </c>
      <c r="H308" s="451">
        <f t="shared" si="129"/>
        <v>1757.21</v>
      </c>
      <c r="I308" s="451">
        <f t="shared" si="129"/>
        <v>298.8657</v>
      </c>
      <c r="J308" s="411">
        <f t="shared" si="129"/>
        <v>17.007967175238019</v>
      </c>
      <c r="K308" s="106"/>
    </row>
    <row r="309" spans="1:12" s="13" customFormat="1" ht="15" customHeight="1" thickBot="1" x14ac:dyDescent="0.3">
      <c r="A309" s="36">
        <v>1</v>
      </c>
      <c r="B309" s="412" t="s">
        <v>117</v>
      </c>
      <c r="C309" s="413">
        <f t="shared" ref="C309:J309" si="130">C296</f>
        <v>0</v>
      </c>
      <c r="D309" s="413">
        <f t="shared" si="130"/>
        <v>0</v>
      </c>
      <c r="E309" s="413">
        <f t="shared" si="130"/>
        <v>0</v>
      </c>
      <c r="F309" s="438">
        <f t="shared" si="130"/>
        <v>0</v>
      </c>
      <c r="G309" s="414">
        <f t="shared" si="130"/>
        <v>29633.176510000001</v>
      </c>
      <c r="H309" s="414">
        <f t="shared" si="130"/>
        <v>9877.7200000000012</v>
      </c>
      <c r="I309" s="414">
        <f t="shared" si="130"/>
        <v>5831.7876799999995</v>
      </c>
      <c r="J309" s="413">
        <f t="shared" si="130"/>
        <v>59.039815665963388</v>
      </c>
      <c r="K309" s="106"/>
      <c r="L309" s="725"/>
    </row>
    <row r="310" spans="1:12" x14ac:dyDescent="0.25">
      <c r="A310" s="36">
        <v>1</v>
      </c>
      <c r="B310" s="214"/>
      <c r="C310" s="214"/>
      <c r="D310" s="214"/>
      <c r="E310" s="214"/>
      <c r="F310" s="214"/>
      <c r="G310" s="368"/>
      <c r="H310" s="368"/>
      <c r="I310" s="368"/>
      <c r="J310" s="214"/>
      <c r="K310" s="106"/>
    </row>
    <row r="311" spans="1:12" ht="29.25" customHeight="1" x14ac:dyDescent="0.25">
      <c r="A311" s="36">
        <v>1</v>
      </c>
      <c r="B311" s="314" t="s">
        <v>41</v>
      </c>
      <c r="C311" s="601"/>
      <c r="D311" s="601"/>
      <c r="E311" s="601"/>
      <c r="F311" s="601"/>
      <c r="G311" s="602"/>
      <c r="H311" s="602"/>
      <c r="I311" s="602"/>
      <c r="J311" s="601"/>
      <c r="K311" s="106"/>
    </row>
    <row r="312" spans="1:12" ht="36.75" customHeight="1" x14ac:dyDescent="0.25">
      <c r="A312" s="36">
        <v>1</v>
      </c>
      <c r="B312" s="199" t="s">
        <v>120</v>
      </c>
      <c r="C312" s="114">
        <f>SUM(C313:C316)</f>
        <v>8257</v>
      </c>
      <c r="D312" s="114">
        <f>SUM(D313:D316)</f>
        <v>2752</v>
      </c>
      <c r="E312" s="114">
        <f>SUM(E313:E316)</f>
        <v>3435</v>
      </c>
      <c r="F312" s="114">
        <f t="shared" ref="F312:F320" si="131">E312/D312*100</f>
        <v>124.81831395348837</v>
      </c>
      <c r="G312" s="597">
        <f>SUM(G313:G316)</f>
        <v>13714.10334</v>
      </c>
      <c r="H312" s="597">
        <f>SUM(H313:H316)</f>
        <v>4571.37</v>
      </c>
      <c r="I312" s="597">
        <f>SUM(I313:I316)</f>
        <v>5222.3756100000001</v>
      </c>
      <c r="J312" s="114">
        <f t="shared" ref="J312:J324" si="132">I312/H312*100</f>
        <v>114.24093018066795</v>
      </c>
      <c r="K312" s="106"/>
    </row>
    <row r="313" spans="1:12" ht="38.25" customHeight="1" x14ac:dyDescent="0.25">
      <c r="A313" s="36">
        <v>1</v>
      </c>
      <c r="B313" s="73" t="s">
        <v>79</v>
      </c>
      <c r="C313" s="114">
        <v>6003</v>
      </c>
      <c r="D313" s="108">
        <f t="shared" ref="D313:D321" si="133">ROUND(C313/12*$B$3,0)</f>
        <v>2001</v>
      </c>
      <c r="E313" s="114">
        <v>2614</v>
      </c>
      <c r="F313" s="114">
        <f t="shared" si="131"/>
        <v>130.63468265867067</v>
      </c>
      <c r="G313" s="597">
        <v>8459.4328000000005</v>
      </c>
      <c r="H313" s="597">
        <f t="shared" ref="H313:H316" si="134">ROUND(G313/12*$B$3,2)</f>
        <v>2819.81</v>
      </c>
      <c r="I313" s="597">
        <v>2488.7455400000003</v>
      </c>
      <c r="J313" s="114">
        <f t="shared" si="132"/>
        <v>88.259334494168058</v>
      </c>
      <c r="K313" s="106"/>
    </row>
    <row r="314" spans="1:12" ht="32.25" customHeight="1" x14ac:dyDescent="0.25">
      <c r="A314" s="36">
        <v>1</v>
      </c>
      <c r="B314" s="73" t="s">
        <v>80</v>
      </c>
      <c r="C314" s="114">
        <v>1801</v>
      </c>
      <c r="D314" s="108">
        <f t="shared" si="133"/>
        <v>600</v>
      </c>
      <c r="E314" s="114">
        <v>447</v>
      </c>
      <c r="F314" s="114">
        <f t="shared" si="131"/>
        <v>74.5</v>
      </c>
      <c r="G314" s="597">
        <v>2777.4853399999997</v>
      </c>
      <c r="H314" s="597">
        <f t="shared" si="134"/>
        <v>925.83</v>
      </c>
      <c r="I314" s="597">
        <v>688.44846999999993</v>
      </c>
      <c r="J314" s="114">
        <f t="shared" si="132"/>
        <v>74.360138470345518</v>
      </c>
      <c r="K314" s="106"/>
    </row>
    <row r="315" spans="1:12" ht="30" x14ac:dyDescent="0.25">
      <c r="A315" s="36">
        <v>1</v>
      </c>
      <c r="B315" s="73" t="s">
        <v>114</v>
      </c>
      <c r="C315" s="114">
        <v>82</v>
      </c>
      <c r="D315" s="108">
        <f t="shared" si="133"/>
        <v>27</v>
      </c>
      <c r="E315" s="114">
        <v>94</v>
      </c>
      <c r="F315" s="114">
        <f t="shared" si="131"/>
        <v>348.14814814814815</v>
      </c>
      <c r="G315" s="597">
        <v>448.40879999999999</v>
      </c>
      <c r="H315" s="597">
        <f t="shared" si="134"/>
        <v>149.47</v>
      </c>
      <c r="I315" s="597">
        <v>514.02959999999996</v>
      </c>
      <c r="J315" s="114">
        <f t="shared" si="132"/>
        <v>343.90151869940456</v>
      </c>
      <c r="K315" s="106"/>
    </row>
    <row r="316" spans="1:12" ht="30" x14ac:dyDescent="0.25">
      <c r="A316" s="36">
        <v>1</v>
      </c>
      <c r="B316" s="73" t="s">
        <v>115</v>
      </c>
      <c r="C316" s="114">
        <v>371</v>
      </c>
      <c r="D316" s="108">
        <f t="shared" si="133"/>
        <v>124</v>
      </c>
      <c r="E316" s="114">
        <v>280</v>
      </c>
      <c r="F316" s="114">
        <f t="shared" si="131"/>
        <v>225.80645161290326</v>
      </c>
      <c r="G316" s="597">
        <v>2028.7764</v>
      </c>
      <c r="H316" s="597">
        <f t="shared" si="134"/>
        <v>676.26</v>
      </c>
      <c r="I316" s="597">
        <v>1531.152</v>
      </c>
      <c r="J316" s="114">
        <f t="shared" si="132"/>
        <v>226.41469257386214</v>
      </c>
      <c r="K316" s="106"/>
    </row>
    <row r="317" spans="1:12" ht="30" x14ac:dyDescent="0.25">
      <c r="A317" s="36">
        <v>1</v>
      </c>
      <c r="B317" s="199" t="s">
        <v>112</v>
      </c>
      <c r="C317" s="114">
        <f>SUM(C318:C320)</f>
        <v>14763</v>
      </c>
      <c r="D317" s="114">
        <f>SUM(D318:D320)</f>
        <v>4921</v>
      </c>
      <c r="E317" s="114">
        <f>SUM(E318:E320)</f>
        <v>4733</v>
      </c>
      <c r="F317" s="114">
        <f t="shared" si="131"/>
        <v>96.179638284901444</v>
      </c>
      <c r="G317" s="597">
        <f>SUM(G318:G320)</f>
        <v>29050.4709</v>
      </c>
      <c r="H317" s="597">
        <f>SUM(H318:H320)</f>
        <v>9683.49</v>
      </c>
      <c r="I317" s="597">
        <f>SUM(I318:I320)</f>
        <v>7525.7958100000014</v>
      </c>
      <c r="J317" s="114">
        <f t="shared" si="132"/>
        <v>77.717804324680472</v>
      </c>
      <c r="K317" s="106"/>
    </row>
    <row r="318" spans="1:12" ht="30" x14ac:dyDescent="0.25">
      <c r="A318" s="36">
        <v>1</v>
      </c>
      <c r="B318" s="73" t="s">
        <v>108</v>
      </c>
      <c r="C318" s="114">
        <v>3000</v>
      </c>
      <c r="D318" s="108">
        <f t="shared" si="133"/>
        <v>1000</v>
      </c>
      <c r="E318" s="114">
        <v>664</v>
      </c>
      <c r="F318" s="114">
        <f t="shared" si="131"/>
        <v>66.400000000000006</v>
      </c>
      <c r="G318" s="597">
        <f>5301300/1000</f>
        <v>5301.3</v>
      </c>
      <c r="H318" s="597">
        <f t="shared" ref="H318:H323" si="135">ROUND(G318/12*$B$3,2)</f>
        <v>1767.1</v>
      </c>
      <c r="I318" s="597">
        <v>1176.8435200000001</v>
      </c>
      <c r="J318" s="114">
        <f t="shared" si="132"/>
        <v>66.597448927621542</v>
      </c>
      <c r="K318" s="106"/>
    </row>
    <row r="319" spans="1:12" ht="65.25" customHeight="1" x14ac:dyDescent="0.25">
      <c r="A319" s="36">
        <v>1</v>
      </c>
      <c r="B319" s="72" t="s">
        <v>118</v>
      </c>
      <c r="C319" s="114">
        <v>9571</v>
      </c>
      <c r="D319" s="108">
        <f t="shared" si="133"/>
        <v>3190</v>
      </c>
      <c r="E319" s="114">
        <v>2769</v>
      </c>
      <c r="F319" s="114">
        <f t="shared" si="131"/>
        <v>86.8025078369906</v>
      </c>
      <c r="G319" s="597">
        <f>21958745.3/1000</f>
        <v>21958.745300000002</v>
      </c>
      <c r="H319" s="597">
        <f t="shared" si="135"/>
        <v>7319.58</v>
      </c>
      <c r="I319" s="597">
        <v>5206.5584000000008</v>
      </c>
      <c r="J319" s="114">
        <f t="shared" si="132"/>
        <v>71.131928334685881</v>
      </c>
      <c r="K319" s="106"/>
    </row>
    <row r="320" spans="1:12" ht="45" x14ac:dyDescent="0.25">
      <c r="A320" s="36">
        <v>1</v>
      </c>
      <c r="B320" s="73" t="s">
        <v>109</v>
      </c>
      <c r="C320" s="114">
        <v>2192</v>
      </c>
      <c r="D320" s="108">
        <f t="shared" si="133"/>
        <v>731</v>
      </c>
      <c r="E320" s="114">
        <v>1300</v>
      </c>
      <c r="F320" s="114">
        <f t="shared" si="131"/>
        <v>177.83857729138165</v>
      </c>
      <c r="G320" s="597">
        <f>1790425.6/1000</f>
        <v>1790.4256</v>
      </c>
      <c r="H320" s="597">
        <f t="shared" si="135"/>
        <v>596.80999999999995</v>
      </c>
      <c r="I320" s="597">
        <v>1142.3938899999998</v>
      </c>
      <c r="J320" s="114">
        <f t="shared" si="132"/>
        <v>191.4166803505303</v>
      </c>
      <c r="K320" s="106"/>
    </row>
    <row r="321" spans="1:12" s="107" customFormat="1" ht="30" x14ac:dyDescent="0.25">
      <c r="A321" s="107">
        <v>1</v>
      </c>
      <c r="B321" s="117" t="s">
        <v>123</v>
      </c>
      <c r="C321" s="114">
        <v>33786</v>
      </c>
      <c r="D321" s="108">
        <f t="shared" si="133"/>
        <v>11262</v>
      </c>
      <c r="E321" s="114">
        <v>11341</v>
      </c>
      <c r="F321" s="114">
        <f>E321/D321*100</f>
        <v>100.70147398330668</v>
      </c>
      <c r="G321" s="597">
        <v>27401.121719999999</v>
      </c>
      <c r="H321" s="597">
        <f t="shared" si="135"/>
        <v>9133.7099999999991</v>
      </c>
      <c r="I321" s="597">
        <v>9187.3576299999986</v>
      </c>
      <c r="J321" s="114">
        <f>I321/H321*100</f>
        <v>100.58735858703636</v>
      </c>
      <c r="K321" s="106"/>
      <c r="L321" s="725"/>
    </row>
    <row r="322" spans="1:12" s="107" customFormat="1" ht="30" x14ac:dyDescent="0.25">
      <c r="A322" s="107">
        <v>1</v>
      </c>
      <c r="B322" s="117" t="s">
        <v>124</v>
      </c>
      <c r="C322" s="114">
        <v>670</v>
      </c>
      <c r="D322" s="108">
        <f>ROUND(C322/12*$B$3,0)</f>
        <v>223</v>
      </c>
      <c r="E322" s="114">
        <v>250</v>
      </c>
      <c r="F322" s="114">
        <f>E322/D322*100</f>
        <v>112.10762331838563</v>
      </c>
      <c r="G322" s="597">
        <v>543.38339999999994</v>
      </c>
      <c r="H322" s="597">
        <f t="shared" si="135"/>
        <v>181.13</v>
      </c>
      <c r="I322" s="597">
        <v>202.07109999999997</v>
      </c>
      <c r="J322" s="114">
        <f t="shared" ref="J322:J323" si="136">I322/H322*100</f>
        <v>111.56136476563793</v>
      </c>
      <c r="K322" s="106"/>
      <c r="L322" s="725"/>
    </row>
    <row r="323" spans="1:12" s="107" customFormat="1" ht="15.75" thickBot="1" x14ac:dyDescent="0.3">
      <c r="A323" s="107">
        <v>1</v>
      </c>
      <c r="B323" s="117" t="s">
        <v>125</v>
      </c>
      <c r="C323" s="114">
        <v>400</v>
      </c>
      <c r="D323" s="108">
        <f>ROUND(C323/12*$B$3,0)</f>
        <v>133</v>
      </c>
      <c r="E323" s="114">
        <v>278</v>
      </c>
      <c r="F323" s="114">
        <f>E323/D323*100</f>
        <v>209.02255639097746</v>
      </c>
      <c r="G323" s="597">
        <v>324.40799999999996</v>
      </c>
      <c r="H323" s="597">
        <f t="shared" si="135"/>
        <v>108.14</v>
      </c>
      <c r="I323" s="597">
        <v>223.10373000000001</v>
      </c>
      <c r="J323" s="114">
        <f t="shared" si="136"/>
        <v>206.31008877381171</v>
      </c>
      <c r="K323" s="106"/>
      <c r="L323" s="725"/>
    </row>
    <row r="324" spans="1:12" s="13" customFormat="1" ht="18.75" customHeight="1" thickBot="1" x14ac:dyDescent="0.3">
      <c r="A324" s="36">
        <v>1</v>
      </c>
      <c r="B324" s="112" t="s">
        <v>3</v>
      </c>
      <c r="C324" s="340"/>
      <c r="D324" s="340"/>
      <c r="E324" s="340"/>
      <c r="F324" s="339"/>
      <c r="G324" s="388">
        <f>G317+G312+G321</f>
        <v>70165.695959999997</v>
      </c>
      <c r="H324" s="388">
        <f>H317+H312+H321</f>
        <v>23388.57</v>
      </c>
      <c r="I324" s="388">
        <f>I317+I312+I321</f>
        <v>21935.529050000001</v>
      </c>
      <c r="J324" s="340">
        <f t="shared" si="132"/>
        <v>93.787388668909642</v>
      </c>
      <c r="K324" s="106"/>
      <c r="L324" s="725"/>
    </row>
    <row r="325" spans="1:12" ht="15" customHeight="1" x14ac:dyDescent="0.25">
      <c r="A325" s="36">
        <v>1</v>
      </c>
      <c r="B325" s="220" t="s">
        <v>40</v>
      </c>
      <c r="C325" s="291"/>
      <c r="D325" s="291"/>
      <c r="E325" s="291"/>
      <c r="F325" s="439"/>
      <c r="G325" s="369"/>
      <c r="H325" s="369"/>
      <c r="I325" s="369"/>
      <c r="J325" s="291"/>
      <c r="K325" s="106"/>
    </row>
    <row r="326" spans="1:12" ht="41.25" customHeight="1" x14ac:dyDescent="0.25">
      <c r="A326" s="36">
        <v>1</v>
      </c>
      <c r="B326" s="225" t="s">
        <v>120</v>
      </c>
      <c r="C326" s="221">
        <f t="shared" ref="C326:J337" si="137">C312</f>
        <v>8257</v>
      </c>
      <c r="D326" s="221">
        <f t="shared" si="137"/>
        <v>2752</v>
      </c>
      <c r="E326" s="221">
        <f t="shared" si="137"/>
        <v>3435</v>
      </c>
      <c r="F326" s="440">
        <f t="shared" si="137"/>
        <v>124.81831395348837</v>
      </c>
      <c r="G326" s="450">
        <f t="shared" si="137"/>
        <v>13714.10334</v>
      </c>
      <c r="H326" s="450">
        <f t="shared" si="137"/>
        <v>4571.37</v>
      </c>
      <c r="I326" s="450">
        <f t="shared" si="137"/>
        <v>5222.3756100000001</v>
      </c>
      <c r="J326" s="219">
        <f t="shared" si="137"/>
        <v>114.24093018066795</v>
      </c>
      <c r="K326" s="106"/>
    </row>
    <row r="327" spans="1:12" ht="33.75" customHeight="1" x14ac:dyDescent="0.25">
      <c r="A327" s="36">
        <v>1</v>
      </c>
      <c r="B327" s="218" t="s">
        <v>79</v>
      </c>
      <c r="C327" s="221">
        <f t="shared" si="137"/>
        <v>6003</v>
      </c>
      <c r="D327" s="221">
        <f t="shared" si="137"/>
        <v>2001</v>
      </c>
      <c r="E327" s="221">
        <f t="shared" si="137"/>
        <v>2614</v>
      </c>
      <c r="F327" s="440">
        <f t="shared" si="137"/>
        <v>130.63468265867067</v>
      </c>
      <c r="G327" s="450">
        <f t="shared" si="137"/>
        <v>8459.4328000000005</v>
      </c>
      <c r="H327" s="450">
        <f t="shared" si="137"/>
        <v>2819.81</v>
      </c>
      <c r="I327" s="450">
        <f t="shared" si="137"/>
        <v>2488.7455400000003</v>
      </c>
      <c r="J327" s="219">
        <f t="shared" si="137"/>
        <v>88.259334494168058</v>
      </c>
      <c r="K327" s="106"/>
    </row>
    <row r="328" spans="1:12" ht="33.75" customHeight="1" x14ac:dyDescent="0.25">
      <c r="A328" s="36">
        <v>1</v>
      </c>
      <c r="B328" s="218" t="s">
        <v>80</v>
      </c>
      <c r="C328" s="221">
        <f t="shared" si="137"/>
        <v>1801</v>
      </c>
      <c r="D328" s="221">
        <f t="shared" si="137"/>
        <v>600</v>
      </c>
      <c r="E328" s="221">
        <f t="shared" si="137"/>
        <v>447</v>
      </c>
      <c r="F328" s="440">
        <f t="shared" si="137"/>
        <v>74.5</v>
      </c>
      <c r="G328" s="450">
        <f t="shared" si="137"/>
        <v>2777.4853399999997</v>
      </c>
      <c r="H328" s="450">
        <f t="shared" si="137"/>
        <v>925.83</v>
      </c>
      <c r="I328" s="450">
        <f t="shared" si="137"/>
        <v>688.44846999999993</v>
      </c>
      <c r="J328" s="219">
        <f t="shared" si="137"/>
        <v>74.360138470345518</v>
      </c>
      <c r="K328" s="106"/>
    </row>
    <row r="329" spans="1:12" ht="47.25" customHeight="1" x14ac:dyDescent="0.25">
      <c r="A329" s="36">
        <v>1</v>
      </c>
      <c r="B329" s="218" t="s">
        <v>114</v>
      </c>
      <c r="C329" s="221">
        <f t="shared" si="137"/>
        <v>82</v>
      </c>
      <c r="D329" s="221">
        <f t="shared" si="137"/>
        <v>27</v>
      </c>
      <c r="E329" s="221">
        <f t="shared" si="137"/>
        <v>94</v>
      </c>
      <c r="F329" s="440">
        <f t="shared" si="137"/>
        <v>348.14814814814815</v>
      </c>
      <c r="G329" s="450">
        <f t="shared" si="137"/>
        <v>448.40879999999999</v>
      </c>
      <c r="H329" s="450">
        <f t="shared" si="137"/>
        <v>149.47</v>
      </c>
      <c r="I329" s="450">
        <f t="shared" si="137"/>
        <v>514.02959999999996</v>
      </c>
      <c r="J329" s="219">
        <f t="shared" si="137"/>
        <v>343.90151869940456</v>
      </c>
      <c r="K329" s="106"/>
    </row>
    <row r="330" spans="1:12" ht="33.75" customHeight="1" x14ac:dyDescent="0.25">
      <c r="A330" s="36">
        <v>1</v>
      </c>
      <c r="B330" s="218" t="s">
        <v>115</v>
      </c>
      <c r="C330" s="221">
        <f t="shared" si="137"/>
        <v>371</v>
      </c>
      <c r="D330" s="221">
        <f t="shared" si="137"/>
        <v>124</v>
      </c>
      <c r="E330" s="221">
        <f t="shared" si="137"/>
        <v>280</v>
      </c>
      <c r="F330" s="440">
        <f t="shared" si="137"/>
        <v>225.80645161290326</v>
      </c>
      <c r="G330" s="450">
        <f t="shared" si="137"/>
        <v>2028.7764</v>
      </c>
      <c r="H330" s="450">
        <f t="shared" si="137"/>
        <v>676.26</v>
      </c>
      <c r="I330" s="450">
        <f t="shared" si="137"/>
        <v>1531.152</v>
      </c>
      <c r="J330" s="219">
        <f t="shared" si="137"/>
        <v>226.41469257386214</v>
      </c>
      <c r="K330" s="106"/>
    </row>
    <row r="331" spans="1:12" ht="28.5" customHeight="1" x14ac:dyDescent="0.25">
      <c r="A331" s="36">
        <v>1</v>
      </c>
      <c r="B331" s="225" t="s">
        <v>112</v>
      </c>
      <c r="C331" s="221">
        <f t="shared" si="137"/>
        <v>14763</v>
      </c>
      <c r="D331" s="221">
        <f t="shared" si="137"/>
        <v>4921</v>
      </c>
      <c r="E331" s="221">
        <f t="shared" si="137"/>
        <v>4733</v>
      </c>
      <c r="F331" s="440">
        <f t="shared" si="137"/>
        <v>96.179638284901444</v>
      </c>
      <c r="G331" s="450">
        <f t="shared" si="137"/>
        <v>29050.4709</v>
      </c>
      <c r="H331" s="450">
        <f t="shared" si="137"/>
        <v>9683.49</v>
      </c>
      <c r="I331" s="450">
        <f t="shared" si="137"/>
        <v>7525.7958100000014</v>
      </c>
      <c r="J331" s="219">
        <f t="shared" si="137"/>
        <v>77.717804324680472</v>
      </c>
      <c r="K331" s="106"/>
    </row>
    <row r="332" spans="1:12" ht="30" x14ac:dyDescent="0.25">
      <c r="A332" s="36">
        <v>1</v>
      </c>
      <c r="B332" s="218" t="s">
        <v>108</v>
      </c>
      <c r="C332" s="221">
        <f t="shared" si="137"/>
        <v>3000</v>
      </c>
      <c r="D332" s="221">
        <f t="shared" si="137"/>
        <v>1000</v>
      </c>
      <c r="E332" s="221">
        <f t="shared" si="137"/>
        <v>664</v>
      </c>
      <c r="F332" s="440">
        <f t="shared" si="137"/>
        <v>66.400000000000006</v>
      </c>
      <c r="G332" s="450">
        <f t="shared" si="137"/>
        <v>5301.3</v>
      </c>
      <c r="H332" s="450">
        <f t="shared" si="137"/>
        <v>1767.1</v>
      </c>
      <c r="I332" s="450">
        <f t="shared" si="137"/>
        <v>1176.8435200000001</v>
      </c>
      <c r="J332" s="221">
        <f t="shared" si="137"/>
        <v>66.597448927621542</v>
      </c>
      <c r="K332" s="106"/>
    </row>
    <row r="333" spans="1:12" ht="42" customHeight="1" x14ac:dyDescent="0.25">
      <c r="A333" s="36">
        <v>1</v>
      </c>
      <c r="B333" s="218" t="s">
        <v>81</v>
      </c>
      <c r="C333" s="221">
        <f t="shared" si="137"/>
        <v>9571</v>
      </c>
      <c r="D333" s="221">
        <f t="shared" si="137"/>
        <v>3190</v>
      </c>
      <c r="E333" s="221">
        <f t="shared" si="137"/>
        <v>2769</v>
      </c>
      <c r="F333" s="440">
        <f t="shared" si="137"/>
        <v>86.8025078369906</v>
      </c>
      <c r="G333" s="450">
        <f t="shared" si="137"/>
        <v>21958.745300000002</v>
      </c>
      <c r="H333" s="450">
        <f t="shared" si="137"/>
        <v>7319.58</v>
      </c>
      <c r="I333" s="450">
        <f t="shared" si="137"/>
        <v>5206.5584000000008</v>
      </c>
      <c r="J333" s="219">
        <f t="shared" si="137"/>
        <v>71.131928334685881</v>
      </c>
      <c r="K333" s="106"/>
    </row>
    <row r="334" spans="1:12" ht="42" customHeight="1" x14ac:dyDescent="0.25">
      <c r="A334" s="36">
        <v>1</v>
      </c>
      <c r="B334" s="218" t="s">
        <v>109</v>
      </c>
      <c r="C334" s="221">
        <f t="shared" si="137"/>
        <v>2192</v>
      </c>
      <c r="D334" s="221">
        <f t="shared" si="137"/>
        <v>731</v>
      </c>
      <c r="E334" s="221">
        <f t="shared" si="137"/>
        <v>1300</v>
      </c>
      <c r="F334" s="440">
        <f t="shared" si="137"/>
        <v>177.83857729138165</v>
      </c>
      <c r="G334" s="450">
        <f t="shared" si="137"/>
        <v>1790.4256</v>
      </c>
      <c r="H334" s="450">
        <f t="shared" si="137"/>
        <v>596.80999999999995</v>
      </c>
      <c r="I334" s="450">
        <f t="shared" si="137"/>
        <v>1142.3938899999998</v>
      </c>
      <c r="J334" s="221">
        <f t="shared" si="137"/>
        <v>191.4166803505303</v>
      </c>
      <c r="K334" s="106"/>
    </row>
    <row r="335" spans="1:12" s="107" customFormat="1" ht="30" x14ac:dyDescent="0.25">
      <c r="A335" s="107">
        <v>1</v>
      </c>
      <c r="B335" s="218" t="s">
        <v>123</v>
      </c>
      <c r="C335" s="221">
        <f t="shared" si="137"/>
        <v>33786</v>
      </c>
      <c r="D335" s="221">
        <f t="shared" si="137"/>
        <v>11262</v>
      </c>
      <c r="E335" s="221">
        <f t="shared" si="137"/>
        <v>11341</v>
      </c>
      <c r="F335" s="221">
        <f t="shared" si="137"/>
        <v>100.70147398330668</v>
      </c>
      <c r="G335" s="221">
        <f t="shared" si="137"/>
        <v>27401.121719999999</v>
      </c>
      <c r="H335" s="221">
        <f t="shared" si="137"/>
        <v>9133.7099999999991</v>
      </c>
      <c r="I335" s="221">
        <f t="shared" si="137"/>
        <v>9187.3576299999986</v>
      </c>
      <c r="J335" s="221">
        <f t="shared" si="137"/>
        <v>100.58735858703636</v>
      </c>
      <c r="K335" s="106"/>
      <c r="L335" s="725"/>
    </row>
    <row r="336" spans="1:12" s="107" customFormat="1" ht="30" x14ac:dyDescent="0.25">
      <c r="A336" s="107">
        <v>1</v>
      </c>
      <c r="B336" s="218" t="s">
        <v>124</v>
      </c>
      <c r="C336" s="221">
        <f t="shared" si="137"/>
        <v>670</v>
      </c>
      <c r="D336" s="221">
        <f t="shared" si="137"/>
        <v>223</v>
      </c>
      <c r="E336" s="221">
        <f t="shared" si="137"/>
        <v>250</v>
      </c>
      <c r="F336" s="221">
        <f t="shared" si="137"/>
        <v>112.10762331838563</v>
      </c>
      <c r="G336" s="221">
        <f t="shared" si="137"/>
        <v>543.38339999999994</v>
      </c>
      <c r="H336" s="221">
        <f t="shared" si="137"/>
        <v>181.13</v>
      </c>
      <c r="I336" s="221">
        <f t="shared" si="137"/>
        <v>202.07109999999997</v>
      </c>
      <c r="J336" s="221">
        <f t="shared" si="137"/>
        <v>111.56136476563793</v>
      </c>
      <c r="K336" s="106"/>
      <c r="L336" s="725"/>
    </row>
    <row r="337" spans="1:12" s="107" customFormat="1" ht="15.75" thickBot="1" x14ac:dyDescent="0.3">
      <c r="A337" s="107">
        <v>1</v>
      </c>
      <c r="B337" s="218" t="s">
        <v>125</v>
      </c>
      <c r="C337" s="221">
        <f t="shared" si="137"/>
        <v>400</v>
      </c>
      <c r="D337" s="221">
        <f t="shared" si="137"/>
        <v>133</v>
      </c>
      <c r="E337" s="221">
        <f t="shared" si="137"/>
        <v>278</v>
      </c>
      <c r="F337" s="221">
        <f t="shared" si="137"/>
        <v>209.02255639097746</v>
      </c>
      <c r="G337" s="221">
        <f t="shared" si="137"/>
        <v>324.40799999999996</v>
      </c>
      <c r="H337" s="221">
        <f t="shared" si="137"/>
        <v>108.14</v>
      </c>
      <c r="I337" s="221">
        <f t="shared" si="137"/>
        <v>223.10373000000001</v>
      </c>
      <c r="J337" s="221">
        <f t="shared" si="137"/>
        <v>206.31008877381171</v>
      </c>
      <c r="K337" s="106"/>
      <c r="L337" s="725"/>
    </row>
    <row r="338" spans="1:12" s="13" customFormat="1" ht="15" customHeight="1" thickBot="1" x14ac:dyDescent="0.3">
      <c r="A338" s="36">
        <v>1</v>
      </c>
      <c r="B338" s="415" t="s">
        <v>117</v>
      </c>
      <c r="C338" s="416"/>
      <c r="D338" s="416"/>
      <c r="E338" s="416"/>
      <c r="F338" s="417"/>
      <c r="G338" s="418">
        <f>G331+G326+G335</f>
        <v>70165.695959999997</v>
      </c>
      <c r="H338" s="418">
        <f t="shared" ref="H338:I338" si="138">H331+H326+H335</f>
        <v>23388.57</v>
      </c>
      <c r="I338" s="418">
        <f t="shared" si="138"/>
        <v>21935.529050000001</v>
      </c>
      <c r="J338" s="419">
        <f>J324</f>
        <v>93.787388668909642</v>
      </c>
      <c r="K338" s="106"/>
      <c r="L338" s="725"/>
    </row>
    <row r="339" spans="1:12" ht="37.5" customHeight="1" x14ac:dyDescent="0.25">
      <c r="A339" s="36">
        <v>1</v>
      </c>
      <c r="B339" s="217" t="s">
        <v>49</v>
      </c>
      <c r="C339" s="148"/>
      <c r="D339" s="148"/>
      <c r="E339" s="148"/>
      <c r="F339" s="148"/>
      <c r="G339" s="367"/>
      <c r="H339" s="367"/>
      <c r="I339" s="354"/>
      <c r="J339" s="654"/>
      <c r="K339" s="106"/>
    </row>
    <row r="340" spans="1:12" ht="30.75" customHeight="1" x14ac:dyDescent="0.25">
      <c r="A340" s="36">
        <v>1</v>
      </c>
      <c r="B340" s="199" t="s">
        <v>120</v>
      </c>
      <c r="C340" s="114">
        <f>SUM(C341:C344)</f>
        <v>3368</v>
      </c>
      <c r="D340" s="114">
        <f>SUM(D341:D344)</f>
        <v>1123</v>
      </c>
      <c r="E340" s="114">
        <f>SUM(E341:E344)</f>
        <v>1018</v>
      </c>
      <c r="F340" s="114">
        <f t="shared" ref="F340:F349" si="139">E340/D340*100</f>
        <v>90.650044523597501</v>
      </c>
      <c r="G340" s="597">
        <f>SUM(G341:G344)</f>
        <v>5553.6662100000003</v>
      </c>
      <c r="H340" s="597">
        <f>SUM(H341:H344)</f>
        <v>1851.2199999999998</v>
      </c>
      <c r="I340" s="597">
        <f>SUM(I341:I344)</f>
        <v>2021.9455999999998</v>
      </c>
      <c r="J340" s="114">
        <f t="shared" ref="J340:J349" si="140">I340/H340*100</f>
        <v>109.22232905867482</v>
      </c>
      <c r="K340" s="106"/>
    </row>
    <row r="341" spans="1:12" ht="28.5" customHeight="1" x14ac:dyDescent="0.25">
      <c r="A341" s="36">
        <v>1</v>
      </c>
      <c r="B341" s="73" t="s">
        <v>79</v>
      </c>
      <c r="C341" s="114">
        <v>2428</v>
      </c>
      <c r="D341" s="108">
        <f t="shared" ref="D341:D349" si="141">ROUND(C341/12*$B$3,0)</f>
        <v>809</v>
      </c>
      <c r="E341" s="114">
        <v>734</v>
      </c>
      <c r="F341" s="114">
        <f t="shared" si="139"/>
        <v>90.72929542645241</v>
      </c>
      <c r="G341" s="597">
        <v>3299.7075999999997</v>
      </c>
      <c r="H341" s="597">
        <f t="shared" ref="H341:H344" si="142">ROUND(G341/12*$B$3,2)</f>
        <v>1099.9000000000001</v>
      </c>
      <c r="I341" s="597">
        <v>852.2530099999999</v>
      </c>
      <c r="J341" s="114">
        <f t="shared" si="140"/>
        <v>77.484590417310656</v>
      </c>
      <c r="K341" s="106"/>
    </row>
    <row r="342" spans="1:12" ht="26.25" customHeight="1" x14ac:dyDescent="0.25">
      <c r="A342" s="36">
        <v>1</v>
      </c>
      <c r="B342" s="73" t="s">
        <v>80</v>
      </c>
      <c r="C342" s="114">
        <v>728</v>
      </c>
      <c r="D342" s="108">
        <f t="shared" si="141"/>
        <v>243</v>
      </c>
      <c r="E342" s="114">
        <v>96</v>
      </c>
      <c r="F342" s="114">
        <f t="shared" si="139"/>
        <v>39.506172839506171</v>
      </c>
      <c r="G342" s="597">
        <v>1094.6578100000002</v>
      </c>
      <c r="H342" s="597">
        <f t="shared" si="142"/>
        <v>364.89</v>
      </c>
      <c r="I342" s="597">
        <v>141.63339000000002</v>
      </c>
      <c r="J342" s="114">
        <f t="shared" si="140"/>
        <v>38.81536627476774</v>
      </c>
      <c r="K342" s="106"/>
    </row>
    <row r="343" spans="1:12" ht="30" x14ac:dyDescent="0.25">
      <c r="A343" s="36">
        <v>1</v>
      </c>
      <c r="B343" s="73" t="s">
        <v>114</v>
      </c>
      <c r="C343" s="114">
        <v>36</v>
      </c>
      <c r="D343" s="108">
        <f t="shared" si="141"/>
        <v>12</v>
      </c>
      <c r="E343" s="114">
        <v>38</v>
      </c>
      <c r="F343" s="114">
        <f t="shared" si="139"/>
        <v>316.66666666666663</v>
      </c>
      <c r="G343" s="597">
        <v>196.86240000000001</v>
      </c>
      <c r="H343" s="597">
        <f t="shared" si="142"/>
        <v>65.62</v>
      </c>
      <c r="I343" s="597">
        <v>207.79919999999998</v>
      </c>
      <c r="J343" s="114">
        <f t="shared" si="140"/>
        <v>316.67052727826876</v>
      </c>
      <c r="K343" s="106"/>
    </row>
    <row r="344" spans="1:12" ht="30" x14ac:dyDescent="0.25">
      <c r="A344" s="36">
        <v>1</v>
      </c>
      <c r="B344" s="73" t="s">
        <v>115</v>
      </c>
      <c r="C344" s="114">
        <v>176</v>
      </c>
      <c r="D344" s="108">
        <f t="shared" si="141"/>
        <v>59</v>
      </c>
      <c r="E344" s="114">
        <v>150</v>
      </c>
      <c r="F344" s="114">
        <f t="shared" si="139"/>
        <v>254.23728813559322</v>
      </c>
      <c r="G344" s="597">
        <v>962.43839999999989</v>
      </c>
      <c r="H344" s="597">
        <f t="shared" si="142"/>
        <v>320.81</v>
      </c>
      <c r="I344" s="597">
        <v>820.26</v>
      </c>
      <c r="J344" s="114">
        <f t="shared" si="140"/>
        <v>255.68404974907267</v>
      </c>
      <c r="K344" s="106"/>
    </row>
    <row r="345" spans="1:12" ht="30" x14ac:dyDescent="0.25">
      <c r="A345" s="36">
        <v>1</v>
      </c>
      <c r="B345" s="199" t="s">
        <v>112</v>
      </c>
      <c r="C345" s="114">
        <f>SUM(C346:C348)</f>
        <v>5552</v>
      </c>
      <c r="D345" s="114">
        <f>SUM(D346:D348)</f>
        <v>1851</v>
      </c>
      <c r="E345" s="114">
        <f>SUM(E346:E348)</f>
        <v>1699</v>
      </c>
      <c r="F345" s="114">
        <f t="shared" si="139"/>
        <v>91.788222582387903</v>
      </c>
      <c r="G345" s="597">
        <f>SUM(G346:G348)</f>
        <v>10392.8236</v>
      </c>
      <c r="H345" s="597">
        <f>SUM(H346:H348)</f>
        <v>3464.2700000000004</v>
      </c>
      <c r="I345" s="597">
        <f>SUM(I346:I348)</f>
        <v>3101.91554</v>
      </c>
      <c r="J345" s="114">
        <f t="shared" si="140"/>
        <v>89.540236182514633</v>
      </c>
      <c r="K345" s="106"/>
    </row>
    <row r="346" spans="1:12" ht="30" x14ac:dyDescent="0.25">
      <c r="A346" s="36">
        <v>1</v>
      </c>
      <c r="B346" s="73" t="s">
        <v>108</v>
      </c>
      <c r="C346" s="114">
        <v>1500</v>
      </c>
      <c r="D346" s="108">
        <f t="shared" si="141"/>
        <v>500</v>
      </c>
      <c r="E346" s="114">
        <v>327</v>
      </c>
      <c r="F346" s="114">
        <f t="shared" si="139"/>
        <v>65.400000000000006</v>
      </c>
      <c r="G346" s="597">
        <f>2650650/1000</f>
        <v>2650.65</v>
      </c>
      <c r="H346" s="597">
        <f t="shared" ref="H346:H349" si="143">ROUND(G346/12*$B$3,2)</f>
        <v>883.55</v>
      </c>
      <c r="I346" s="597">
        <v>583.29971999999998</v>
      </c>
      <c r="J346" s="114">
        <f t="shared" si="140"/>
        <v>66.017737536076055</v>
      </c>
      <c r="K346" s="106"/>
    </row>
    <row r="347" spans="1:12" ht="64.5" customHeight="1" x14ac:dyDescent="0.25">
      <c r="A347" s="36">
        <v>1</v>
      </c>
      <c r="B347" s="72" t="s">
        <v>118</v>
      </c>
      <c r="C347" s="114">
        <v>3000</v>
      </c>
      <c r="D347" s="108">
        <f t="shared" si="141"/>
        <v>1000</v>
      </c>
      <c r="E347" s="114">
        <v>995</v>
      </c>
      <c r="F347" s="114">
        <f t="shared" si="139"/>
        <v>99.5</v>
      </c>
      <c r="G347" s="597">
        <f>6882900/1000</f>
        <v>6882.9</v>
      </c>
      <c r="H347" s="597">
        <f t="shared" si="143"/>
        <v>2294.3000000000002</v>
      </c>
      <c r="I347" s="597">
        <v>2214.9833100000001</v>
      </c>
      <c r="J347" s="114">
        <f t="shared" si="140"/>
        <v>96.542880617181709</v>
      </c>
      <c r="K347" s="106"/>
    </row>
    <row r="348" spans="1:12" ht="30" customHeight="1" x14ac:dyDescent="0.25">
      <c r="A348" s="36">
        <v>1</v>
      </c>
      <c r="B348" s="73" t="s">
        <v>109</v>
      </c>
      <c r="C348" s="114">
        <v>1052</v>
      </c>
      <c r="D348" s="108">
        <f t="shared" si="141"/>
        <v>351</v>
      </c>
      <c r="E348" s="114">
        <v>377</v>
      </c>
      <c r="F348" s="114">
        <f t="shared" si="139"/>
        <v>107.40740740740742</v>
      </c>
      <c r="G348" s="597">
        <f>859273.6/1000</f>
        <v>859.27359999999999</v>
      </c>
      <c r="H348" s="597">
        <f t="shared" si="143"/>
        <v>286.42</v>
      </c>
      <c r="I348" s="597">
        <v>303.63251000000002</v>
      </c>
      <c r="J348" s="114">
        <f t="shared" si="140"/>
        <v>106.00953494867677</v>
      </c>
      <c r="K348" s="106"/>
    </row>
    <row r="349" spans="1:12" s="107" customFormat="1" ht="30.75" thickBot="1" x14ac:dyDescent="0.3">
      <c r="A349" s="107">
        <v>1</v>
      </c>
      <c r="B349" s="117" t="s">
        <v>123</v>
      </c>
      <c r="C349" s="114">
        <v>8400</v>
      </c>
      <c r="D349" s="108">
        <f t="shared" si="141"/>
        <v>2800</v>
      </c>
      <c r="E349" s="114">
        <v>1857</v>
      </c>
      <c r="F349" s="114">
        <f t="shared" si="139"/>
        <v>66.321428571428569</v>
      </c>
      <c r="G349" s="597">
        <v>6812.5680000000002</v>
      </c>
      <c r="H349" s="597">
        <f t="shared" si="143"/>
        <v>2270.86</v>
      </c>
      <c r="I349" s="597">
        <v>1478.1314299999999</v>
      </c>
      <c r="J349" s="114">
        <f t="shared" si="140"/>
        <v>65.091261900777681</v>
      </c>
      <c r="K349" s="106"/>
      <c r="L349" s="725"/>
    </row>
    <row r="350" spans="1:12" s="34" customFormat="1" ht="15" customHeight="1" thickBot="1" x14ac:dyDescent="0.3">
      <c r="A350" s="36">
        <v>1</v>
      </c>
      <c r="B350" s="112" t="s">
        <v>3</v>
      </c>
      <c r="C350" s="340"/>
      <c r="D350" s="340"/>
      <c r="E350" s="340"/>
      <c r="F350" s="339"/>
      <c r="G350" s="388">
        <f>G345+G340+G349</f>
        <v>22759.057809999998</v>
      </c>
      <c r="H350" s="388">
        <f>H345+H340+H349</f>
        <v>7586.35</v>
      </c>
      <c r="I350" s="388">
        <f>I345+I340+I349</f>
        <v>6601.9925700000003</v>
      </c>
      <c r="J350" s="340">
        <f>I350/H350*100</f>
        <v>87.024624094590948</v>
      </c>
      <c r="K350" s="106"/>
      <c r="L350" s="725"/>
    </row>
    <row r="351" spans="1:12" ht="15" customHeight="1" x14ac:dyDescent="0.25">
      <c r="A351" s="36">
        <v>1</v>
      </c>
      <c r="B351" s="292" t="s">
        <v>42</v>
      </c>
      <c r="C351" s="173"/>
      <c r="D351" s="173"/>
      <c r="E351" s="173"/>
      <c r="F351" s="441"/>
      <c r="G351" s="370"/>
      <c r="H351" s="370"/>
      <c r="I351" s="370"/>
      <c r="J351" s="293"/>
      <c r="K351" s="106"/>
    </row>
    <row r="352" spans="1:12" ht="42" customHeight="1" x14ac:dyDescent="0.25">
      <c r="A352" s="36">
        <v>1</v>
      </c>
      <c r="B352" s="226" t="s">
        <v>120</v>
      </c>
      <c r="C352" s="171">
        <f t="shared" ref="C352:J361" si="144">C340</f>
        <v>3368</v>
      </c>
      <c r="D352" s="171">
        <f t="shared" si="144"/>
        <v>1123</v>
      </c>
      <c r="E352" s="171">
        <f t="shared" si="144"/>
        <v>1018</v>
      </c>
      <c r="F352" s="442">
        <f t="shared" si="144"/>
        <v>90.650044523597501</v>
      </c>
      <c r="G352" s="449">
        <f t="shared" si="144"/>
        <v>5553.6662100000003</v>
      </c>
      <c r="H352" s="449">
        <f t="shared" si="144"/>
        <v>1851.2199999999998</v>
      </c>
      <c r="I352" s="449">
        <f t="shared" si="144"/>
        <v>2021.9455999999998</v>
      </c>
      <c r="J352" s="174">
        <f t="shared" si="144"/>
        <v>109.22232905867482</v>
      </c>
      <c r="K352" s="106"/>
    </row>
    <row r="353" spans="1:12" ht="30.75" customHeight="1" x14ac:dyDescent="0.25">
      <c r="A353" s="36">
        <v>1</v>
      </c>
      <c r="B353" s="94" t="s">
        <v>79</v>
      </c>
      <c r="C353" s="171">
        <f t="shared" si="144"/>
        <v>2428</v>
      </c>
      <c r="D353" s="171">
        <f t="shared" si="144"/>
        <v>809</v>
      </c>
      <c r="E353" s="171">
        <f t="shared" si="144"/>
        <v>734</v>
      </c>
      <c r="F353" s="442">
        <f t="shared" si="144"/>
        <v>90.72929542645241</v>
      </c>
      <c r="G353" s="449">
        <f t="shared" si="144"/>
        <v>3299.7075999999997</v>
      </c>
      <c r="H353" s="449">
        <f t="shared" si="144"/>
        <v>1099.9000000000001</v>
      </c>
      <c r="I353" s="449">
        <f t="shared" si="144"/>
        <v>852.2530099999999</v>
      </c>
      <c r="J353" s="174">
        <f t="shared" si="144"/>
        <v>77.484590417310656</v>
      </c>
      <c r="K353" s="106"/>
    </row>
    <row r="354" spans="1:12" ht="30.75" customHeight="1" x14ac:dyDescent="0.25">
      <c r="A354" s="36">
        <v>1</v>
      </c>
      <c r="B354" s="94" t="s">
        <v>80</v>
      </c>
      <c r="C354" s="171">
        <f t="shared" si="144"/>
        <v>728</v>
      </c>
      <c r="D354" s="171">
        <f t="shared" si="144"/>
        <v>243</v>
      </c>
      <c r="E354" s="171">
        <f t="shared" si="144"/>
        <v>96</v>
      </c>
      <c r="F354" s="442">
        <f t="shared" si="144"/>
        <v>39.506172839506171</v>
      </c>
      <c r="G354" s="449">
        <f t="shared" si="144"/>
        <v>1094.6578100000002</v>
      </c>
      <c r="H354" s="449">
        <f t="shared" si="144"/>
        <v>364.89</v>
      </c>
      <c r="I354" s="449">
        <f t="shared" si="144"/>
        <v>141.63339000000002</v>
      </c>
      <c r="J354" s="174">
        <f t="shared" si="144"/>
        <v>38.81536627476774</v>
      </c>
      <c r="K354" s="106"/>
    </row>
    <row r="355" spans="1:12" ht="44.25" customHeight="1" x14ac:dyDescent="0.25">
      <c r="A355" s="36">
        <v>1</v>
      </c>
      <c r="B355" s="94" t="s">
        <v>114</v>
      </c>
      <c r="C355" s="171">
        <f t="shared" si="144"/>
        <v>36</v>
      </c>
      <c r="D355" s="171">
        <f t="shared" si="144"/>
        <v>12</v>
      </c>
      <c r="E355" s="171">
        <f t="shared" si="144"/>
        <v>38</v>
      </c>
      <c r="F355" s="442">
        <f t="shared" si="144"/>
        <v>316.66666666666663</v>
      </c>
      <c r="G355" s="449">
        <f t="shared" si="144"/>
        <v>196.86240000000001</v>
      </c>
      <c r="H355" s="449">
        <f t="shared" si="144"/>
        <v>65.62</v>
      </c>
      <c r="I355" s="449">
        <f t="shared" si="144"/>
        <v>207.79919999999998</v>
      </c>
      <c r="J355" s="174">
        <f t="shared" si="144"/>
        <v>316.67052727826876</v>
      </c>
      <c r="K355" s="106"/>
    </row>
    <row r="356" spans="1:12" ht="30.75" customHeight="1" x14ac:dyDescent="0.25">
      <c r="A356" s="36">
        <v>1</v>
      </c>
      <c r="B356" s="94" t="s">
        <v>115</v>
      </c>
      <c r="C356" s="171">
        <f t="shared" si="144"/>
        <v>176</v>
      </c>
      <c r="D356" s="171">
        <f t="shared" si="144"/>
        <v>59</v>
      </c>
      <c r="E356" s="171">
        <f t="shared" si="144"/>
        <v>150</v>
      </c>
      <c r="F356" s="442">
        <f t="shared" si="144"/>
        <v>254.23728813559322</v>
      </c>
      <c r="G356" s="449">
        <f t="shared" si="144"/>
        <v>962.43839999999989</v>
      </c>
      <c r="H356" s="449">
        <f t="shared" si="144"/>
        <v>320.81</v>
      </c>
      <c r="I356" s="449">
        <f t="shared" si="144"/>
        <v>820.26</v>
      </c>
      <c r="J356" s="174">
        <f t="shared" si="144"/>
        <v>255.68404974907267</v>
      </c>
      <c r="K356" s="106"/>
    </row>
    <row r="357" spans="1:12" ht="42.75" customHeight="1" x14ac:dyDescent="0.25">
      <c r="A357" s="36">
        <v>1</v>
      </c>
      <c r="B357" s="226" t="s">
        <v>112</v>
      </c>
      <c r="C357" s="171">
        <f t="shared" si="144"/>
        <v>5552</v>
      </c>
      <c r="D357" s="171">
        <f t="shared" si="144"/>
        <v>1851</v>
      </c>
      <c r="E357" s="171">
        <f t="shared" si="144"/>
        <v>1699</v>
      </c>
      <c r="F357" s="442">
        <f t="shared" si="144"/>
        <v>91.788222582387903</v>
      </c>
      <c r="G357" s="449">
        <f t="shared" si="144"/>
        <v>10392.8236</v>
      </c>
      <c r="H357" s="449">
        <f t="shared" si="144"/>
        <v>3464.2700000000004</v>
      </c>
      <c r="I357" s="449">
        <f t="shared" si="144"/>
        <v>3101.91554</v>
      </c>
      <c r="J357" s="174">
        <f t="shared" si="144"/>
        <v>89.540236182514633</v>
      </c>
      <c r="K357" s="106"/>
    </row>
    <row r="358" spans="1:12" ht="30" x14ac:dyDescent="0.25">
      <c r="A358" s="36">
        <v>1</v>
      </c>
      <c r="B358" s="94" t="s">
        <v>108</v>
      </c>
      <c r="C358" s="171">
        <f t="shared" si="144"/>
        <v>1500</v>
      </c>
      <c r="D358" s="171">
        <f t="shared" si="144"/>
        <v>500</v>
      </c>
      <c r="E358" s="171">
        <f t="shared" si="144"/>
        <v>327</v>
      </c>
      <c r="F358" s="442">
        <f t="shared" si="144"/>
        <v>65.400000000000006</v>
      </c>
      <c r="G358" s="449">
        <f t="shared" si="144"/>
        <v>2650.65</v>
      </c>
      <c r="H358" s="449">
        <f t="shared" si="144"/>
        <v>883.55</v>
      </c>
      <c r="I358" s="449">
        <f t="shared" si="144"/>
        <v>583.29971999999998</v>
      </c>
      <c r="J358" s="171">
        <f t="shared" si="144"/>
        <v>66.017737536076055</v>
      </c>
      <c r="K358" s="106"/>
    </row>
    <row r="359" spans="1:12" ht="60" x14ac:dyDescent="0.25">
      <c r="A359" s="36">
        <v>1</v>
      </c>
      <c r="B359" s="94" t="s">
        <v>81</v>
      </c>
      <c r="C359" s="171">
        <f t="shared" si="144"/>
        <v>3000</v>
      </c>
      <c r="D359" s="171">
        <f t="shared" si="144"/>
        <v>1000</v>
      </c>
      <c r="E359" s="171">
        <f t="shared" si="144"/>
        <v>995</v>
      </c>
      <c r="F359" s="442">
        <f t="shared" si="144"/>
        <v>99.5</v>
      </c>
      <c r="G359" s="449">
        <f t="shared" si="144"/>
        <v>6882.9</v>
      </c>
      <c r="H359" s="449">
        <f t="shared" si="144"/>
        <v>2294.3000000000002</v>
      </c>
      <c r="I359" s="449">
        <f t="shared" si="144"/>
        <v>2214.9833100000001</v>
      </c>
      <c r="J359" s="174">
        <f t="shared" si="144"/>
        <v>96.542880617181709</v>
      </c>
      <c r="K359" s="106"/>
    </row>
    <row r="360" spans="1:12" ht="45" x14ac:dyDescent="0.25">
      <c r="A360" s="36">
        <v>1</v>
      </c>
      <c r="B360" s="94" t="s">
        <v>109</v>
      </c>
      <c r="C360" s="171">
        <f t="shared" si="144"/>
        <v>1052</v>
      </c>
      <c r="D360" s="171">
        <f t="shared" si="144"/>
        <v>351</v>
      </c>
      <c r="E360" s="171">
        <f t="shared" si="144"/>
        <v>377</v>
      </c>
      <c r="F360" s="442">
        <f t="shared" si="144"/>
        <v>107.40740740740742</v>
      </c>
      <c r="G360" s="449">
        <f t="shared" si="144"/>
        <v>859.27359999999999</v>
      </c>
      <c r="H360" s="449">
        <f t="shared" si="144"/>
        <v>286.42</v>
      </c>
      <c r="I360" s="449">
        <f t="shared" si="144"/>
        <v>303.63251000000002</v>
      </c>
      <c r="J360" s="171">
        <f t="shared" si="144"/>
        <v>106.00953494867677</v>
      </c>
      <c r="K360" s="106"/>
    </row>
    <row r="361" spans="1:12" ht="30.75" customHeight="1" thickBot="1" x14ac:dyDescent="0.3">
      <c r="B361" s="671" t="s">
        <v>123</v>
      </c>
      <c r="C361" s="424">
        <f t="shared" si="144"/>
        <v>8400</v>
      </c>
      <c r="D361" s="424">
        <f t="shared" si="144"/>
        <v>2800</v>
      </c>
      <c r="E361" s="424">
        <f t="shared" si="144"/>
        <v>1857</v>
      </c>
      <c r="F361" s="443">
        <f t="shared" si="144"/>
        <v>66.321428571428569</v>
      </c>
      <c r="G361" s="449">
        <f t="shared" si="144"/>
        <v>6812.5680000000002</v>
      </c>
      <c r="H361" s="449">
        <f t="shared" si="144"/>
        <v>2270.86</v>
      </c>
      <c r="I361" s="449">
        <f t="shared" si="144"/>
        <v>1478.1314299999999</v>
      </c>
      <c r="J361" s="420">
        <f t="shared" si="144"/>
        <v>65.091261900777681</v>
      </c>
      <c r="K361" s="106"/>
    </row>
    <row r="362" spans="1:12" s="13" customFormat="1" ht="19.5" customHeight="1" thickBot="1" x14ac:dyDescent="0.3">
      <c r="A362" s="36">
        <v>1</v>
      </c>
      <c r="B362" s="421" t="s">
        <v>117</v>
      </c>
      <c r="C362" s="422">
        <f t="shared" ref="C362:J362" si="145">C350</f>
        <v>0</v>
      </c>
      <c r="D362" s="422">
        <f t="shared" si="145"/>
        <v>0</v>
      </c>
      <c r="E362" s="422">
        <f t="shared" si="145"/>
        <v>0</v>
      </c>
      <c r="F362" s="444">
        <f t="shared" si="145"/>
        <v>0</v>
      </c>
      <c r="G362" s="423">
        <f t="shared" si="145"/>
        <v>22759.057809999998</v>
      </c>
      <c r="H362" s="423">
        <f t="shared" si="145"/>
        <v>7586.35</v>
      </c>
      <c r="I362" s="423">
        <f t="shared" si="145"/>
        <v>6601.9925700000003</v>
      </c>
      <c r="J362" s="422">
        <f t="shared" si="145"/>
        <v>87.024624094590948</v>
      </c>
      <c r="K362" s="106"/>
      <c r="L362" s="725"/>
    </row>
    <row r="363" spans="1:12" ht="15.75" customHeight="1" x14ac:dyDescent="0.25">
      <c r="A363" s="36">
        <v>1</v>
      </c>
      <c r="B363" s="223"/>
      <c r="C363" s="2"/>
      <c r="D363" s="2"/>
      <c r="E363" s="141"/>
      <c r="F363" s="2"/>
      <c r="G363" s="387"/>
      <c r="H363" s="387"/>
      <c r="I363" s="347"/>
      <c r="J363" s="8"/>
      <c r="K363" s="106"/>
    </row>
    <row r="364" spans="1:12" ht="29.25" customHeight="1" x14ac:dyDescent="0.25">
      <c r="A364" s="36">
        <v>1</v>
      </c>
      <c r="B364" s="7" t="s">
        <v>43</v>
      </c>
      <c r="C364" s="149"/>
      <c r="D364" s="149"/>
      <c r="E364" s="149"/>
      <c r="F364" s="655"/>
      <c r="G364" s="371"/>
      <c r="H364" s="371"/>
      <c r="I364" s="371"/>
      <c r="J364" s="656"/>
      <c r="K364" s="106"/>
    </row>
    <row r="365" spans="1:12" ht="31.5" customHeight="1" x14ac:dyDescent="0.25">
      <c r="A365" s="36">
        <v>1</v>
      </c>
      <c r="B365" s="228" t="s">
        <v>120</v>
      </c>
      <c r="C365" s="114">
        <f>SUM(C366:C369)</f>
        <v>2533</v>
      </c>
      <c r="D365" s="114">
        <f>SUM(D366:D369)</f>
        <v>844</v>
      </c>
      <c r="E365" s="114">
        <f>SUM(E366:E369)</f>
        <v>1044</v>
      </c>
      <c r="F365" s="130">
        <f>E365/D365*100</f>
        <v>123.69668246445498</v>
      </c>
      <c r="G365" s="597">
        <f>SUM(G366:G369)</f>
        <v>3780.3887299999997</v>
      </c>
      <c r="H365" s="597">
        <f>SUM(H366:H369)</f>
        <v>1260.1200000000001</v>
      </c>
      <c r="I365" s="597">
        <f>SUM(I366:I369)</f>
        <v>1703.89615</v>
      </c>
      <c r="J365" s="114">
        <f>I365/H365*100</f>
        <v>135.21697536742531</v>
      </c>
      <c r="K365" s="106"/>
    </row>
    <row r="366" spans="1:12" ht="38.1" customHeight="1" x14ac:dyDescent="0.25">
      <c r="A366" s="36">
        <v>1</v>
      </c>
      <c r="B366" s="72" t="s">
        <v>79</v>
      </c>
      <c r="C366" s="114">
        <v>1893</v>
      </c>
      <c r="D366" s="108">
        <f t="shared" ref="D366:D374" si="146">ROUND(C366/12*$B$3,0)</f>
        <v>631</v>
      </c>
      <c r="E366" s="114">
        <v>765</v>
      </c>
      <c r="F366" s="130">
        <f>E366/D366*100</f>
        <v>121.23613312202852</v>
      </c>
      <c r="G366" s="597">
        <v>2530.5713999999998</v>
      </c>
      <c r="H366" s="597">
        <f t="shared" ref="H366:H369" si="147">ROUND(G366/12*$B$3,2)</f>
        <v>843.52</v>
      </c>
      <c r="I366" s="597">
        <v>998.78732000000002</v>
      </c>
      <c r="J366" s="114">
        <f>I366/H366*100</f>
        <v>118.40707037177542</v>
      </c>
      <c r="K366" s="106"/>
    </row>
    <row r="367" spans="1:12" ht="38.1" customHeight="1" x14ac:dyDescent="0.25">
      <c r="A367" s="36">
        <v>1</v>
      </c>
      <c r="B367" s="72" t="s">
        <v>80</v>
      </c>
      <c r="C367" s="114">
        <v>568</v>
      </c>
      <c r="D367" s="108">
        <f t="shared" si="146"/>
        <v>189</v>
      </c>
      <c r="E367" s="114">
        <v>207</v>
      </c>
      <c r="F367" s="130">
        <f>E367/D367*100</f>
        <v>109.52380952380953</v>
      </c>
      <c r="G367" s="597">
        <v>856.09253000000001</v>
      </c>
      <c r="H367" s="597">
        <f t="shared" si="147"/>
        <v>285.36</v>
      </c>
      <c r="I367" s="597">
        <v>311.38403000000005</v>
      </c>
      <c r="J367" s="114">
        <f t="shared" ref="J367:J375" si="148">I367/H367*100</f>
        <v>109.11971895149988</v>
      </c>
      <c r="K367" s="106"/>
    </row>
    <row r="368" spans="1:12" ht="30" x14ac:dyDescent="0.25">
      <c r="A368" s="36">
        <v>1</v>
      </c>
      <c r="B368" s="72" t="s">
        <v>114</v>
      </c>
      <c r="C368" s="114"/>
      <c r="D368" s="108">
        <f t="shared" si="146"/>
        <v>0</v>
      </c>
      <c r="E368" s="114"/>
      <c r="F368" s="130"/>
      <c r="G368" s="597"/>
      <c r="H368" s="597">
        <f t="shared" si="147"/>
        <v>0</v>
      </c>
      <c r="I368" s="597"/>
      <c r="J368" s="114"/>
      <c r="K368" s="106"/>
    </row>
    <row r="369" spans="1:12" ht="30" x14ac:dyDescent="0.25">
      <c r="A369" s="36">
        <v>1</v>
      </c>
      <c r="B369" s="72" t="s">
        <v>115</v>
      </c>
      <c r="C369" s="114">
        <v>72</v>
      </c>
      <c r="D369" s="108">
        <f t="shared" si="146"/>
        <v>24</v>
      </c>
      <c r="E369" s="114">
        <v>72</v>
      </c>
      <c r="F369" s="130">
        <f t="shared" ref="F369:F374" si="149">E369/D369*100</f>
        <v>300</v>
      </c>
      <c r="G369" s="597">
        <v>393.72480000000002</v>
      </c>
      <c r="H369" s="597">
        <f t="shared" si="147"/>
        <v>131.24</v>
      </c>
      <c r="I369" s="597">
        <v>393.72480000000002</v>
      </c>
      <c r="J369" s="114">
        <f t="shared" si="148"/>
        <v>300.0036574215178</v>
      </c>
      <c r="K369" s="106"/>
    </row>
    <row r="370" spans="1:12" ht="30" x14ac:dyDescent="0.25">
      <c r="A370" s="36">
        <v>1</v>
      </c>
      <c r="B370" s="228" t="s">
        <v>112</v>
      </c>
      <c r="C370" s="114">
        <f>SUM(C371:C373)</f>
        <v>4966</v>
      </c>
      <c r="D370" s="114">
        <f>SUM(D371:D373)</f>
        <v>1655</v>
      </c>
      <c r="E370" s="114">
        <f>SUM(E371:E373)</f>
        <v>1728</v>
      </c>
      <c r="F370" s="130">
        <f t="shared" si="149"/>
        <v>104.41087613293053</v>
      </c>
      <c r="G370" s="597">
        <f>SUM(G371:G373)</f>
        <v>9636.4437999999991</v>
      </c>
      <c r="H370" s="597">
        <f>SUM(H371:H373)</f>
        <v>3212.1499999999996</v>
      </c>
      <c r="I370" s="597">
        <f>SUM(I371:I373)</f>
        <v>2478.4145200000003</v>
      </c>
      <c r="J370" s="114">
        <f t="shared" si="148"/>
        <v>77.157496380928677</v>
      </c>
      <c r="K370" s="106"/>
    </row>
    <row r="371" spans="1:12" ht="30" x14ac:dyDescent="0.25">
      <c r="A371" s="36">
        <v>1</v>
      </c>
      <c r="B371" s="72" t="s">
        <v>108</v>
      </c>
      <c r="C371" s="114">
        <v>250</v>
      </c>
      <c r="D371" s="108">
        <f t="shared" si="146"/>
        <v>83</v>
      </c>
      <c r="E371" s="114">
        <v>93</v>
      </c>
      <c r="F371" s="130">
        <f t="shared" si="149"/>
        <v>112.04819277108433</v>
      </c>
      <c r="G371" s="597">
        <f>441775/1000</f>
        <v>441.77499999999998</v>
      </c>
      <c r="H371" s="597">
        <f t="shared" ref="H371:H374" si="150">ROUND(G371/12*$B$3,2)</f>
        <v>147.26</v>
      </c>
      <c r="I371" s="597">
        <v>165.19528</v>
      </c>
      <c r="J371" s="114">
        <f t="shared" si="148"/>
        <v>112.17932907782155</v>
      </c>
      <c r="K371" s="106"/>
    </row>
    <row r="372" spans="1:12" ht="44.25" customHeight="1" x14ac:dyDescent="0.25">
      <c r="A372" s="36">
        <v>1</v>
      </c>
      <c r="B372" s="72" t="s">
        <v>118</v>
      </c>
      <c r="C372" s="114">
        <v>3616</v>
      </c>
      <c r="D372" s="108">
        <f t="shared" si="146"/>
        <v>1205</v>
      </c>
      <c r="E372" s="114">
        <v>1256</v>
      </c>
      <c r="F372" s="130">
        <f t="shared" si="149"/>
        <v>104.23236514522823</v>
      </c>
      <c r="G372" s="597">
        <f>8296188.8/1000</f>
        <v>8296.1887999999999</v>
      </c>
      <c r="H372" s="597">
        <f t="shared" si="150"/>
        <v>2765.4</v>
      </c>
      <c r="I372" s="597">
        <v>2049.3304600000001</v>
      </c>
      <c r="J372" s="114">
        <f t="shared" si="148"/>
        <v>74.106113401316264</v>
      </c>
      <c r="K372" s="760"/>
    </row>
    <row r="373" spans="1:12" ht="44.25" customHeight="1" x14ac:dyDescent="0.25">
      <c r="A373" s="36">
        <v>1</v>
      </c>
      <c r="B373" s="72" t="s">
        <v>109</v>
      </c>
      <c r="C373" s="114">
        <v>1100</v>
      </c>
      <c r="D373" s="108">
        <f t="shared" si="146"/>
        <v>367</v>
      </c>
      <c r="E373" s="114">
        <v>379</v>
      </c>
      <c r="F373" s="130">
        <f t="shared" si="149"/>
        <v>103.26975476839237</v>
      </c>
      <c r="G373" s="597">
        <f>898480/1000</f>
        <v>898.48</v>
      </c>
      <c r="H373" s="597">
        <f t="shared" si="150"/>
        <v>299.49</v>
      </c>
      <c r="I373" s="597">
        <v>263.88878000000005</v>
      </c>
      <c r="J373" s="114">
        <f t="shared" si="148"/>
        <v>88.112718287755868</v>
      </c>
      <c r="K373" s="106"/>
    </row>
    <row r="374" spans="1:12" s="107" customFormat="1" ht="30.75" thickBot="1" x14ac:dyDescent="0.3">
      <c r="A374" s="107">
        <v>1</v>
      </c>
      <c r="B374" s="117" t="s">
        <v>123</v>
      </c>
      <c r="C374" s="114">
        <v>9263</v>
      </c>
      <c r="D374" s="108">
        <f t="shared" si="146"/>
        <v>3088</v>
      </c>
      <c r="E374" s="114">
        <v>3110</v>
      </c>
      <c r="F374" s="114">
        <f t="shared" si="149"/>
        <v>100.71243523316062</v>
      </c>
      <c r="G374" s="597">
        <v>7512.4782599999999</v>
      </c>
      <c r="H374" s="597">
        <f t="shared" si="150"/>
        <v>2504.16</v>
      </c>
      <c r="I374" s="597">
        <v>2522.2722000000003</v>
      </c>
      <c r="J374" s="114">
        <f t="shared" si="148"/>
        <v>100.72328445466745</v>
      </c>
      <c r="K374" s="106"/>
      <c r="L374" s="725"/>
    </row>
    <row r="375" spans="1:12" s="13" customFormat="1" ht="15" customHeight="1" thickBot="1" x14ac:dyDescent="0.3">
      <c r="A375" s="36">
        <v>1</v>
      </c>
      <c r="B375" s="112" t="s">
        <v>3</v>
      </c>
      <c r="C375" s="427"/>
      <c r="D375" s="427"/>
      <c r="E375" s="427"/>
      <c r="F375" s="445"/>
      <c r="G375" s="628">
        <f>G370+G365+G374</f>
        <v>20929.31079</v>
      </c>
      <c r="H375" s="628">
        <f>H370+H365+H374</f>
        <v>6976.4299999999994</v>
      </c>
      <c r="I375" s="628">
        <f>I370+I365+I374</f>
        <v>6704.5828700000011</v>
      </c>
      <c r="J375" s="427">
        <f t="shared" si="148"/>
        <v>96.103348990816244</v>
      </c>
      <c r="K375" s="106"/>
      <c r="L375" s="725"/>
    </row>
    <row r="376" spans="1:12" ht="29.25" customHeight="1" x14ac:dyDescent="0.25">
      <c r="A376" s="36">
        <v>1</v>
      </c>
      <c r="B376" s="81" t="s">
        <v>44</v>
      </c>
      <c r="C376" s="143"/>
      <c r="D376" s="143"/>
      <c r="E376" s="143"/>
      <c r="F376" s="143"/>
      <c r="G376" s="367"/>
      <c r="H376" s="367"/>
      <c r="I376" s="367"/>
      <c r="J376" s="143"/>
      <c r="K376" s="106"/>
    </row>
    <row r="377" spans="1:12" ht="30" x14ac:dyDescent="0.25">
      <c r="A377" s="36">
        <v>1</v>
      </c>
      <c r="B377" s="228" t="s">
        <v>120</v>
      </c>
      <c r="C377" s="114">
        <f>SUM(C378:C381)</f>
        <v>11144</v>
      </c>
      <c r="D377" s="114">
        <f>SUM(D378:D381)</f>
        <v>3715</v>
      </c>
      <c r="E377" s="114">
        <f>SUM(E378:E381)</f>
        <v>4154</v>
      </c>
      <c r="F377" s="130">
        <f t="shared" ref="F377:F386" si="151">E377/D377*100</f>
        <v>111.81695827725437</v>
      </c>
      <c r="G377" s="597">
        <f>SUM(G378:G381)</f>
        <v>15718.156489999998</v>
      </c>
      <c r="H377" s="597">
        <f>SUM(H378:H381)</f>
        <v>5239.3900000000003</v>
      </c>
      <c r="I377" s="597">
        <f>SUM(I378:I381)</f>
        <v>5679.7561299999998</v>
      </c>
      <c r="J377" s="114">
        <f>I377/H377*100</f>
        <v>108.40491221306297</v>
      </c>
      <c r="K377" s="106"/>
    </row>
    <row r="378" spans="1:12" ht="30" x14ac:dyDescent="0.25">
      <c r="A378" s="36">
        <v>1</v>
      </c>
      <c r="B378" s="72" t="s">
        <v>79</v>
      </c>
      <c r="C378" s="114">
        <v>8508</v>
      </c>
      <c r="D378" s="108">
        <f t="shared" ref="D378:D386" si="152">ROUND(C378/12*$B$3,0)</f>
        <v>2836</v>
      </c>
      <c r="E378" s="114">
        <v>3182</v>
      </c>
      <c r="F378" s="130">
        <f t="shared" si="151"/>
        <v>112.20028208744711</v>
      </c>
      <c r="G378" s="597">
        <v>11344.544399999999</v>
      </c>
      <c r="H378" s="597">
        <f t="shared" ref="H378:H381" si="153">ROUND(G378/12*$B$3,2)</f>
        <v>3781.51</v>
      </c>
      <c r="I378" s="597">
        <v>3949.1856499999994</v>
      </c>
      <c r="J378" s="114">
        <f>I378/H378*100</f>
        <v>104.43409246570812</v>
      </c>
      <c r="K378" s="106"/>
    </row>
    <row r="379" spans="1:12" ht="30" x14ac:dyDescent="0.25">
      <c r="A379" s="36">
        <v>1</v>
      </c>
      <c r="B379" s="72" t="s">
        <v>80</v>
      </c>
      <c r="C379" s="114">
        <v>2552</v>
      </c>
      <c r="D379" s="108">
        <f t="shared" si="152"/>
        <v>851</v>
      </c>
      <c r="E379" s="114">
        <v>902</v>
      </c>
      <c r="F379" s="130">
        <f t="shared" si="151"/>
        <v>105.99294947121034</v>
      </c>
      <c r="G379" s="597">
        <v>3914.2664900000004</v>
      </c>
      <c r="H379" s="597">
        <f t="shared" si="153"/>
        <v>1304.76</v>
      </c>
      <c r="I379" s="597">
        <v>1347.7824800000001</v>
      </c>
      <c r="J379" s="114">
        <f t="shared" ref="J379:J387" si="154">I379/H379*100</f>
        <v>103.2973481713112</v>
      </c>
      <c r="K379" s="106"/>
    </row>
    <row r="380" spans="1:12" ht="30" x14ac:dyDescent="0.25">
      <c r="A380" s="36">
        <v>1</v>
      </c>
      <c r="B380" s="72" t="s">
        <v>114</v>
      </c>
      <c r="C380" s="114">
        <v>60</v>
      </c>
      <c r="D380" s="108">
        <f t="shared" si="152"/>
        <v>20</v>
      </c>
      <c r="E380" s="114">
        <v>70</v>
      </c>
      <c r="F380" s="130">
        <f t="shared" si="151"/>
        <v>350</v>
      </c>
      <c r="G380" s="597">
        <v>328.10399999999998</v>
      </c>
      <c r="H380" s="597">
        <f t="shared" si="153"/>
        <v>109.37</v>
      </c>
      <c r="I380" s="597">
        <v>382.78800000000001</v>
      </c>
      <c r="J380" s="114">
        <f t="shared" si="154"/>
        <v>349.99359970741517</v>
      </c>
      <c r="K380" s="106"/>
    </row>
    <row r="381" spans="1:12" ht="30" x14ac:dyDescent="0.25">
      <c r="A381" s="36">
        <v>1</v>
      </c>
      <c r="B381" s="72" t="s">
        <v>115</v>
      </c>
      <c r="C381" s="114">
        <v>24</v>
      </c>
      <c r="D381" s="108">
        <f t="shared" si="152"/>
        <v>8</v>
      </c>
      <c r="E381" s="114">
        <v>0</v>
      </c>
      <c r="F381" s="130">
        <f t="shared" si="151"/>
        <v>0</v>
      </c>
      <c r="G381" s="597">
        <v>131.24159999999998</v>
      </c>
      <c r="H381" s="597">
        <f t="shared" si="153"/>
        <v>43.75</v>
      </c>
      <c r="I381" s="597">
        <v>0</v>
      </c>
      <c r="J381" s="114">
        <f t="shared" si="154"/>
        <v>0</v>
      </c>
      <c r="K381" s="106"/>
    </row>
    <row r="382" spans="1:12" ht="30" x14ac:dyDescent="0.25">
      <c r="A382" s="36">
        <v>1</v>
      </c>
      <c r="B382" s="228" t="s">
        <v>112</v>
      </c>
      <c r="C382" s="114">
        <f>SUM(C383:C385)</f>
        <v>20500</v>
      </c>
      <c r="D382" s="114">
        <f>SUM(D383:D385)</f>
        <v>6833</v>
      </c>
      <c r="E382" s="114">
        <f>SUM(E383:E385)</f>
        <v>6150</v>
      </c>
      <c r="F382" s="130">
        <f t="shared" si="151"/>
        <v>90.004390458071128</v>
      </c>
      <c r="G382" s="597">
        <f>SUM(G383:G385)</f>
        <v>32986.49</v>
      </c>
      <c r="H382" s="597">
        <f>SUM(H383:H385)</f>
        <v>10995.499999999998</v>
      </c>
      <c r="I382" s="597">
        <f>SUM(I383:I385)</f>
        <v>8505.8554300000014</v>
      </c>
      <c r="J382" s="114">
        <f t="shared" si="154"/>
        <v>77.357604747396692</v>
      </c>
      <c r="K382" s="106"/>
    </row>
    <row r="383" spans="1:12" ht="30" x14ac:dyDescent="0.25">
      <c r="A383" s="36">
        <v>1</v>
      </c>
      <c r="B383" s="72" t="s">
        <v>108</v>
      </c>
      <c r="C383" s="114">
        <v>300</v>
      </c>
      <c r="D383" s="108">
        <f t="shared" si="152"/>
        <v>100</v>
      </c>
      <c r="E383" s="114">
        <v>0</v>
      </c>
      <c r="F383" s="130">
        <f t="shared" si="151"/>
        <v>0</v>
      </c>
      <c r="G383" s="597">
        <f>530130/1000</f>
        <v>530.13</v>
      </c>
      <c r="H383" s="597">
        <f t="shared" ref="H383:H386" si="155">ROUND(G383/12*$B$3,2)</f>
        <v>176.71</v>
      </c>
      <c r="I383" s="597">
        <v>0</v>
      </c>
      <c r="J383" s="114">
        <f t="shared" si="154"/>
        <v>0</v>
      </c>
      <c r="K383" s="106"/>
    </row>
    <row r="384" spans="1:12" ht="56.25" customHeight="1" x14ac:dyDescent="0.25">
      <c r="A384" s="36">
        <v>1</v>
      </c>
      <c r="B384" s="72" t="s">
        <v>118</v>
      </c>
      <c r="C384" s="114">
        <v>10800</v>
      </c>
      <c r="D384" s="108">
        <f t="shared" si="152"/>
        <v>3600</v>
      </c>
      <c r="E384" s="114">
        <v>4148</v>
      </c>
      <c r="F384" s="130">
        <f t="shared" si="151"/>
        <v>115.22222222222223</v>
      </c>
      <c r="G384" s="597">
        <f>24778440/1000</f>
        <v>24778.44</v>
      </c>
      <c r="H384" s="597">
        <f t="shared" si="155"/>
        <v>8259.48</v>
      </c>
      <c r="I384" s="597">
        <v>6763.3200900000011</v>
      </c>
      <c r="J384" s="114">
        <f t="shared" si="154"/>
        <v>81.885543520899645</v>
      </c>
      <c r="K384" s="759"/>
    </row>
    <row r="385" spans="1:12" ht="45" x14ac:dyDescent="0.25">
      <c r="A385" s="36">
        <v>1</v>
      </c>
      <c r="B385" s="72" t="s">
        <v>109</v>
      </c>
      <c r="C385" s="114">
        <v>9400</v>
      </c>
      <c r="D385" s="108">
        <f t="shared" si="152"/>
        <v>3133</v>
      </c>
      <c r="E385" s="114">
        <v>2002</v>
      </c>
      <c r="F385" s="130">
        <f t="shared" si="151"/>
        <v>63.900414937759329</v>
      </c>
      <c r="G385" s="597">
        <f>7677920/1000</f>
        <v>7677.92</v>
      </c>
      <c r="H385" s="597">
        <f t="shared" si="155"/>
        <v>2559.31</v>
      </c>
      <c r="I385" s="597">
        <v>1742.5353399999999</v>
      </c>
      <c r="J385" s="114">
        <f t="shared" si="154"/>
        <v>68.086138060649162</v>
      </c>
      <c r="K385" s="106"/>
    </row>
    <row r="386" spans="1:12" s="107" customFormat="1" ht="30.75" thickBot="1" x14ac:dyDescent="0.3">
      <c r="A386" s="107">
        <v>1</v>
      </c>
      <c r="B386" s="117" t="s">
        <v>123</v>
      </c>
      <c r="C386" s="114">
        <v>30400</v>
      </c>
      <c r="D386" s="108">
        <f t="shared" si="152"/>
        <v>10133</v>
      </c>
      <c r="E386" s="114">
        <v>10193</v>
      </c>
      <c r="F386" s="114">
        <f t="shared" si="151"/>
        <v>100.59212474094544</v>
      </c>
      <c r="G386" s="597">
        <v>24655.008000000002</v>
      </c>
      <c r="H386" s="597">
        <f t="shared" si="155"/>
        <v>8218.34</v>
      </c>
      <c r="I386" s="597">
        <v>8195.6713999999993</v>
      </c>
      <c r="J386" s="114">
        <f t="shared" si="154"/>
        <v>99.724170574592904</v>
      </c>
      <c r="K386" s="106"/>
      <c r="L386" s="725"/>
    </row>
    <row r="387" spans="1:12" s="34" customFormat="1" ht="15.75" thickBot="1" x14ac:dyDescent="0.3">
      <c r="A387" s="36">
        <v>1</v>
      </c>
      <c r="B387" s="112" t="s">
        <v>3</v>
      </c>
      <c r="C387" s="340"/>
      <c r="D387" s="340"/>
      <c r="E387" s="340"/>
      <c r="F387" s="445"/>
      <c r="G387" s="389">
        <f>G382+G377+G386</f>
        <v>73359.654490000001</v>
      </c>
      <c r="H387" s="389">
        <f>H382+H377+H386</f>
        <v>24453.23</v>
      </c>
      <c r="I387" s="389">
        <f>I382+I377+I386</f>
        <v>22381.28296</v>
      </c>
      <c r="J387" s="340">
        <f t="shared" si="154"/>
        <v>91.52689832795096</v>
      </c>
      <c r="K387" s="106"/>
      <c r="L387" s="725"/>
    </row>
    <row r="388" spans="1:12" ht="32.25" customHeight="1" x14ac:dyDescent="0.25">
      <c r="A388" s="36">
        <v>1</v>
      </c>
      <c r="B388" s="283" t="s">
        <v>45</v>
      </c>
      <c r="C388" s="284"/>
      <c r="D388" s="284"/>
      <c r="E388" s="285"/>
      <c r="F388" s="281"/>
      <c r="G388" s="393"/>
      <c r="H388" s="393"/>
      <c r="I388" s="372"/>
      <c r="J388" s="284"/>
      <c r="K388" s="106"/>
    </row>
    <row r="389" spans="1:12" ht="43.5" customHeight="1" x14ac:dyDescent="0.25">
      <c r="A389" s="36">
        <v>1</v>
      </c>
      <c r="B389" s="229" t="s">
        <v>120</v>
      </c>
      <c r="C389" s="24">
        <f t="shared" ref="C389:E394" si="156">C377+C365</f>
        <v>13677</v>
      </c>
      <c r="D389" s="24">
        <f t="shared" si="156"/>
        <v>4559</v>
      </c>
      <c r="E389" s="24">
        <f t="shared" si="156"/>
        <v>5198</v>
      </c>
      <c r="F389" s="15">
        <f>E389/D389*100</f>
        <v>114.01623162974337</v>
      </c>
      <c r="G389" s="448">
        <f t="shared" ref="G389:I397" si="157">SUM(G377,G365)</f>
        <v>19498.545219999996</v>
      </c>
      <c r="H389" s="448">
        <f t="shared" si="157"/>
        <v>6499.51</v>
      </c>
      <c r="I389" s="448">
        <f t="shared" si="157"/>
        <v>7383.6522800000002</v>
      </c>
      <c r="J389" s="23">
        <f>I389/H389*100</f>
        <v>113.60321439616217</v>
      </c>
      <c r="K389" s="106"/>
    </row>
    <row r="390" spans="1:12" ht="30" x14ac:dyDescent="0.25">
      <c r="A390" s="36">
        <v>1</v>
      </c>
      <c r="B390" s="227" t="s">
        <v>79</v>
      </c>
      <c r="C390" s="24">
        <f t="shared" si="156"/>
        <v>10401</v>
      </c>
      <c r="D390" s="24">
        <f t="shared" si="156"/>
        <v>3467</v>
      </c>
      <c r="E390" s="24">
        <f t="shared" si="156"/>
        <v>3947</v>
      </c>
      <c r="F390" s="15">
        <f t="shared" ref="F390:F398" si="158">E390/D390*100</f>
        <v>113.84482261321027</v>
      </c>
      <c r="G390" s="448">
        <f t="shared" si="157"/>
        <v>13875.1158</v>
      </c>
      <c r="H390" s="448">
        <f t="shared" si="157"/>
        <v>4625.0300000000007</v>
      </c>
      <c r="I390" s="448">
        <f t="shared" si="157"/>
        <v>4947.9729699999998</v>
      </c>
      <c r="J390" s="23">
        <f t="shared" ref="J390:J399" si="159">I390/H390*100</f>
        <v>106.9825054107757</v>
      </c>
      <c r="K390" s="106"/>
    </row>
    <row r="391" spans="1:12" ht="30" x14ac:dyDescent="0.25">
      <c r="A391" s="36">
        <v>1</v>
      </c>
      <c r="B391" s="227" t="s">
        <v>80</v>
      </c>
      <c r="C391" s="24">
        <f t="shared" si="156"/>
        <v>3120</v>
      </c>
      <c r="D391" s="24">
        <f t="shared" si="156"/>
        <v>1040</v>
      </c>
      <c r="E391" s="24">
        <f t="shared" si="156"/>
        <v>1109</v>
      </c>
      <c r="F391" s="15">
        <f t="shared" si="158"/>
        <v>106.63461538461539</v>
      </c>
      <c r="G391" s="448">
        <f t="shared" si="157"/>
        <v>4770.3590200000008</v>
      </c>
      <c r="H391" s="448">
        <f t="shared" si="157"/>
        <v>1590.12</v>
      </c>
      <c r="I391" s="448">
        <f t="shared" si="157"/>
        <v>1659.16651</v>
      </c>
      <c r="J391" s="23">
        <f t="shared" si="159"/>
        <v>104.34222008401883</v>
      </c>
      <c r="K391" s="106"/>
    </row>
    <row r="392" spans="1:12" ht="30" x14ac:dyDescent="0.25">
      <c r="A392" s="36">
        <v>1</v>
      </c>
      <c r="B392" s="227" t="s">
        <v>114</v>
      </c>
      <c r="C392" s="24">
        <f t="shared" si="156"/>
        <v>60</v>
      </c>
      <c r="D392" s="24">
        <f t="shared" si="156"/>
        <v>20</v>
      </c>
      <c r="E392" s="24">
        <f t="shared" si="156"/>
        <v>70</v>
      </c>
      <c r="F392" s="15">
        <f t="shared" si="158"/>
        <v>350</v>
      </c>
      <c r="G392" s="448">
        <f t="shared" si="157"/>
        <v>328.10399999999998</v>
      </c>
      <c r="H392" s="448">
        <f t="shared" si="157"/>
        <v>109.37</v>
      </c>
      <c r="I392" s="448">
        <f t="shared" si="157"/>
        <v>382.78800000000001</v>
      </c>
      <c r="J392" s="23">
        <f t="shared" si="159"/>
        <v>349.99359970741517</v>
      </c>
      <c r="K392" s="106"/>
    </row>
    <row r="393" spans="1:12" ht="30" x14ac:dyDescent="0.25">
      <c r="A393" s="36">
        <v>1</v>
      </c>
      <c r="B393" s="227" t="s">
        <v>115</v>
      </c>
      <c r="C393" s="24">
        <f t="shared" si="156"/>
        <v>96</v>
      </c>
      <c r="D393" s="24">
        <f t="shared" si="156"/>
        <v>32</v>
      </c>
      <c r="E393" s="24">
        <f t="shared" si="156"/>
        <v>72</v>
      </c>
      <c r="F393" s="15">
        <f t="shared" si="158"/>
        <v>225</v>
      </c>
      <c r="G393" s="448">
        <f t="shared" si="157"/>
        <v>524.96640000000002</v>
      </c>
      <c r="H393" s="448">
        <f t="shared" si="157"/>
        <v>174.99</v>
      </c>
      <c r="I393" s="448">
        <f t="shared" si="157"/>
        <v>393.72480000000002</v>
      </c>
      <c r="J393" s="23">
        <f t="shared" si="159"/>
        <v>224.99845705468883</v>
      </c>
      <c r="K393" s="106"/>
    </row>
    <row r="394" spans="1:12" ht="30" x14ac:dyDescent="0.25">
      <c r="A394" s="36">
        <v>1</v>
      </c>
      <c r="B394" s="229" t="s">
        <v>112</v>
      </c>
      <c r="C394" s="24">
        <f t="shared" si="156"/>
        <v>25466</v>
      </c>
      <c r="D394" s="24">
        <f t="shared" si="156"/>
        <v>8488</v>
      </c>
      <c r="E394" s="24">
        <f t="shared" si="156"/>
        <v>7878</v>
      </c>
      <c r="F394" s="15">
        <f t="shared" si="158"/>
        <v>92.813383600376994</v>
      </c>
      <c r="G394" s="448">
        <f t="shared" si="157"/>
        <v>42622.933799999999</v>
      </c>
      <c r="H394" s="448">
        <f t="shared" si="157"/>
        <v>14207.649999999998</v>
      </c>
      <c r="I394" s="448">
        <f t="shared" si="157"/>
        <v>10984.269950000002</v>
      </c>
      <c r="J394" s="23">
        <f t="shared" si="159"/>
        <v>77.312363057930071</v>
      </c>
      <c r="K394" s="106"/>
    </row>
    <row r="395" spans="1:12" ht="30" x14ac:dyDescent="0.25">
      <c r="A395" s="36">
        <v>1</v>
      </c>
      <c r="B395" s="227" t="s">
        <v>108</v>
      </c>
      <c r="C395" s="24">
        <f t="shared" ref="C395:E397" si="160">SUM(C383,C371)</f>
        <v>550</v>
      </c>
      <c r="D395" s="24">
        <f t="shared" si="160"/>
        <v>183</v>
      </c>
      <c r="E395" s="24">
        <f t="shared" si="160"/>
        <v>93</v>
      </c>
      <c r="F395" s="15">
        <f t="shared" si="158"/>
        <v>50.819672131147541</v>
      </c>
      <c r="G395" s="448">
        <f t="shared" si="157"/>
        <v>971.90499999999997</v>
      </c>
      <c r="H395" s="448">
        <f t="shared" si="157"/>
        <v>323.97000000000003</v>
      </c>
      <c r="I395" s="448">
        <f t="shared" si="157"/>
        <v>165.19528</v>
      </c>
      <c r="J395" s="23">
        <f t="shared" si="159"/>
        <v>50.99091891224495</v>
      </c>
      <c r="K395" s="106"/>
    </row>
    <row r="396" spans="1:12" ht="60" x14ac:dyDescent="0.25">
      <c r="A396" s="36">
        <v>1</v>
      </c>
      <c r="B396" s="227" t="s">
        <v>81</v>
      </c>
      <c r="C396" s="24">
        <f t="shared" si="160"/>
        <v>14416</v>
      </c>
      <c r="D396" s="24">
        <f t="shared" si="160"/>
        <v>4805</v>
      </c>
      <c r="E396" s="24">
        <f t="shared" si="160"/>
        <v>5404</v>
      </c>
      <c r="F396" s="15">
        <f t="shared" si="158"/>
        <v>112.46618106139439</v>
      </c>
      <c r="G396" s="448">
        <f t="shared" si="157"/>
        <v>33074.628799999999</v>
      </c>
      <c r="H396" s="448">
        <f t="shared" si="157"/>
        <v>11024.88</v>
      </c>
      <c r="I396" s="448">
        <f t="shared" si="157"/>
        <v>8812.6505500000021</v>
      </c>
      <c r="J396" s="23">
        <f t="shared" si="159"/>
        <v>79.934208354195263</v>
      </c>
      <c r="K396" s="106"/>
    </row>
    <row r="397" spans="1:12" ht="45" x14ac:dyDescent="0.25">
      <c r="A397" s="36">
        <v>1</v>
      </c>
      <c r="B397" s="227" t="s">
        <v>109</v>
      </c>
      <c r="C397" s="24">
        <f t="shared" si="160"/>
        <v>10500</v>
      </c>
      <c r="D397" s="24">
        <f t="shared" si="160"/>
        <v>3500</v>
      </c>
      <c r="E397" s="24">
        <f t="shared" si="160"/>
        <v>2381</v>
      </c>
      <c r="F397" s="15">
        <f t="shared" si="158"/>
        <v>68.028571428571425</v>
      </c>
      <c r="G397" s="448">
        <f t="shared" si="157"/>
        <v>8576.4</v>
      </c>
      <c r="H397" s="448">
        <f t="shared" si="157"/>
        <v>2858.8</v>
      </c>
      <c r="I397" s="448">
        <f t="shared" si="157"/>
        <v>2006.4241199999999</v>
      </c>
      <c r="J397" s="23">
        <f t="shared" si="159"/>
        <v>70.184137400307804</v>
      </c>
      <c r="K397" s="106"/>
    </row>
    <row r="398" spans="1:12" ht="30.75" thickBot="1" x14ac:dyDescent="0.3">
      <c r="B398" s="672" t="s">
        <v>123</v>
      </c>
      <c r="C398" s="673">
        <f>SUM(C374,C386)</f>
        <v>39663</v>
      </c>
      <c r="D398" s="673">
        <f>SUM(D374,D386)</f>
        <v>13221</v>
      </c>
      <c r="E398" s="673">
        <f>SUM(E374,E386)</f>
        <v>13303</v>
      </c>
      <c r="F398" s="15">
        <f t="shared" si="158"/>
        <v>100.62022539898645</v>
      </c>
      <c r="G398" s="673">
        <f>SUM(G374,G386)</f>
        <v>32167.486260000001</v>
      </c>
      <c r="H398" s="673">
        <f>SUM(H374,H386)</f>
        <v>10722.5</v>
      </c>
      <c r="I398" s="673">
        <f>SUM(I374,I386)</f>
        <v>10717.943599999999</v>
      </c>
      <c r="J398" s="23">
        <f t="shared" si="159"/>
        <v>99.957506178596404</v>
      </c>
      <c r="K398" s="106"/>
    </row>
    <row r="399" spans="1:12" ht="15.75" thickBot="1" x14ac:dyDescent="0.3">
      <c r="A399" s="36">
        <v>1</v>
      </c>
      <c r="B399" s="426" t="s">
        <v>117</v>
      </c>
      <c r="C399" s="376">
        <f t="shared" ref="C399:I399" si="161">SUM(C387,C375)</f>
        <v>0</v>
      </c>
      <c r="D399" s="376">
        <f t="shared" si="161"/>
        <v>0</v>
      </c>
      <c r="E399" s="376">
        <f t="shared" si="161"/>
        <v>0</v>
      </c>
      <c r="F399" s="446">
        <f t="shared" si="161"/>
        <v>0</v>
      </c>
      <c r="G399" s="377">
        <f t="shared" si="161"/>
        <v>94288.965280000004</v>
      </c>
      <c r="H399" s="377">
        <f t="shared" si="161"/>
        <v>31429.66</v>
      </c>
      <c r="I399" s="377">
        <f t="shared" si="161"/>
        <v>29085.865830000002</v>
      </c>
      <c r="J399" s="376">
        <f t="shared" si="159"/>
        <v>92.542731388121922</v>
      </c>
      <c r="K399" s="106"/>
    </row>
    <row r="407" spans="2:10" x14ac:dyDescent="0.25">
      <c r="B407" s="36"/>
      <c r="C407" s="36"/>
      <c r="D407" s="36"/>
      <c r="E407" s="107"/>
      <c r="F407" s="36"/>
      <c r="G407" s="394"/>
      <c r="H407" s="394"/>
      <c r="I407" s="374"/>
      <c r="J407" s="36"/>
    </row>
    <row r="408" spans="2:10" x14ac:dyDescent="0.25">
      <c r="B408" s="36"/>
      <c r="C408" s="36"/>
      <c r="D408" s="36"/>
      <c r="E408" s="107"/>
      <c r="F408" s="36"/>
      <c r="G408" s="394"/>
      <c r="H408" s="394"/>
      <c r="I408" s="374"/>
      <c r="J408" s="36"/>
    </row>
    <row r="409" spans="2:10" x14ac:dyDescent="0.25">
      <c r="B409" s="36"/>
      <c r="C409" s="36"/>
      <c r="D409" s="36"/>
      <c r="E409" s="107"/>
      <c r="F409" s="36"/>
      <c r="G409" s="394"/>
      <c r="H409" s="394"/>
      <c r="I409" s="374"/>
      <c r="J409" s="36"/>
    </row>
    <row r="410" spans="2:10" x14ac:dyDescent="0.25">
      <c r="B410" s="36"/>
      <c r="C410" s="36"/>
      <c r="D410" s="36"/>
      <c r="E410" s="107"/>
      <c r="F410" s="36"/>
      <c r="G410" s="394"/>
      <c r="H410" s="394"/>
      <c r="I410" s="374"/>
      <c r="J410" s="36"/>
    </row>
    <row r="411" spans="2:10" x14ac:dyDescent="0.25">
      <c r="B411" s="36"/>
      <c r="C411" s="36"/>
      <c r="D411" s="36"/>
      <c r="E411" s="107"/>
      <c r="F411" s="36"/>
      <c r="G411" s="394"/>
      <c r="H411" s="394"/>
      <c r="I411" s="374"/>
      <c r="J411" s="36"/>
    </row>
    <row r="412" spans="2:10" x14ac:dyDescent="0.25">
      <c r="B412" s="36"/>
      <c r="C412" s="36"/>
      <c r="D412" s="36"/>
      <c r="E412" s="107"/>
      <c r="F412" s="36"/>
      <c r="G412" s="394"/>
      <c r="H412" s="394"/>
      <c r="I412" s="374"/>
      <c r="J412" s="36"/>
    </row>
    <row r="413" spans="2:10" x14ac:dyDescent="0.25">
      <c r="B413" s="36"/>
      <c r="C413" s="36"/>
      <c r="D413" s="36"/>
      <c r="E413" s="107"/>
      <c r="F413" s="36"/>
      <c r="G413" s="394"/>
      <c r="H413" s="394"/>
      <c r="I413" s="374"/>
      <c r="J413" s="36"/>
    </row>
    <row r="414" spans="2:10" x14ac:dyDescent="0.25">
      <c r="B414" s="36"/>
      <c r="C414" s="36"/>
      <c r="D414" s="36"/>
      <c r="E414" s="107"/>
      <c r="F414" s="36"/>
      <c r="G414" s="394"/>
      <c r="H414" s="394"/>
      <c r="I414" s="374"/>
      <c r="J414" s="36"/>
    </row>
    <row r="415" spans="2:10" x14ac:dyDescent="0.25">
      <c r="B415" s="36"/>
      <c r="C415" s="36"/>
      <c r="D415" s="36"/>
      <c r="E415" s="107"/>
      <c r="F415" s="36"/>
      <c r="G415" s="394"/>
      <c r="H415" s="394"/>
      <c r="I415" s="374"/>
      <c r="J415" s="36"/>
    </row>
    <row r="416" spans="2:10" x14ac:dyDescent="0.25">
      <c r="B416" s="36"/>
      <c r="C416" s="36"/>
      <c r="D416" s="36"/>
      <c r="E416" s="107"/>
      <c r="F416" s="36"/>
      <c r="G416" s="394"/>
      <c r="H416" s="394"/>
      <c r="I416" s="374"/>
      <c r="J416" s="36"/>
    </row>
    <row r="417" spans="2:10" x14ac:dyDescent="0.25">
      <c r="B417" s="36"/>
      <c r="C417" s="36"/>
      <c r="D417" s="36"/>
      <c r="E417" s="107"/>
      <c r="F417" s="36"/>
      <c r="G417" s="394"/>
      <c r="H417" s="394"/>
      <c r="I417" s="374"/>
      <c r="J417" s="36"/>
    </row>
    <row r="418" spans="2:10" x14ac:dyDescent="0.25">
      <c r="B418" s="36"/>
      <c r="C418" s="36"/>
      <c r="D418" s="36"/>
      <c r="E418" s="107"/>
      <c r="F418" s="36"/>
      <c r="G418" s="394"/>
      <c r="H418" s="394"/>
      <c r="I418" s="374"/>
      <c r="J418" s="36"/>
    </row>
    <row r="419" spans="2:10" x14ac:dyDescent="0.25">
      <c r="B419" s="36"/>
      <c r="C419" s="36"/>
      <c r="D419" s="36"/>
      <c r="E419" s="107"/>
      <c r="F419" s="36"/>
      <c r="G419" s="394"/>
      <c r="H419" s="394"/>
      <c r="I419" s="374"/>
      <c r="J419" s="36"/>
    </row>
    <row r="420" spans="2:10" x14ac:dyDescent="0.25">
      <c r="B420" s="36"/>
      <c r="C420" s="36"/>
      <c r="D420" s="36"/>
      <c r="E420" s="107"/>
      <c r="F420" s="36"/>
      <c r="G420" s="394"/>
      <c r="H420" s="394"/>
      <c r="I420" s="374"/>
      <c r="J420" s="36"/>
    </row>
    <row r="421" spans="2:10" x14ac:dyDescent="0.25">
      <c r="B421" s="36"/>
      <c r="C421" s="36"/>
      <c r="D421" s="36"/>
      <c r="E421" s="107"/>
      <c r="F421" s="36"/>
      <c r="G421" s="394"/>
      <c r="H421" s="394"/>
      <c r="I421" s="374"/>
      <c r="J421" s="36"/>
    </row>
    <row r="422" spans="2:10" x14ac:dyDescent="0.25">
      <c r="B422" s="36"/>
      <c r="C422" s="36"/>
      <c r="D422" s="36"/>
      <c r="E422" s="107"/>
      <c r="F422" s="36"/>
      <c r="G422" s="394"/>
      <c r="H422" s="394"/>
      <c r="I422" s="374"/>
      <c r="J422" s="36"/>
    </row>
    <row r="423" spans="2:10" x14ac:dyDescent="0.25">
      <c r="B423" s="36"/>
      <c r="C423" s="36"/>
      <c r="D423" s="36"/>
      <c r="E423" s="107"/>
      <c r="F423" s="36"/>
      <c r="G423" s="394"/>
      <c r="H423" s="394"/>
      <c r="I423" s="374"/>
      <c r="J423" s="36"/>
    </row>
    <row r="424" spans="2:10" x14ac:dyDescent="0.25">
      <c r="B424" s="36"/>
      <c r="C424" s="36"/>
      <c r="D424" s="36"/>
      <c r="E424" s="107"/>
      <c r="F424" s="36"/>
      <c r="G424" s="394"/>
      <c r="H424" s="394"/>
      <c r="I424" s="374"/>
      <c r="J424" s="36"/>
    </row>
    <row r="425" spans="2:10" x14ac:dyDescent="0.25">
      <c r="B425" s="36"/>
      <c r="C425" s="36"/>
      <c r="D425" s="36"/>
      <c r="E425" s="107"/>
      <c r="F425" s="36"/>
      <c r="G425" s="394"/>
      <c r="H425" s="394"/>
      <c r="I425" s="374"/>
      <c r="J425" s="36"/>
    </row>
    <row r="426" spans="2:10" x14ac:dyDescent="0.25">
      <c r="B426" s="36"/>
      <c r="C426" s="36"/>
      <c r="D426" s="36"/>
      <c r="E426" s="107"/>
      <c r="F426" s="36"/>
      <c r="G426" s="394"/>
      <c r="H426" s="394"/>
      <c r="I426" s="374"/>
      <c r="J426" s="36"/>
    </row>
    <row r="427" spans="2:10" x14ac:dyDescent="0.25">
      <c r="B427" s="36"/>
      <c r="C427" s="36"/>
      <c r="D427" s="36"/>
      <c r="E427" s="107"/>
      <c r="F427" s="36"/>
      <c r="G427" s="394"/>
      <c r="H427" s="394"/>
      <c r="I427" s="374"/>
      <c r="J427" s="36"/>
    </row>
    <row r="428" spans="2:10" x14ac:dyDescent="0.25">
      <c r="B428" s="36"/>
      <c r="C428" s="36"/>
      <c r="D428" s="36"/>
      <c r="E428" s="107"/>
      <c r="F428" s="36"/>
      <c r="G428" s="394"/>
      <c r="H428" s="394"/>
      <c r="I428" s="374"/>
      <c r="J428" s="36"/>
    </row>
    <row r="429" spans="2:10" x14ac:dyDescent="0.25">
      <c r="B429" s="36"/>
      <c r="C429" s="36"/>
      <c r="D429" s="36"/>
      <c r="E429" s="107"/>
      <c r="F429" s="36"/>
      <c r="G429" s="394"/>
      <c r="H429" s="394"/>
      <c r="I429" s="374"/>
      <c r="J429" s="36"/>
    </row>
    <row r="430" spans="2:10" x14ac:dyDescent="0.25">
      <c r="B430" s="36"/>
      <c r="C430" s="36"/>
      <c r="D430" s="36"/>
      <c r="E430" s="107"/>
      <c r="F430" s="36"/>
      <c r="G430" s="394"/>
      <c r="H430" s="394"/>
      <c r="I430" s="374"/>
      <c r="J430" s="36"/>
    </row>
    <row r="431" spans="2:10" x14ac:dyDescent="0.25">
      <c r="B431" s="36"/>
      <c r="C431" s="36"/>
      <c r="D431" s="36"/>
      <c r="E431" s="107"/>
      <c r="F431" s="36"/>
      <c r="G431" s="394"/>
      <c r="H431" s="394"/>
      <c r="I431" s="374"/>
      <c r="J431" s="36"/>
    </row>
    <row r="432" spans="2:10" x14ac:dyDescent="0.25">
      <c r="B432" s="36"/>
      <c r="C432" s="36"/>
      <c r="D432" s="36"/>
      <c r="E432" s="107"/>
      <c r="F432" s="36"/>
      <c r="G432" s="394"/>
      <c r="H432" s="394"/>
      <c r="I432" s="374"/>
      <c r="J432" s="36"/>
    </row>
    <row r="433" spans="2:10" x14ac:dyDescent="0.25">
      <c r="B433" s="36"/>
      <c r="C433" s="36"/>
      <c r="D433" s="36"/>
      <c r="E433" s="107"/>
      <c r="F433" s="36"/>
      <c r="G433" s="394"/>
      <c r="H433" s="394"/>
      <c r="I433" s="374"/>
      <c r="J433" s="36"/>
    </row>
    <row r="434" spans="2:10" x14ac:dyDescent="0.25">
      <c r="B434" s="36"/>
      <c r="C434" s="36"/>
      <c r="D434" s="36"/>
      <c r="E434" s="107"/>
      <c r="F434" s="36"/>
      <c r="G434" s="394"/>
      <c r="H434" s="394"/>
      <c r="I434" s="374"/>
      <c r="J434" s="36"/>
    </row>
    <row r="435" spans="2:10" x14ac:dyDescent="0.25">
      <c r="B435" s="36"/>
      <c r="C435" s="36"/>
      <c r="D435" s="36"/>
      <c r="E435" s="107"/>
      <c r="F435" s="36"/>
      <c r="G435" s="394"/>
      <c r="H435" s="394"/>
      <c r="I435" s="374"/>
      <c r="J435" s="36"/>
    </row>
    <row r="436" spans="2:10" x14ac:dyDescent="0.25">
      <c r="B436" s="36"/>
      <c r="C436" s="36"/>
      <c r="D436" s="36"/>
      <c r="E436" s="107"/>
      <c r="F436" s="36"/>
      <c r="G436" s="394"/>
      <c r="H436" s="394"/>
      <c r="I436" s="374"/>
      <c r="J436" s="36"/>
    </row>
    <row r="437" spans="2:10" x14ac:dyDescent="0.25">
      <c r="B437" s="36"/>
      <c r="C437" s="36"/>
      <c r="D437" s="36"/>
      <c r="E437" s="107"/>
      <c r="F437" s="36"/>
      <c r="G437" s="394"/>
      <c r="H437" s="394"/>
      <c r="I437" s="374"/>
      <c r="J437" s="36"/>
    </row>
    <row r="438" spans="2:10" x14ac:dyDescent="0.25">
      <c r="B438" s="36"/>
      <c r="C438" s="36"/>
      <c r="D438" s="36"/>
      <c r="E438" s="107"/>
      <c r="F438" s="36"/>
      <c r="G438" s="394"/>
      <c r="H438" s="394"/>
      <c r="I438" s="374"/>
      <c r="J438" s="36"/>
    </row>
    <row r="439" spans="2:10" x14ac:dyDescent="0.25">
      <c r="B439" s="36"/>
      <c r="C439" s="36"/>
      <c r="D439" s="36"/>
      <c r="E439" s="107"/>
      <c r="F439" s="36"/>
      <c r="G439" s="394"/>
      <c r="H439" s="394"/>
      <c r="I439" s="374"/>
      <c r="J439" s="36"/>
    </row>
    <row r="440" spans="2:10" x14ac:dyDescent="0.25">
      <c r="B440" s="36"/>
      <c r="C440" s="36"/>
      <c r="D440" s="36"/>
      <c r="E440" s="107"/>
      <c r="F440" s="36"/>
      <c r="G440" s="394"/>
      <c r="H440" s="394"/>
      <c r="I440" s="374"/>
      <c r="J440" s="36"/>
    </row>
    <row r="441" spans="2:10" x14ac:dyDescent="0.25">
      <c r="B441" s="36"/>
      <c r="C441" s="36"/>
      <c r="D441" s="36"/>
      <c r="E441" s="107"/>
      <c r="F441" s="36"/>
      <c r="G441" s="394"/>
      <c r="H441" s="394"/>
      <c r="I441" s="374"/>
      <c r="J441" s="36"/>
    </row>
    <row r="442" spans="2:10" x14ac:dyDescent="0.25">
      <c r="B442" s="36"/>
      <c r="C442" s="36"/>
      <c r="D442" s="36"/>
      <c r="E442" s="107"/>
      <c r="F442" s="36"/>
      <c r="G442" s="394"/>
      <c r="H442" s="394"/>
      <c r="I442" s="374"/>
      <c r="J442" s="36"/>
    </row>
    <row r="443" spans="2:10" x14ac:dyDescent="0.25">
      <c r="B443" s="36"/>
      <c r="C443" s="36"/>
      <c r="D443" s="36"/>
      <c r="E443" s="107"/>
      <c r="F443" s="36"/>
      <c r="G443" s="394"/>
      <c r="H443" s="394"/>
      <c r="I443" s="374"/>
      <c r="J443" s="36"/>
    </row>
    <row r="444" spans="2:10" x14ac:dyDescent="0.25">
      <c r="B444" s="36"/>
      <c r="C444" s="36"/>
      <c r="D444" s="36"/>
      <c r="E444" s="107"/>
      <c r="F444" s="36"/>
      <c r="G444" s="394"/>
      <c r="H444" s="394"/>
      <c r="I444" s="374"/>
      <c r="J444" s="36"/>
    </row>
    <row r="445" spans="2:10" x14ac:dyDescent="0.25">
      <c r="B445" s="36"/>
      <c r="C445" s="36"/>
      <c r="D445" s="36"/>
      <c r="E445" s="107"/>
      <c r="F445" s="36"/>
      <c r="G445" s="394"/>
      <c r="H445" s="394"/>
      <c r="I445" s="374"/>
      <c r="J445" s="36"/>
    </row>
    <row r="446" spans="2:10" x14ac:dyDescent="0.25">
      <c r="B446" s="36"/>
      <c r="C446" s="36"/>
      <c r="D446" s="36"/>
      <c r="E446" s="107"/>
      <c r="F446" s="36"/>
      <c r="G446" s="394"/>
      <c r="H446" s="394"/>
      <c r="I446" s="374"/>
      <c r="J446" s="36"/>
    </row>
    <row r="447" spans="2:10" x14ac:dyDescent="0.25">
      <c r="B447" s="36"/>
      <c r="C447" s="36"/>
      <c r="D447" s="36"/>
      <c r="E447" s="107"/>
      <c r="F447" s="36"/>
      <c r="G447" s="394"/>
      <c r="H447" s="394"/>
      <c r="I447" s="374"/>
      <c r="J447" s="36"/>
    </row>
    <row r="448" spans="2:10" x14ac:dyDescent="0.25">
      <c r="B448" s="36"/>
      <c r="C448" s="36"/>
      <c r="D448" s="36"/>
      <c r="E448" s="107"/>
      <c r="F448" s="36"/>
      <c r="G448" s="394"/>
      <c r="H448" s="394"/>
      <c r="I448" s="374"/>
      <c r="J448" s="36"/>
    </row>
    <row r="449" spans="2:10" x14ac:dyDescent="0.25">
      <c r="B449" s="36"/>
      <c r="C449" s="36"/>
      <c r="D449" s="36"/>
      <c r="E449" s="107"/>
      <c r="F449" s="36"/>
      <c r="G449" s="394"/>
      <c r="H449" s="394"/>
      <c r="I449" s="374"/>
      <c r="J449" s="36"/>
    </row>
    <row r="450" spans="2:10" x14ac:dyDescent="0.25">
      <c r="B450" s="36"/>
      <c r="C450" s="36"/>
      <c r="D450" s="36"/>
      <c r="E450" s="107"/>
      <c r="F450" s="36"/>
      <c r="G450" s="394"/>
      <c r="H450" s="394"/>
      <c r="I450" s="374"/>
      <c r="J450" s="36"/>
    </row>
    <row r="451" spans="2:10" x14ac:dyDescent="0.25">
      <c r="B451" s="36"/>
      <c r="C451" s="36"/>
      <c r="D451" s="36"/>
      <c r="E451" s="107"/>
      <c r="F451" s="36"/>
      <c r="G451" s="394"/>
      <c r="H451" s="394"/>
      <c r="I451" s="374"/>
      <c r="J451" s="36"/>
    </row>
    <row r="452" spans="2:10" x14ac:dyDescent="0.25">
      <c r="B452" s="36"/>
      <c r="C452" s="36"/>
      <c r="D452" s="36"/>
      <c r="E452" s="107"/>
      <c r="F452" s="36"/>
      <c r="G452" s="394"/>
      <c r="H452" s="394"/>
      <c r="I452" s="374"/>
      <c r="J452" s="36"/>
    </row>
    <row r="453" spans="2:10" x14ac:dyDescent="0.25">
      <c r="B453" s="36"/>
      <c r="C453" s="36"/>
      <c r="D453" s="36"/>
      <c r="E453" s="107"/>
      <c r="F453" s="36"/>
      <c r="G453" s="394"/>
      <c r="H453" s="394"/>
      <c r="I453" s="374"/>
      <c r="J453" s="36"/>
    </row>
    <row r="454" spans="2:10" x14ac:dyDescent="0.25">
      <c r="B454" s="36"/>
      <c r="C454" s="36"/>
      <c r="D454" s="36"/>
      <c r="E454" s="107"/>
      <c r="F454" s="36"/>
      <c r="G454" s="394"/>
      <c r="H454" s="394"/>
      <c r="I454" s="374"/>
      <c r="J454" s="36"/>
    </row>
    <row r="455" spans="2:10" x14ac:dyDescent="0.25">
      <c r="B455" s="36"/>
      <c r="C455" s="36"/>
      <c r="D455" s="36"/>
      <c r="E455" s="107"/>
      <c r="F455" s="36"/>
      <c r="G455" s="394"/>
      <c r="H455" s="394"/>
      <c r="I455" s="374"/>
      <c r="J455" s="36"/>
    </row>
    <row r="456" spans="2:10" x14ac:dyDescent="0.25">
      <c r="B456" s="36"/>
      <c r="C456" s="36"/>
      <c r="D456" s="36"/>
      <c r="E456" s="107"/>
      <c r="F456" s="36"/>
      <c r="G456" s="394"/>
      <c r="H456" s="394"/>
      <c r="I456" s="374"/>
      <c r="J456" s="36"/>
    </row>
    <row r="457" spans="2:10" x14ac:dyDescent="0.25">
      <c r="B457" s="36"/>
      <c r="C457" s="36"/>
      <c r="D457" s="36"/>
      <c r="E457" s="107"/>
      <c r="F457" s="36"/>
      <c r="G457" s="394"/>
      <c r="H457" s="394"/>
      <c r="I457" s="374"/>
      <c r="J457" s="36"/>
    </row>
    <row r="458" spans="2:10" x14ac:dyDescent="0.25">
      <c r="B458" s="36"/>
      <c r="C458" s="36"/>
      <c r="D458" s="36"/>
      <c r="E458" s="107"/>
      <c r="F458" s="36"/>
      <c r="G458" s="394"/>
      <c r="H458" s="394"/>
      <c r="I458" s="374"/>
      <c r="J458" s="36"/>
    </row>
    <row r="459" spans="2:10" x14ac:dyDescent="0.25">
      <c r="B459" s="36"/>
      <c r="C459" s="36"/>
      <c r="D459" s="36"/>
      <c r="E459" s="107"/>
      <c r="F459" s="36"/>
      <c r="G459" s="394"/>
      <c r="H459" s="394"/>
      <c r="I459" s="374"/>
      <c r="J459" s="36"/>
    </row>
    <row r="460" spans="2:10" x14ac:dyDescent="0.25">
      <c r="B460" s="36"/>
      <c r="C460" s="36"/>
      <c r="D460" s="36"/>
      <c r="E460" s="107"/>
      <c r="F460" s="36"/>
      <c r="G460" s="394"/>
      <c r="H460" s="394"/>
      <c r="I460" s="374"/>
      <c r="J460" s="36"/>
    </row>
    <row r="461" spans="2:10" x14ac:dyDescent="0.25">
      <c r="B461" s="36"/>
      <c r="C461" s="36"/>
      <c r="D461" s="36"/>
      <c r="E461" s="107"/>
      <c r="F461" s="36"/>
      <c r="G461" s="394"/>
      <c r="H461" s="394"/>
      <c r="I461" s="374"/>
      <c r="J461" s="36"/>
    </row>
    <row r="462" spans="2:10" x14ac:dyDescent="0.25">
      <c r="B462" s="36"/>
      <c r="C462" s="36"/>
      <c r="D462" s="36"/>
      <c r="E462" s="107"/>
      <c r="F462" s="36"/>
      <c r="G462" s="394"/>
      <c r="H462" s="394"/>
      <c r="I462" s="374"/>
      <c r="J462" s="36"/>
    </row>
    <row r="463" spans="2:10" x14ac:dyDescent="0.25">
      <c r="B463" s="36"/>
      <c r="C463" s="36"/>
      <c r="D463" s="36"/>
      <c r="E463" s="107"/>
      <c r="F463" s="36"/>
      <c r="G463" s="394"/>
      <c r="H463" s="394"/>
      <c r="I463" s="374"/>
      <c r="J463" s="36"/>
    </row>
    <row r="464" spans="2:10" x14ac:dyDescent="0.25">
      <c r="B464" s="36"/>
      <c r="C464" s="36"/>
      <c r="D464" s="36"/>
      <c r="E464" s="107"/>
      <c r="F464" s="36"/>
      <c r="G464" s="394"/>
      <c r="H464" s="394"/>
      <c r="I464" s="374"/>
      <c r="J464" s="36"/>
    </row>
    <row r="465" spans="2:10" x14ac:dyDescent="0.25">
      <c r="B465" s="36"/>
      <c r="C465" s="36"/>
      <c r="D465" s="36"/>
      <c r="E465" s="107"/>
      <c r="F465" s="36"/>
      <c r="G465" s="394"/>
      <c r="H465" s="394"/>
      <c r="I465" s="374"/>
      <c r="J465" s="36"/>
    </row>
    <row r="466" spans="2:10" x14ac:dyDescent="0.25">
      <c r="B466" s="36"/>
      <c r="C466" s="36"/>
      <c r="D466" s="36"/>
      <c r="E466" s="107"/>
      <c r="F466" s="36"/>
      <c r="G466" s="394"/>
      <c r="H466" s="394"/>
      <c r="I466" s="374"/>
      <c r="J466" s="36"/>
    </row>
    <row r="467" spans="2:10" x14ac:dyDescent="0.25">
      <c r="B467" s="36"/>
      <c r="C467" s="36"/>
      <c r="D467" s="36"/>
      <c r="E467" s="107"/>
      <c r="F467" s="36"/>
      <c r="G467" s="394"/>
      <c r="H467" s="394"/>
      <c r="I467" s="374"/>
      <c r="J467" s="36"/>
    </row>
    <row r="468" spans="2:10" x14ac:dyDescent="0.25">
      <c r="B468" s="36"/>
      <c r="C468" s="36"/>
      <c r="D468" s="36"/>
      <c r="E468" s="107"/>
      <c r="F468" s="36"/>
      <c r="G468" s="394"/>
      <c r="H468" s="394"/>
      <c r="I468" s="374"/>
      <c r="J468" s="36"/>
    </row>
    <row r="469" spans="2:10" x14ac:dyDescent="0.25">
      <c r="B469" s="36"/>
      <c r="C469" s="36"/>
      <c r="D469" s="36"/>
      <c r="E469" s="107"/>
      <c r="F469" s="36"/>
      <c r="G469" s="394"/>
      <c r="H469" s="394"/>
      <c r="I469" s="374"/>
      <c r="J469" s="36"/>
    </row>
    <row r="470" spans="2:10" x14ac:dyDescent="0.25">
      <c r="B470" s="36"/>
      <c r="C470" s="36"/>
      <c r="D470" s="36"/>
      <c r="E470" s="107"/>
      <c r="F470" s="36"/>
      <c r="G470" s="394"/>
      <c r="H470" s="394"/>
      <c r="I470" s="374"/>
      <c r="J470" s="36"/>
    </row>
    <row r="471" spans="2:10" x14ac:dyDescent="0.25">
      <c r="B471" s="36"/>
      <c r="C471" s="36"/>
      <c r="D471" s="36"/>
      <c r="E471" s="107"/>
      <c r="F471" s="36"/>
      <c r="G471" s="394"/>
      <c r="H471" s="394"/>
      <c r="I471" s="374"/>
      <c r="J471" s="36"/>
    </row>
    <row r="472" spans="2:10" x14ac:dyDescent="0.25">
      <c r="B472" s="36"/>
      <c r="C472" s="36"/>
      <c r="D472" s="36"/>
      <c r="E472" s="107"/>
      <c r="F472" s="36"/>
      <c r="G472" s="394"/>
      <c r="H472" s="394"/>
      <c r="I472" s="374"/>
      <c r="J472" s="36"/>
    </row>
    <row r="473" spans="2:10" x14ac:dyDescent="0.25">
      <c r="B473" s="36"/>
      <c r="C473" s="36"/>
      <c r="D473" s="36"/>
      <c r="E473" s="107"/>
      <c r="F473" s="36"/>
      <c r="G473" s="394"/>
      <c r="H473" s="394"/>
      <c r="I473" s="374"/>
      <c r="J473" s="36"/>
    </row>
    <row r="474" spans="2:10" x14ac:dyDescent="0.25">
      <c r="B474" s="36"/>
      <c r="C474" s="36"/>
      <c r="D474" s="36"/>
      <c r="E474" s="107"/>
      <c r="F474" s="36"/>
      <c r="G474" s="394"/>
      <c r="H474" s="394"/>
      <c r="I474" s="374"/>
      <c r="J474" s="36"/>
    </row>
    <row r="475" spans="2:10" x14ac:dyDescent="0.25">
      <c r="B475" s="36"/>
      <c r="C475" s="36"/>
      <c r="D475" s="36"/>
      <c r="E475" s="107"/>
      <c r="F475" s="36"/>
      <c r="G475" s="394"/>
      <c r="H475" s="394"/>
      <c r="I475" s="374"/>
      <c r="J475" s="36"/>
    </row>
    <row r="476" spans="2:10" x14ac:dyDescent="0.25">
      <c r="B476" s="36"/>
      <c r="C476" s="36"/>
      <c r="D476" s="36"/>
      <c r="E476" s="107"/>
      <c r="F476" s="36"/>
      <c r="G476" s="394"/>
      <c r="H476" s="394"/>
      <c r="I476" s="374"/>
      <c r="J476" s="36"/>
    </row>
    <row r="477" spans="2:10" x14ac:dyDescent="0.25">
      <c r="B477" s="36"/>
      <c r="C477" s="36"/>
      <c r="D477" s="36"/>
      <c r="E477" s="107"/>
      <c r="F477" s="36"/>
      <c r="G477" s="394"/>
      <c r="H477" s="394"/>
      <c r="I477" s="374"/>
      <c r="J477" s="36"/>
    </row>
    <row r="478" spans="2:10" x14ac:dyDescent="0.25">
      <c r="B478" s="36"/>
      <c r="C478" s="36"/>
      <c r="D478" s="36"/>
      <c r="E478" s="107"/>
      <c r="F478" s="36"/>
      <c r="G478" s="394"/>
      <c r="H478" s="394"/>
      <c r="I478" s="374"/>
      <c r="J478" s="36"/>
    </row>
    <row r="479" spans="2:10" x14ac:dyDescent="0.25">
      <c r="B479" s="36"/>
      <c r="C479" s="36"/>
      <c r="D479" s="36"/>
      <c r="E479" s="107"/>
      <c r="F479" s="36"/>
      <c r="G479" s="394"/>
      <c r="H479" s="394"/>
      <c r="I479" s="374"/>
      <c r="J479" s="36"/>
    </row>
    <row r="480" spans="2:10" x14ac:dyDescent="0.25">
      <c r="B480" s="36"/>
      <c r="C480" s="36"/>
      <c r="D480" s="36"/>
      <c r="E480" s="107"/>
      <c r="F480" s="36"/>
      <c r="G480" s="394"/>
      <c r="H480" s="394"/>
      <c r="I480" s="374"/>
      <c r="J480" s="36"/>
    </row>
    <row r="481" spans="2:10" x14ac:dyDescent="0.25">
      <c r="B481" s="36"/>
      <c r="C481" s="36"/>
      <c r="D481" s="36"/>
      <c r="E481" s="107"/>
      <c r="F481" s="36"/>
      <c r="G481" s="394"/>
      <c r="H481" s="394"/>
      <c r="I481" s="374"/>
      <c r="J481" s="36"/>
    </row>
    <row r="482" spans="2:10" x14ac:dyDescent="0.25">
      <c r="B482" s="36"/>
      <c r="C482" s="36"/>
      <c r="D482" s="36"/>
      <c r="E482" s="107"/>
      <c r="F482" s="36"/>
      <c r="G482" s="394"/>
      <c r="H482" s="394"/>
      <c r="I482" s="374"/>
      <c r="J482" s="36"/>
    </row>
    <row r="483" spans="2:10" x14ac:dyDescent="0.25">
      <c r="B483" s="36"/>
      <c r="C483" s="36"/>
      <c r="D483" s="36"/>
      <c r="E483" s="107"/>
      <c r="F483" s="36"/>
      <c r="G483" s="394"/>
      <c r="H483" s="394"/>
      <c r="I483" s="374"/>
      <c r="J483" s="36"/>
    </row>
    <row r="484" spans="2:10" x14ac:dyDescent="0.25">
      <c r="B484" s="36"/>
      <c r="C484" s="36"/>
      <c r="D484" s="36"/>
      <c r="E484" s="107"/>
      <c r="F484" s="36"/>
      <c r="G484" s="394"/>
      <c r="H484" s="394"/>
      <c r="I484" s="374"/>
      <c r="J484" s="36"/>
    </row>
    <row r="485" spans="2:10" x14ac:dyDescent="0.25">
      <c r="B485" s="36"/>
      <c r="C485" s="36"/>
      <c r="D485" s="36"/>
      <c r="E485" s="107"/>
      <c r="F485" s="36"/>
      <c r="G485" s="394"/>
      <c r="H485" s="394"/>
      <c r="I485" s="374"/>
      <c r="J485" s="36"/>
    </row>
    <row r="486" spans="2:10" x14ac:dyDescent="0.25">
      <c r="B486" s="36"/>
      <c r="C486" s="36"/>
      <c r="D486" s="36"/>
      <c r="E486" s="107"/>
      <c r="F486" s="36"/>
      <c r="G486" s="394"/>
      <c r="H486" s="394"/>
      <c r="I486" s="374"/>
      <c r="J486" s="36"/>
    </row>
    <row r="487" spans="2:10" x14ac:dyDescent="0.25">
      <c r="B487" s="36"/>
      <c r="C487" s="36"/>
      <c r="D487" s="36"/>
      <c r="E487" s="107"/>
      <c r="F487" s="36"/>
      <c r="G487" s="394"/>
      <c r="H487" s="394"/>
      <c r="I487" s="374"/>
      <c r="J487" s="36"/>
    </row>
    <row r="488" spans="2:10" x14ac:dyDescent="0.25">
      <c r="B488" s="36"/>
      <c r="C488" s="36"/>
      <c r="D488" s="36"/>
      <c r="E488" s="107"/>
      <c r="F488" s="36"/>
      <c r="G488" s="394"/>
      <c r="H488" s="394"/>
      <c r="I488" s="374"/>
      <c r="J488" s="36"/>
    </row>
    <row r="489" spans="2:10" x14ac:dyDescent="0.25">
      <c r="B489" s="36"/>
      <c r="C489" s="36"/>
      <c r="D489" s="36"/>
      <c r="E489" s="107"/>
      <c r="F489" s="36"/>
      <c r="G489" s="394"/>
      <c r="H489" s="394"/>
      <c r="I489" s="374"/>
      <c r="J489" s="36"/>
    </row>
    <row r="490" spans="2:10" x14ac:dyDescent="0.25">
      <c r="B490" s="36"/>
      <c r="C490" s="36"/>
      <c r="D490" s="36"/>
      <c r="E490" s="107"/>
      <c r="F490" s="36"/>
      <c r="G490" s="394"/>
      <c r="H490" s="394"/>
      <c r="I490" s="374"/>
      <c r="J490" s="36"/>
    </row>
    <row r="491" spans="2:10" x14ac:dyDescent="0.25">
      <c r="B491" s="36"/>
      <c r="C491" s="36"/>
      <c r="D491" s="36"/>
      <c r="E491" s="107"/>
      <c r="F491" s="36"/>
      <c r="G491" s="394"/>
      <c r="H491" s="394"/>
      <c r="I491" s="374"/>
      <c r="J491" s="36"/>
    </row>
    <row r="492" spans="2:10" x14ac:dyDescent="0.25">
      <c r="B492" s="36"/>
      <c r="C492" s="36"/>
      <c r="D492" s="36"/>
      <c r="E492" s="107"/>
      <c r="F492" s="36"/>
      <c r="G492" s="394"/>
      <c r="H492" s="394"/>
      <c r="I492" s="374"/>
      <c r="J492" s="36"/>
    </row>
    <row r="493" spans="2:10" x14ac:dyDescent="0.25">
      <c r="B493" s="36"/>
      <c r="C493" s="36"/>
      <c r="D493" s="36"/>
      <c r="E493" s="107"/>
      <c r="F493" s="36"/>
      <c r="G493" s="394"/>
      <c r="H493" s="394"/>
      <c r="I493" s="374"/>
      <c r="J493" s="36"/>
    </row>
    <row r="494" spans="2:10" x14ac:dyDescent="0.25">
      <c r="B494" s="36"/>
      <c r="C494" s="36"/>
      <c r="D494" s="36"/>
      <c r="E494" s="107"/>
      <c r="F494" s="36"/>
      <c r="G494" s="394"/>
      <c r="H494" s="394"/>
      <c r="I494" s="374"/>
      <c r="J494" s="36"/>
    </row>
    <row r="495" spans="2:10" x14ac:dyDescent="0.25">
      <c r="B495" s="36"/>
      <c r="C495" s="36"/>
      <c r="D495" s="36"/>
      <c r="E495" s="107"/>
      <c r="F495" s="36"/>
      <c r="G495" s="394"/>
      <c r="H495" s="394"/>
      <c r="I495" s="374"/>
      <c r="J495" s="36"/>
    </row>
    <row r="496" spans="2:10" x14ac:dyDescent="0.25">
      <c r="B496" s="36"/>
      <c r="C496" s="36"/>
      <c r="D496" s="36"/>
      <c r="E496" s="107"/>
      <c r="F496" s="36"/>
      <c r="G496" s="394"/>
      <c r="H496" s="394"/>
      <c r="I496" s="374"/>
      <c r="J496" s="36"/>
    </row>
    <row r="497" spans="2:10" x14ac:dyDescent="0.25">
      <c r="B497" s="36"/>
      <c r="C497" s="36"/>
      <c r="D497" s="36"/>
      <c r="E497" s="107"/>
      <c r="F497" s="36"/>
      <c r="G497" s="394"/>
      <c r="H497" s="394"/>
      <c r="I497" s="374"/>
      <c r="J497" s="36"/>
    </row>
    <row r="498" spans="2:10" x14ac:dyDescent="0.25">
      <c r="B498" s="36"/>
      <c r="C498" s="36"/>
      <c r="D498" s="36"/>
      <c r="E498" s="107"/>
      <c r="F498" s="36"/>
      <c r="G498" s="394"/>
      <c r="H498" s="394"/>
      <c r="I498" s="374"/>
      <c r="J498" s="36"/>
    </row>
    <row r="499" spans="2:10" x14ac:dyDescent="0.25">
      <c r="B499" s="36"/>
      <c r="C499" s="36"/>
      <c r="D499" s="36"/>
      <c r="E499" s="107"/>
      <c r="F499" s="36"/>
      <c r="G499" s="394"/>
      <c r="H499" s="394"/>
      <c r="I499" s="374"/>
      <c r="J499" s="36"/>
    </row>
    <row r="500" spans="2:10" x14ac:dyDescent="0.25">
      <c r="B500" s="36"/>
      <c r="C500" s="36"/>
      <c r="D500" s="36"/>
      <c r="E500" s="107"/>
      <c r="F500" s="36"/>
      <c r="G500" s="394"/>
      <c r="H500" s="394"/>
      <c r="I500" s="374"/>
      <c r="J500" s="36"/>
    </row>
    <row r="501" spans="2:10" x14ac:dyDescent="0.25">
      <c r="B501" s="36"/>
      <c r="C501" s="36"/>
      <c r="D501" s="36"/>
      <c r="E501" s="107"/>
      <c r="F501" s="36"/>
      <c r="G501" s="394"/>
      <c r="H501" s="394"/>
      <c r="I501" s="374"/>
      <c r="J501" s="36"/>
    </row>
    <row r="502" spans="2:10" x14ac:dyDescent="0.25">
      <c r="B502" s="36"/>
      <c r="C502" s="36"/>
      <c r="D502" s="36"/>
      <c r="E502" s="107"/>
      <c r="F502" s="36"/>
      <c r="G502" s="394"/>
      <c r="H502" s="394"/>
      <c r="I502" s="374"/>
      <c r="J502" s="36"/>
    </row>
    <row r="503" spans="2:10" x14ac:dyDescent="0.25">
      <c r="B503" s="36"/>
      <c r="C503" s="36"/>
      <c r="D503" s="36"/>
      <c r="E503" s="107"/>
      <c r="F503" s="36"/>
      <c r="G503" s="394"/>
      <c r="H503" s="394"/>
      <c r="I503" s="374"/>
      <c r="J503" s="36"/>
    </row>
    <row r="504" spans="2:10" x14ac:dyDescent="0.25">
      <c r="B504" s="36"/>
      <c r="C504" s="36"/>
      <c r="D504" s="36"/>
      <c r="E504" s="107"/>
      <c r="F504" s="36"/>
      <c r="G504" s="394"/>
      <c r="H504" s="394"/>
      <c r="I504" s="374"/>
      <c r="J504" s="36"/>
    </row>
    <row r="505" spans="2:10" x14ac:dyDescent="0.25">
      <c r="B505" s="36"/>
      <c r="C505" s="36"/>
      <c r="D505" s="36"/>
      <c r="E505" s="107"/>
      <c r="F505" s="36"/>
      <c r="G505" s="394"/>
      <c r="H505" s="394"/>
      <c r="I505" s="374"/>
      <c r="J505" s="36"/>
    </row>
    <row r="506" spans="2:10" x14ac:dyDescent="0.25">
      <c r="B506" s="36"/>
      <c r="C506" s="36"/>
      <c r="D506" s="36"/>
      <c r="E506" s="107"/>
      <c r="F506" s="36"/>
      <c r="G506" s="394"/>
      <c r="H506" s="394"/>
      <c r="I506" s="374"/>
      <c r="J506" s="36"/>
    </row>
    <row r="507" spans="2:10" x14ac:dyDescent="0.25">
      <c r="B507" s="36"/>
      <c r="C507" s="36"/>
      <c r="D507" s="36"/>
      <c r="E507" s="107"/>
      <c r="F507" s="36"/>
      <c r="G507" s="394"/>
      <c r="H507" s="394"/>
      <c r="I507" s="374"/>
      <c r="J507" s="36"/>
    </row>
    <row r="508" spans="2:10" x14ac:dyDescent="0.25">
      <c r="B508" s="36"/>
      <c r="C508" s="36"/>
      <c r="D508" s="36"/>
      <c r="E508" s="107"/>
      <c r="F508" s="36"/>
      <c r="G508" s="394"/>
      <c r="H508" s="394"/>
      <c r="I508" s="374"/>
      <c r="J508" s="36"/>
    </row>
    <row r="509" spans="2:10" x14ac:dyDescent="0.25">
      <c r="B509" s="36"/>
      <c r="C509" s="36"/>
      <c r="D509" s="36"/>
      <c r="E509" s="107"/>
      <c r="F509" s="36"/>
      <c r="G509" s="394"/>
      <c r="H509" s="394"/>
      <c r="I509" s="374"/>
      <c r="J509" s="36"/>
    </row>
    <row r="510" spans="2:10" x14ac:dyDescent="0.25">
      <c r="B510" s="36"/>
      <c r="C510" s="36"/>
      <c r="D510" s="36"/>
      <c r="E510" s="107"/>
      <c r="F510" s="36"/>
      <c r="G510" s="394"/>
      <c r="H510" s="394"/>
      <c r="I510" s="374"/>
      <c r="J510" s="36"/>
    </row>
    <row r="511" spans="2:10" x14ac:dyDescent="0.25">
      <c r="B511" s="36"/>
      <c r="C511" s="36"/>
      <c r="D511" s="36"/>
      <c r="E511" s="107"/>
      <c r="F511" s="36"/>
      <c r="G511" s="394"/>
      <c r="H511" s="394"/>
      <c r="I511" s="374"/>
      <c r="J511" s="36"/>
    </row>
    <row r="512" spans="2:10" x14ac:dyDescent="0.25">
      <c r="B512" s="36"/>
      <c r="C512" s="36"/>
      <c r="D512" s="36"/>
      <c r="E512" s="107"/>
      <c r="F512" s="36"/>
      <c r="G512" s="394"/>
      <c r="H512" s="394"/>
      <c r="I512" s="374"/>
      <c r="J512" s="36"/>
    </row>
    <row r="513" spans="2:10" x14ac:dyDescent="0.25">
      <c r="B513" s="36"/>
      <c r="C513" s="36"/>
      <c r="D513" s="36"/>
      <c r="E513" s="107"/>
      <c r="F513" s="36"/>
      <c r="G513" s="394"/>
      <c r="H513" s="394"/>
      <c r="I513" s="374"/>
      <c r="J513" s="36"/>
    </row>
    <row r="514" spans="2:10" x14ac:dyDescent="0.25">
      <c r="B514" s="36"/>
      <c r="C514" s="36"/>
      <c r="D514" s="36"/>
      <c r="E514" s="107"/>
      <c r="F514" s="36"/>
      <c r="G514" s="394"/>
      <c r="H514" s="394"/>
      <c r="I514" s="374"/>
      <c r="J514" s="36"/>
    </row>
    <row r="515" spans="2:10" x14ac:dyDescent="0.25">
      <c r="B515" s="36"/>
      <c r="C515" s="36"/>
      <c r="D515" s="36"/>
      <c r="E515" s="107"/>
      <c r="F515" s="36"/>
      <c r="G515" s="394"/>
      <c r="H515" s="394"/>
      <c r="I515" s="374"/>
      <c r="J515" s="36"/>
    </row>
    <row r="516" spans="2:10" x14ac:dyDescent="0.25">
      <c r="B516" s="36"/>
      <c r="C516" s="36"/>
      <c r="D516" s="36"/>
      <c r="E516" s="107"/>
      <c r="F516" s="36"/>
      <c r="G516" s="394"/>
      <c r="H516" s="394"/>
      <c r="I516" s="374"/>
      <c r="J516" s="36"/>
    </row>
    <row r="517" spans="2:10" x14ac:dyDescent="0.25">
      <c r="B517" s="36"/>
      <c r="C517" s="36"/>
      <c r="D517" s="36"/>
      <c r="E517" s="107"/>
      <c r="F517" s="36"/>
      <c r="G517" s="394"/>
      <c r="H517" s="394"/>
      <c r="I517" s="374"/>
      <c r="J517" s="36"/>
    </row>
    <row r="518" spans="2:10" x14ac:dyDescent="0.25">
      <c r="B518" s="36"/>
      <c r="C518" s="36"/>
      <c r="D518" s="36"/>
      <c r="E518" s="107"/>
      <c r="F518" s="36"/>
      <c r="G518" s="394"/>
      <c r="H518" s="394"/>
      <c r="I518" s="374"/>
      <c r="J518" s="36"/>
    </row>
    <row r="519" spans="2:10" x14ac:dyDescent="0.25">
      <c r="B519" s="36"/>
      <c r="C519" s="36"/>
      <c r="D519" s="36"/>
      <c r="E519" s="107"/>
      <c r="F519" s="36"/>
      <c r="G519" s="394"/>
      <c r="H519" s="394"/>
      <c r="I519" s="374"/>
      <c r="J519" s="36"/>
    </row>
    <row r="520" spans="2:10" x14ac:dyDescent="0.25">
      <c r="B520" s="36"/>
      <c r="C520" s="36"/>
      <c r="D520" s="36"/>
      <c r="E520" s="107"/>
      <c r="F520" s="36"/>
      <c r="G520" s="394"/>
      <c r="H520" s="394"/>
      <c r="I520" s="374"/>
      <c r="J520" s="36"/>
    </row>
    <row r="521" spans="2:10" x14ac:dyDescent="0.25">
      <c r="B521" s="36"/>
      <c r="C521" s="36"/>
      <c r="D521" s="36"/>
      <c r="E521" s="107"/>
      <c r="F521" s="36"/>
      <c r="G521" s="394"/>
      <c r="H521" s="394"/>
      <c r="I521" s="374"/>
      <c r="J521" s="36"/>
    </row>
    <row r="522" spans="2:10" x14ac:dyDescent="0.25">
      <c r="B522" s="36"/>
      <c r="C522" s="36"/>
      <c r="D522" s="36"/>
      <c r="E522" s="107"/>
      <c r="F522" s="36"/>
      <c r="G522" s="394"/>
      <c r="H522" s="394"/>
      <c r="I522" s="374"/>
      <c r="J522" s="36"/>
    </row>
    <row r="523" spans="2:10" x14ac:dyDescent="0.25">
      <c r="B523" s="36"/>
      <c r="C523" s="36"/>
      <c r="D523" s="36"/>
      <c r="E523" s="107"/>
      <c r="F523" s="36"/>
      <c r="G523" s="394"/>
      <c r="H523" s="394"/>
      <c r="I523" s="374"/>
      <c r="J523" s="36"/>
    </row>
    <row r="524" spans="2:10" x14ac:dyDescent="0.25">
      <c r="B524" s="36"/>
      <c r="C524" s="36"/>
      <c r="D524" s="36"/>
      <c r="E524" s="107"/>
      <c r="F524" s="36"/>
      <c r="G524" s="394"/>
      <c r="H524" s="394"/>
      <c r="I524" s="374"/>
      <c r="J524" s="36"/>
    </row>
    <row r="525" spans="2:10" x14ac:dyDescent="0.25">
      <c r="B525" s="36"/>
      <c r="C525" s="36"/>
      <c r="D525" s="36"/>
      <c r="E525" s="107"/>
      <c r="F525" s="36"/>
      <c r="G525" s="394"/>
      <c r="H525" s="394"/>
      <c r="I525" s="374"/>
      <c r="J525" s="36"/>
    </row>
    <row r="526" spans="2:10" x14ac:dyDescent="0.25">
      <c r="B526" s="36"/>
      <c r="C526" s="36"/>
      <c r="D526" s="36"/>
      <c r="E526" s="107"/>
      <c r="F526" s="36"/>
      <c r="G526" s="394"/>
      <c r="H526" s="394"/>
      <c r="I526" s="374"/>
      <c r="J526" s="36"/>
    </row>
    <row r="527" spans="2:10" x14ac:dyDescent="0.25">
      <c r="B527" s="36"/>
      <c r="C527" s="36"/>
      <c r="D527" s="36"/>
      <c r="E527" s="107"/>
      <c r="F527" s="36"/>
      <c r="G527" s="394"/>
      <c r="H527" s="394"/>
      <c r="I527" s="374"/>
      <c r="J527" s="36"/>
    </row>
    <row r="528" spans="2:10" x14ac:dyDescent="0.25">
      <c r="B528" s="36"/>
      <c r="C528" s="36"/>
      <c r="D528" s="36"/>
      <c r="E528" s="107"/>
      <c r="F528" s="36"/>
      <c r="G528" s="394"/>
      <c r="H528" s="394"/>
      <c r="I528" s="374"/>
      <c r="J528" s="36"/>
    </row>
    <row r="529" spans="2:10" x14ac:dyDescent="0.25">
      <c r="B529" s="36"/>
      <c r="C529" s="36"/>
      <c r="D529" s="36"/>
      <c r="E529" s="107"/>
      <c r="F529" s="36"/>
      <c r="G529" s="394"/>
      <c r="H529" s="394"/>
      <c r="I529" s="374"/>
      <c r="J529" s="36"/>
    </row>
    <row r="530" spans="2:10" x14ac:dyDescent="0.25">
      <c r="B530" s="36"/>
      <c r="C530" s="36"/>
      <c r="D530" s="36"/>
      <c r="E530" s="107"/>
      <c r="F530" s="36"/>
      <c r="G530" s="394"/>
      <c r="H530" s="394"/>
      <c r="I530" s="374"/>
      <c r="J530" s="36"/>
    </row>
    <row r="531" spans="2:10" x14ac:dyDescent="0.25">
      <c r="B531" s="36"/>
      <c r="C531" s="36"/>
      <c r="D531" s="36"/>
      <c r="E531" s="107"/>
      <c r="F531" s="36"/>
      <c r="G531" s="394"/>
      <c r="H531" s="394"/>
      <c r="I531" s="374"/>
      <c r="J531" s="36"/>
    </row>
    <row r="532" spans="2:10" x14ac:dyDescent="0.25">
      <c r="B532" s="36"/>
      <c r="C532" s="36"/>
      <c r="D532" s="36"/>
      <c r="E532" s="107"/>
      <c r="F532" s="36"/>
      <c r="G532" s="394"/>
      <c r="H532" s="394"/>
      <c r="I532" s="374"/>
      <c r="J532" s="36"/>
    </row>
    <row r="533" spans="2:10" x14ac:dyDescent="0.25">
      <c r="B533" s="36"/>
      <c r="C533" s="36"/>
      <c r="D533" s="36"/>
      <c r="E533" s="107"/>
      <c r="F533" s="36"/>
      <c r="G533" s="394"/>
      <c r="H533" s="394"/>
      <c r="I533" s="374"/>
      <c r="J533" s="36"/>
    </row>
    <row r="534" spans="2:10" x14ac:dyDescent="0.25">
      <c r="B534" s="36"/>
      <c r="C534" s="36"/>
      <c r="D534" s="36"/>
      <c r="E534" s="107"/>
      <c r="F534" s="36"/>
      <c r="G534" s="394"/>
      <c r="H534" s="394"/>
      <c r="I534" s="374"/>
      <c r="J534" s="36"/>
    </row>
    <row r="535" spans="2:10" x14ac:dyDescent="0.25">
      <c r="B535" s="36"/>
      <c r="C535" s="36"/>
      <c r="D535" s="36"/>
      <c r="E535" s="107"/>
      <c r="F535" s="36"/>
      <c r="G535" s="394"/>
      <c r="H535" s="394"/>
      <c r="I535" s="374"/>
      <c r="J535" s="36"/>
    </row>
    <row r="536" spans="2:10" x14ac:dyDescent="0.25">
      <c r="B536" s="36"/>
      <c r="C536" s="36"/>
      <c r="D536" s="36"/>
      <c r="E536" s="107"/>
      <c r="F536" s="36"/>
      <c r="G536" s="394"/>
      <c r="H536" s="394"/>
      <c r="I536" s="374"/>
      <c r="J536" s="36"/>
    </row>
    <row r="537" spans="2:10" x14ac:dyDescent="0.25">
      <c r="B537" s="36"/>
      <c r="C537" s="36"/>
      <c r="D537" s="36"/>
      <c r="E537" s="107"/>
      <c r="F537" s="36"/>
      <c r="G537" s="394"/>
      <c r="H537" s="394"/>
      <c r="I537" s="374"/>
      <c r="J537" s="36"/>
    </row>
    <row r="538" spans="2:10" x14ac:dyDescent="0.25">
      <c r="B538" s="36"/>
      <c r="C538" s="36"/>
      <c r="D538" s="36"/>
      <c r="E538" s="107"/>
      <c r="F538" s="36"/>
      <c r="G538" s="394"/>
      <c r="H538" s="394"/>
      <c r="I538" s="374"/>
      <c r="J538" s="36"/>
    </row>
    <row r="539" spans="2:10" x14ac:dyDescent="0.25">
      <c r="B539" s="36"/>
      <c r="C539" s="36"/>
      <c r="D539" s="36"/>
      <c r="E539" s="107"/>
      <c r="F539" s="36"/>
      <c r="G539" s="394"/>
      <c r="H539" s="394"/>
      <c r="I539" s="374"/>
      <c r="J539" s="36"/>
    </row>
    <row r="540" spans="2:10" x14ac:dyDescent="0.25">
      <c r="B540" s="36"/>
      <c r="C540" s="36"/>
      <c r="D540" s="36"/>
      <c r="E540" s="107"/>
      <c r="F540" s="36"/>
      <c r="G540" s="394"/>
      <c r="H540" s="394"/>
      <c r="I540" s="374"/>
      <c r="J540" s="36"/>
    </row>
    <row r="541" spans="2:10" x14ac:dyDescent="0.25">
      <c r="B541" s="36"/>
      <c r="C541" s="36"/>
      <c r="D541" s="36"/>
      <c r="E541" s="107"/>
      <c r="F541" s="36"/>
      <c r="G541" s="394"/>
      <c r="H541" s="394"/>
      <c r="I541" s="374"/>
      <c r="J541" s="36"/>
    </row>
    <row r="542" spans="2:10" x14ac:dyDescent="0.25">
      <c r="B542" s="36"/>
      <c r="C542" s="36"/>
      <c r="D542" s="36"/>
      <c r="E542" s="107"/>
      <c r="F542" s="36"/>
      <c r="G542" s="394"/>
      <c r="H542" s="394"/>
      <c r="I542" s="374"/>
      <c r="J542" s="36"/>
    </row>
    <row r="543" spans="2:10" x14ac:dyDescent="0.25">
      <c r="B543" s="36"/>
      <c r="C543" s="36"/>
      <c r="D543" s="36"/>
      <c r="E543" s="107"/>
      <c r="F543" s="36"/>
      <c r="G543" s="394"/>
      <c r="H543" s="394"/>
      <c r="I543" s="374"/>
      <c r="J543" s="36"/>
    </row>
    <row r="544" spans="2:10" x14ac:dyDescent="0.25">
      <c r="B544" s="36"/>
      <c r="C544" s="36"/>
      <c r="D544" s="36"/>
      <c r="E544" s="107"/>
      <c r="F544" s="36"/>
      <c r="G544" s="394"/>
      <c r="H544" s="394"/>
      <c r="I544" s="374"/>
      <c r="J544" s="36"/>
    </row>
    <row r="545" spans="2:10" x14ac:dyDescent="0.25">
      <c r="B545" s="36"/>
      <c r="C545" s="36"/>
      <c r="D545" s="36"/>
      <c r="E545" s="107"/>
      <c r="F545" s="36"/>
      <c r="G545" s="394"/>
      <c r="H545" s="394"/>
      <c r="I545" s="374"/>
      <c r="J545" s="36"/>
    </row>
    <row r="546" spans="2:10" x14ac:dyDescent="0.25">
      <c r="B546" s="36"/>
      <c r="C546" s="36"/>
      <c r="D546" s="36"/>
      <c r="E546" s="107"/>
      <c r="F546" s="36"/>
      <c r="G546" s="394"/>
      <c r="H546" s="394"/>
      <c r="I546" s="374"/>
      <c r="J546" s="36"/>
    </row>
    <row r="547" spans="2:10" x14ac:dyDescent="0.25">
      <c r="B547" s="36"/>
      <c r="C547" s="36"/>
      <c r="D547" s="36"/>
      <c r="E547" s="107"/>
      <c r="F547" s="36"/>
      <c r="G547" s="394"/>
      <c r="H547" s="394"/>
      <c r="I547" s="374"/>
      <c r="J547" s="36"/>
    </row>
    <row r="548" spans="2:10" x14ac:dyDescent="0.25">
      <c r="B548" s="36"/>
      <c r="C548" s="36"/>
      <c r="D548" s="36"/>
      <c r="E548" s="107"/>
      <c r="F548" s="36"/>
      <c r="G548" s="394"/>
      <c r="H548" s="394"/>
      <c r="I548" s="374"/>
      <c r="J548" s="36"/>
    </row>
    <row r="549" spans="2:10" x14ac:dyDescent="0.25">
      <c r="B549" s="36"/>
      <c r="C549" s="36"/>
      <c r="D549" s="36"/>
      <c r="E549" s="107"/>
      <c r="F549" s="36"/>
      <c r="G549" s="394"/>
      <c r="H549" s="394"/>
      <c r="I549" s="374"/>
      <c r="J549" s="36"/>
    </row>
    <row r="550" spans="2:10" x14ac:dyDescent="0.25">
      <c r="B550" s="36"/>
      <c r="C550" s="36"/>
      <c r="D550" s="36"/>
      <c r="E550" s="107"/>
      <c r="F550" s="36"/>
      <c r="G550" s="394"/>
      <c r="H550" s="394"/>
      <c r="I550" s="374"/>
      <c r="J550" s="36"/>
    </row>
    <row r="551" spans="2:10" x14ac:dyDescent="0.25">
      <c r="B551" s="36"/>
      <c r="C551" s="36"/>
      <c r="D551" s="36"/>
      <c r="E551" s="107"/>
      <c r="F551" s="36"/>
      <c r="G551" s="394"/>
      <c r="H551" s="394"/>
      <c r="I551" s="374"/>
      <c r="J551" s="36"/>
    </row>
    <row r="552" spans="2:10" x14ac:dyDescent="0.25">
      <c r="B552" s="36"/>
      <c r="C552" s="36"/>
      <c r="D552" s="36"/>
      <c r="E552" s="107"/>
      <c r="F552" s="36"/>
      <c r="G552" s="394"/>
      <c r="H552" s="394"/>
      <c r="I552" s="374"/>
      <c r="J552" s="36"/>
    </row>
    <row r="553" spans="2:10" x14ac:dyDescent="0.25">
      <c r="B553" s="36"/>
      <c r="C553" s="36"/>
      <c r="D553" s="36"/>
      <c r="E553" s="107"/>
      <c r="F553" s="36"/>
      <c r="G553" s="394"/>
      <c r="H553" s="394"/>
      <c r="I553" s="374"/>
      <c r="J553" s="36"/>
    </row>
    <row r="554" spans="2:10" x14ac:dyDescent="0.25">
      <c r="B554" s="36"/>
      <c r="C554" s="36"/>
      <c r="D554" s="36"/>
      <c r="E554" s="107"/>
      <c r="F554" s="36"/>
      <c r="G554" s="394"/>
      <c r="H554" s="394"/>
      <c r="I554" s="374"/>
      <c r="J554" s="36"/>
    </row>
    <row r="555" spans="2:10" x14ac:dyDescent="0.25">
      <c r="B555" s="36"/>
      <c r="C555" s="36"/>
      <c r="D555" s="36"/>
      <c r="E555" s="107"/>
      <c r="F555" s="36"/>
      <c r="G555" s="394"/>
      <c r="H555" s="394"/>
      <c r="I555" s="374"/>
      <c r="J555" s="36"/>
    </row>
    <row r="556" spans="2:10" x14ac:dyDescent="0.25">
      <c r="B556" s="36"/>
      <c r="C556" s="36"/>
      <c r="D556" s="36"/>
      <c r="E556" s="107"/>
      <c r="F556" s="36"/>
      <c r="G556" s="394"/>
      <c r="H556" s="394"/>
      <c r="I556" s="374"/>
      <c r="J556" s="36"/>
    </row>
    <row r="557" spans="2:10" x14ac:dyDescent="0.25">
      <c r="B557" s="36"/>
      <c r="C557" s="36"/>
      <c r="D557" s="36"/>
      <c r="E557" s="107"/>
      <c r="F557" s="36"/>
      <c r="G557" s="394"/>
      <c r="H557" s="394"/>
      <c r="I557" s="374"/>
      <c r="J557" s="36"/>
    </row>
    <row r="558" spans="2:10" x14ac:dyDescent="0.25">
      <c r="B558" s="36"/>
      <c r="C558" s="36"/>
      <c r="D558" s="36"/>
      <c r="E558" s="107"/>
      <c r="F558" s="36"/>
      <c r="G558" s="394"/>
      <c r="H558" s="394"/>
      <c r="I558" s="374"/>
      <c r="J558" s="36"/>
    </row>
    <row r="559" spans="2:10" x14ac:dyDescent="0.25">
      <c r="B559" s="36"/>
      <c r="C559" s="36"/>
      <c r="D559" s="36"/>
      <c r="E559" s="107"/>
      <c r="F559" s="36"/>
      <c r="G559" s="394"/>
      <c r="H559" s="394"/>
      <c r="I559" s="374"/>
      <c r="J559" s="36"/>
    </row>
    <row r="560" spans="2:10" x14ac:dyDescent="0.25">
      <c r="B560" s="36"/>
      <c r="C560" s="36"/>
      <c r="D560" s="36"/>
      <c r="E560" s="107"/>
      <c r="F560" s="36"/>
      <c r="G560" s="394"/>
      <c r="H560" s="394"/>
      <c r="I560" s="374"/>
      <c r="J560" s="36"/>
    </row>
    <row r="561" spans="2:10" x14ac:dyDescent="0.25">
      <c r="B561" s="36"/>
      <c r="C561" s="36"/>
      <c r="D561" s="36"/>
      <c r="E561" s="107"/>
      <c r="F561" s="36"/>
      <c r="G561" s="394"/>
      <c r="H561" s="394"/>
      <c r="I561" s="374"/>
      <c r="J561" s="36"/>
    </row>
    <row r="562" spans="2:10" x14ac:dyDescent="0.25">
      <c r="B562" s="36"/>
      <c r="C562" s="36"/>
      <c r="D562" s="36"/>
      <c r="E562" s="107"/>
      <c r="F562" s="36"/>
      <c r="G562" s="394"/>
      <c r="H562" s="394"/>
      <c r="I562" s="374"/>
      <c r="J562" s="36"/>
    </row>
    <row r="563" spans="2:10" x14ac:dyDescent="0.25">
      <c r="B563" s="36"/>
      <c r="C563" s="36"/>
      <c r="D563" s="36"/>
      <c r="E563" s="107"/>
      <c r="F563" s="36"/>
      <c r="G563" s="394"/>
      <c r="H563" s="394"/>
      <c r="I563" s="374"/>
      <c r="J563" s="36"/>
    </row>
    <row r="564" spans="2:10" x14ac:dyDescent="0.25">
      <c r="B564" s="36"/>
      <c r="C564" s="36"/>
      <c r="D564" s="36"/>
      <c r="E564" s="107"/>
      <c r="F564" s="36"/>
      <c r="G564" s="394"/>
      <c r="H564" s="394"/>
      <c r="I564" s="374"/>
      <c r="J564" s="36"/>
    </row>
    <row r="565" spans="2:10" x14ac:dyDescent="0.25">
      <c r="B565" s="36"/>
      <c r="C565" s="36"/>
      <c r="D565" s="36"/>
      <c r="E565" s="107"/>
      <c r="F565" s="36"/>
      <c r="G565" s="394"/>
      <c r="H565" s="394"/>
      <c r="I565" s="374"/>
      <c r="J565" s="36"/>
    </row>
    <row r="566" spans="2:10" x14ac:dyDescent="0.25">
      <c r="B566" s="36"/>
      <c r="C566" s="36"/>
      <c r="D566" s="36"/>
      <c r="E566" s="107"/>
      <c r="F566" s="36"/>
      <c r="G566" s="394"/>
      <c r="H566" s="394"/>
      <c r="I566" s="374"/>
      <c r="J566" s="36"/>
    </row>
    <row r="567" spans="2:10" x14ac:dyDescent="0.25">
      <c r="B567" s="36"/>
      <c r="C567" s="36"/>
      <c r="D567" s="36"/>
      <c r="E567" s="107"/>
      <c r="F567" s="36"/>
      <c r="G567" s="394"/>
      <c r="H567" s="394"/>
      <c r="I567" s="374"/>
      <c r="J567" s="36"/>
    </row>
    <row r="568" spans="2:10" x14ac:dyDescent="0.25">
      <c r="B568" s="36"/>
      <c r="C568" s="36"/>
      <c r="D568" s="36"/>
      <c r="E568" s="107"/>
      <c r="F568" s="36"/>
      <c r="G568" s="394"/>
      <c r="H568" s="394"/>
      <c r="I568" s="374"/>
      <c r="J568" s="36"/>
    </row>
    <row r="569" spans="2:10" x14ac:dyDescent="0.25">
      <c r="B569" s="36"/>
      <c r="C569" s="36"/>
      <c r="D569" s="36"/>
      <c r="E569" s="107"/>
      <c r="F569" s="36"/>
      <c r="G569" s="394"/>
      <c r="H569" s="394"/>
      <c r="I569" s="374"/>
      <c r="J569" s="36"/>
    </row>
    <row r="570" spans="2:10" x14ac:dyDescent="0.25">
      <c r="B570" s="36"/>
      <c r="C570" s="36"/>
      <c r="D570" s="36"/>
      <c r="E570" s="107"/>
      <c r="F570" s="36"/>
      <c r="G570" s="394"/>
      <c r="H570" s="394"/>
      <c r="I570" s="374"/>
      <c r="J570" s="36"/>
    </row>
    <row r="571" spans="2:10" x14ac:dyDescent="0.25">
      <c r="B571" s="36"/>
      <c r="C571" s="36"/>
      <c r="D571" s="36"/>
      <c r="E571" s="107"/>
      <c r="F571" s="36"/>
      <c r="G571" s="394"/>
      <c r="H571" s="394"/>
      <c r="I571" s="374"/>
      <c r="J571" s="36"/>
    </row>
    <row r="572" spans="2:10" x14ac:dyDescent="0.25">
      <c r="B572" s="36"/>
      <c r="C572" s="36"/>
      <c r="D572" s="36"/>
      <c r="E572" s="107"/>
      <c r="F572" s="36"/>
      <c r="G572" s="394"/>
      <c r="H572" s="394"/>
      <c r="I572" s="374"/>
      <c r="J572" s="36"/>
    </row>
    <row r="573" spans="2:10" x14ac:dyDescent="0.25">
      <c r="B573" s="36"/>
      <c r="C573" s="36"/>
      <c r="D573" s="36"/>
      <c r="E573" s="107"/>
      <c r="F573" s="36"/>
      <c r="G573" s="394"/>
      <c r="H573" s="394"/>
      <c r="I573" s="374"/>
      <c r="J573" s="36"/>
    </row>
    <row r="574" spans="2:10" x14ac:dyDescent="0.25">
      <c r="B574" s="36"/>
      <c r="C574" s="36"/>
      <c r="D574" s="36"/>
      <c r="E574" s="107"/>
      <c r="F574" s="36"/>
      <c r="G574" s="394"/>
      <c r="H574" s="394"/>
      <c r="I574" s="374"/>
      <c r="J574" s="36"/>
    </row>
    <row r="575" spans="2:10" x14ac:dyDescent="0.25">
      <c r="B575" s="36"/>
      <c r="C575" s="36"/>
      <c r="D575" s="36"/>
      <c r="E575" s="107"/>
      <c r="F575" s="36"/>
      <c r="G575" s="394"/>
      <c r="H575" s="394"/>
      <c r="I575" s="374"/>
      <c r="J575" s="36"/>
    </row>
    <row r="576" spans="2:10" x14ac:dyDescent="0.25">
      <c r="B576" s="36"/>
      <c r="C576" s="36"/>
      <c r="D576" s="36"/>
      <c r="E576" s="107"/>
      <c r="F576" s="36"/>
      <c r="G576" s="394"/>
      <c r="H576" s="394"/>
      <c r="I576" s="374"/>
      <c r="J576" s="36"/>
    </row>
    <row r="577" spans="2:10" x14ac:dyDescent="0.25">
      <c r="B577" s="36"/>
      <c r="C577" s="36"/>
      <c r="D577" s="36"/>
      <c r="E577" s="107"/>
      <c r="F577" s="36"/>
      <c r="G577" s="394"/>
      <c r="H577" s="394"/>
      <c r="I577" s="374"/>
      <c r="J577" s="36"/>
    </row>
    <row r="578" spans="2:10" x14ac:dyDescent="0.25">
      <c r="B578" s="36"/>
      <c r="C578" s="36"/>
      <c r="D578" s="36"/>
      <c r="E578" s="107"/>
      <c r="F578" s="36"/>
      <c r="G578" s="394"/>
      <c r="H578" s="394"/>
      <c r="I578" s="374"/>
      <c r="J578" s="36"/>
    </row>
    <row r="579" spans="2:10" x14ac:dyDescent="0.25">
      <c r="B579" s="36"/>
      <c r="C579" s="36"/>
      <c r="D579" s="36"/>
      <c r="E579" s="107"/>
      <c r="F579" s="36"/>
      <c r="G579" s="394"/>
      <c r="H579" s="394"/>
      <c r="I579" s="374"/>
      <c r="J579" s="36"/>
    </row>
    <row r="580" spans="2:10" x14ac:dyDescent="0.25">
      <c r="B580" s="36"/>
      <c r="C580" s="36"/>
      <c r="D580" s="36"/>
      <c r="E580" s="107"/>
      <c r="F580" s="36"/>
      <c r="G580" s="394"/>
      <c r="H580" s="394"/>
      <c r="I580" s="374"/>
      <c r="J580" s="36"/>
    </row>
    <row r="581" spans="2:10" x14ac:dyDescent="0.25">
      <c r="B581" s="36"/>
      <c r="C581" s="36"/>
      <c r="D581" s="36"/>
      <c r="E581" s="107"/>
      <c r="F581" s="36"/>
      <c r="G581" s="394"/>
      <c r="H581" s="394"/>
      <c r="I581" s="374"/>
      <c r="J581" s="36"/>
    </row>
    <row r="582" spans="2:10" x14ac:dyDescent="0.25">
      <c r="B582" s="36"/>
      <c r="C582" s="36"/>
      <c r="D582" s="36"/>
      <c r="E582" s="107"/>
      <c r="F582" s="36"/>
      <c r="G582" s="394"/>
      <c r="H582" s="394"/>
      <c r="I582" s="374"/>
      <c r="J582" s="36"/>
    </row>
    <row r="583" spans="2:10" x14ac:dyDescent="0.25">
      <c r="B583" s="36"/>
      <c r="C583" s="36"/>
      <c r="D583" s="36"/>
      <c r="E583" s="107"/>
      <c r="F583" s="36"/>
      <c r="G583" s="394"/>
      <c r="H583" s="394"/>
      <c r="I583" s="374"/>
      <c r="J583" s="36"/>
    </row>
    <row r="584" spans="2:10" x14ac:dyDescent="0.25">
      <c r="B584" s="36"/>
      <c r="C584" s="36"/>
      <c r="D584" s="36"/>
      <c r="E584" s="107"/>
      <c r="F584" s="36"/>
      <c r="G584" s="394"/>
      <c r="H584" s="394"/>
      <c r="I584" s="374"/>
      <c r="J584" s="36"/>
    </row>
    <row r="585" spans="2:10" x14ac:dyDescent="0.25">
      <c r="B585" s="36"/>
      <c r="C585" s="36"/>
      <c r="D585" s="36"/>
      <c r="E585" s="107"/>
      <c r="F585" s="36"/>
      <c r="G585" s="394"/>
      <c r="H585" s="394"/>
      <c r="I585" s="374"/>
      <c r="J585" s="36"/>
    </row>
    <row r="586" spans="2:10" x14ac:dyDescent="0.25">
      <c r="B586" s="36"/>
      <c r="C586" s="36"/>
      <c r="D586" s="36"/>
      <c r="E586" s="107"/>
      <c r="F586" s="36"/>
      <c r="G586" s="394"/>
      <c r="H586" s="394"/>
      <c r="I586" s="374"/>
      <c r="J586" s="36"/>
    </row>
    <row r="587" spans="2:10" x14ac:dyDescent="0.25">
      <c r="B587" s="36"/>
      <c r="C587" s="36"/>
      <c r="D587" s="36"/>
      <c r="E587" s="107"/>
      <c r="F587" s="36"/>
      <c r="G587" s="394"/>
      <c r="H587" s="394"/>
      <c r="I587" s="374"/>
      <c r="J587" s="36"/>
    </row>
    <row r="588" spans="2:10" x14ac:dyDescent="0.25">
      <c r="B588" s="36"/>
      <c r="C588" s="36"/>
      <c r="D588" s="36"/>
      <c r="E588" s="107"/>
      <c r="F588" s="36"/>
      <c r="G588" s="394"/>
      <c r="H588" s="394"/>
      <c r="I588" s="374"/>
      <c r="J588" s="36"/>
    </row>
    <row r="589" spans="2:10" x14ac:dyDescent="0.25">
      <c r="B589" s="36"/>
      <c r="C589" s="36"/>
      <c r="D589" s="36"/>
      <c r="E589" s="107"/>
      <c r="F589" s="36"/>
      <c r="G589" s="394"/>
      <c r="H589" s="394"/>
      <c r="I589" s="374"/>
      <c r="J589" s="36"/>
    </row>
    <row r="590" spans="2:10" x14ac:dyDescent="0.25">
      <c r="B590" s="36"/>
      <c r="C590" s="36"/>
      <c r="D590" s="36"/>
      <c r="E590" s="107"/>
      <c r="F590" s="36"/>
      <c r="G590" s="394"/>
      <c r="H590" s="394"/>
      <c r="I590" s="374"/>
      <c r="J590" s="36"/>
    </row>
    <row r="591" spans="2:10" x14ac:dyDescent="0.25">
      <c r="B591" s="36"/>
      <c r="C591" s="36"/>
      <c r="D591" s="36"/>
      <c r="E591" s="107"/>
      <c r="F591" s="36"/>
      <c r="G591" s="394"/>
      <c r="H591" s="394"/>
      <c r="I591" s="374"/>
      <c r="J591" s="36"/>
    </row>
    <row r="592" spans="2:10" x14ac:dyDescent="0.25">
      <c r="B592" s="36"/>
      <c r="C592" s="36"/>
      <c r="D592" s="36"/>
      <c r="E592" s="107"/>
      <c r="F592" s="36"/>
      <c r="G592" s="394"/>
      <c r="H592" s="394"/>
      <c r="I592" s="374"/>
      <c r="J592" s="36"/>
    </row>
    <row r="593" spans="2:10" x14ac:dyDescent="0.25">
      <c r="B593" s="36"/>
      <c r="C593" s="36"/>
      <c r="D593" s="36"/>
      <c r="E593" s="107"/>
      <c r="F593" s="36"/>
      <c r="G593" s="394"/>
      <c r="H593" s="394"/>
      <c r="I593" s="374"/>
      <c r="J593" s="36"/>
    </row>
    <row r="594" spans="2:10" x14ac:dyDescent="0.25">
      <c r="B594" s="36"/>
      <c r="C594" s="36"/>
      <c r="D594" s="36"/>
      <c r="E594" s="107"/>
      <c r="F594" s="36"/>
      <c r="G594" s="394"/>
      <c r="H594" s="394"/>
      <c r="I594" s="374"/>
      <c r="J594" s="36"/>
    </row>
    <row r="595" spans="2:10" x14ac:dyDescent="0.25">
      <c r="B595" s="36"/>
      <c r="C595" s="36"/>
      <c r="D595" s="36"/>
      <c r="E595" s="107"/>
      <c r="F595" s="36"/>
      <c r="G595" s="394"/>
      <c r="H595" s="394"/>
      <c r="I595" s="374"/>
      <c r="J595" s="36"/>
    </row>
    <row r="596" spans="2:10" x14ac:dyDescent="0.25">
      <c r="B596" s="36"/>
      <c r="C596" s="36"/>
      <c r="D596" s="36"/>
      <c r="E596" s="107"/>
      <c r="F596" s="36"/>
      <c r="G596" s="394"/>
      <c r="H596" s="394"/>
      <c r="I596" s="374"/>
      <c r="J596" s="36"/>
    </row>
    <row r="597" spans="2:10" x14ac:dyDescent="0.25">
      <c r="B597" s="36"/>
      <c r="C597" s="36"/>
      <c r="D597" s="36"/>
      <c r="E597" s="107"/>
      <c r="F597" s="36"/>
      <c r="G597" s="394"/>
      <c r="H597" s="394"/>
      <c r="I597" s="374"/>
      <c r="J597" s="36"/>
    </row>
    <row r="598" spans="2:10" x14ac:dyDescent="0.25">
      <c r="B598" s="36"/>
      <c r="C598" s="36"/>
      <c r="D598" s="36"/>
      <c r="E598" s="107"/>
      <c r="F598" s="36"/>
      <c r="G598" s="394"/>
      <c r="H598" s="394"/>
      <c r="I598" s="374"/>
      <c r="J598" s="36"/>
    </row>
    <row r="599" spans="2:10" x14ac:dyDescent="0.25">
      <c r="B599" s="36"/>
      <c r="C599" s="36"/>
      <c r="D599" s="36"/>
      <c r="E599" s="107"/>
      <c r="F599" s="36"/>
      <c r="G599" s="394"/>
      <c r="H599" s="394"/>
      <c r="I599" s="374"/>
      <c r="J599" s="36"/>
    </row>
    <row r="600" spans="2:10" x14ac:dyDescent="0.25">
      <c r="B600" s="36"/>
      <c r="C600" s="36"/>
      <c r="D600" s="36"/>
      <c r="E600" s="107"/>
      <c r="F600" s="36"/>
      <c r="G600" s="394"/>
      <c r="H600" s="394"/>
      <c r="I600" s="374"/>
      <c r="J600" s="36"/>
    </row>
    <row r="601" spans="2:10" x14ac:dyDescent="0.25">
      <c r="B601" s="36"/>
      <c r="C601" s="36"/>
      <c r="D601" s="36"/>
      <c r="E601" s="107"/>
      <c r="F601" s="36"/>
      <c r="G601" s="394"/>
      <c r="H601" s="394"/>
      <c r="I601" s="374"/>
      <c r="J601" s="36"/>
    </row>
    <row r="602" spans="2:10" x14ac:dyDescent="0.25">
      <c r="B602" s="36"/>
      <c r="C602" s="36"/>
      <c r="D602" s="36"/>
      <c r="E602" s="107"/>
      <c r="F602" s="36"/>
      <c r="G602" s="394"/>
      <c r="H602" s="394"/>
      <c r="I602" s="374"/>
      <c r="J602" s="36"/>
    </row>
    <row r="603" spans="2:10" x14ac:dyDescent="0.25">
      <c r="B603" s="36"/>
      <c r="C603" s="36"/>
      <c r="D603" s="36"/>
      <c r="E603" s="107"/>
      <c r="F603" s="36"/>
      <c r="G603" s="394"/>
      <c r="H603" s="394"/>
      <c r="I603" s="374"/>
      <c r="J603" s="36"/>
    </row>
    <row r="604" spans="2:10" x14ac:dyDescent="0.25">
      <c r="B604" s="36"/>
      <c r="C604" s="36"/>
      <c r="D604" s="36"/>
      <c r="E604" s="107"/>
      <c r="F604" s="36"/>
      <c r="G604" s="394"/>
      <c r="H604" s="394"/>
      <c r="I604" s="374"/>
      <c r="J604" s="36"/>
    </row>
    <row r="605" spans="2:10" x14ac:dyDescent="0.25">
      <c r="B605" s="36"/>
      <c r="C605" s="36"/>
      <c r="D605" s="36"/>
      <c r="E605" s="107"/>
      <c r="F605" s="36"/>
      <c r="G605" s="394"/>
      <c r="H605" s="394"/>
      <c r="I605" s="374"/>
      <c r="J605" s="36"/>
    </row>
    <row r="606" spans="2:10" x14ac:dyDescent="0.25">
      <c r="B606" s="36"/>
      <c r="C606" s="36"/>
      <c r="D606" s="36"/>
      <c r="E606" s="107"/>
      <c r="F606" s="36"/>
      <c r="G606" s="394"/>
      <c r="H606" s="394"/>
      <c r="I606" s="374"/>
      <c r="J606" s="36"/>
    </row>
    <row r="607" spans="2:10" x14ac:dyDescent="0.25">
      <c r="B607" s="36"/>
      <c r="C607" s="36"/>
      <c r="D607" s="36"/>
      <c r="E607" s="107"/>
      <c r="F607" s="36"/>
      <c r="G607" s="394"/>
      <c r="H607" s="394"/>
      <c r="I607" s="374"/>
      <c r="J607" s="36"/>
    </row>
    <row r="608" spans="2:10" x14ac:dyDescent="0.25">
      <c r="B608" s="36"/>
      <c r="C608" s="36"/>
      <c r="D608" s="36"/>
      <c r="E608" s="107"/>
      <c r="F608" s="36"/>
      <c r="G608" s="394"/>
      <c r="H608" s="394"/>
      <c r="I608" s="374"/>
      <c r="J608" s="36"/>
    </row>
    <row r="609" spans="2:10" x14ac:dyDescent="0.25">
      <c r="B609" s="36"/>
      <c r="C609" s="36"/>
      <c r="D609" s="36"/>
      <c r="E609" s="107"/>
      <c r="F609" s="36"/>
      <c r="G609" s="394"/>
      <c r="H609" s="394"/>
      <c r="I609" s="374"/>
      <c r="J609" s="36"/>
    </row>
    <row r="610" spans="2:10" x14ac:dyDescent="0.25">
      <c r="B610" s="36"/>
      <c r="C610" s="36"/>
      <c r="D610" s="36"/>
      <c r="E610" s="107"/>
      <c r="F610" s="36"/>
      <c r="G610" s="394"/>
      <c r="H610" s="394"/>
      <c r="I610" s="374"/>
      <c r="J610" s="36"/>
    </row>
    <row r="611" spans="2:10" x14ac:dyDescent="0.25">
      <c r="B611" s="36"/>
      <c r="C611" s="36"/>
      <c r="D611" s="36"/>
      <c r="E611" s="107"/>
      <c r="F611" s="36"/>
      <c r="G611" s="394"/>
      <c r="H611" s="394"/>
      <c r="I611" s="374"/>
      <c r="J611" s="36"/>
    </row>
    <row r="612" spans="2:10" x14ac:dyDescent="0.25">
      <c r="B612" s="36"/>
      <c r="C612" s="36"/>
      <c r="D612" s="36"/>
      <c r="E612" s="107"/>
      <c r="F612" s="36"/>
      <c r="G612" s="394"/>
      <c r="H612" s="394"/>
      <c r="I612" s="374"/>
      <c r="J612" s="36"/>
    </row>
    <row r="613" spans="2:10" x14ac:dyDescent="0.25">
      <c r="B613" s="36"/>
      <c r="C613" s="36"/>
      <c r="D613" s="36"/>
      <c r="E613" s="107"/>
      <c r="F613" s="36"/>
      <c r="G613" s="394"/>
      <c r="H613" s="394"/>
      <c r="I613" s="374"/>
      <c r="J613" s="36"/>
    </row>
    <row r="614" spans="2:10" x14ac:dyDescent="0.25">
      <c r="B614" s="36"/>
      <c r="C614" s="36"/>
      <c r="D614" s="36"/>
      <c r="E614" s="107"/>
      <c r="F614" s="36"/>
      <c r="G614" s="394"/>
      <c r="H614" s="394"/>
      <c r="I614" s="374"/>
      <c r="J614" s="36"/>
    </row>
    <row r="615" spans="2:10" x14ac:dyDescent="0.25">
      <c r="B615" s="36"/>
      <c r="C615" s="36"/>
      <c r="D615" s="36"/>
      <c r="E615" s="107"/>
      <c r="F615" s="36"/>
      <c r="G615" s="394"/>
      <c r="H615" s="394"/>
      <c r="I615" s="374"/>
      <c r="J615" s="36"/>
    </row>
    <row r="616" spans="2:10" x14ac:dyDescent="0.25">
      <c r="B616" s="36"/>
      <c r="C616" s="36"/>
      <c r="D616" s="36"/>
      <c r="E616" s="107"/>
      <c r="F616" s="36"/>
      <c r="G616" s="394"/>
      <c r="H616" s="394"/>
      <c r="I616" s="374"/>
      <c r="J616" s="36"/>
    </row>
    <row r="617" spans="2:10" x14ac:dyDescent="0.25">
      <c r="B617" s="36"/>
      <c r="C617" s="36"/>
      <c r="D617" s="36"/>
      <c r="E617" s="107"/>
      <c r="F617" s="36"/>
      <c r="G617" s="394"/>
      <c r="H617" s="394"/>
      <c r="I617" s="374"/>
      <c r="J617" s="36"/>
    </row>
    <row r="618" spans="2:10" x14ac:dyDescent="0.25">
      <c r="B618" s="36"/>
      <c r="C618" s="36"/>
      <c r="D618" s="36"/>
      <c r="E618" s="107"/>
      <c r="F618" s="36"/>
      <c r="G618" s="394"/>
      <c r="H618" s="394"/>
      <c r="I618" s="374"/>
      <c r="J618" s="36"/>
    </row>
    <row r="619" spans="2:10" x14ac:dyDescent="0.25">
      <c r="B619" s="36"/>
      <c r="C619" s="36"/>
      <c r="D619" s="36"/>
      <c r="E619" s="107"/>
      <c r="F619" s="36"/>
      <c r="G619" s="394"/>
      <c r="H619" s="394"/>
      <c r="I619" s="374"/>
      <c r="J619" s="36"/>
    </row>
    <row r="620" spans="2:10" x14ac:dyDescent="0.25">
      <c r="B620" s="36"/>
      <c r="C620" s="36"/>
      <c r="D620" s="36"/>
      <c r="E620" s="107"/>
      <c r="F620" s="36"/>
      <c r="G620" s="394"/>
      <c r="H620" s="394"/>
      <c r="I620" s="374"/>
      <c r="J620" s="36"/>
    </row>
    <row r="621" spans="2:10" x14ac:dyDescent="0.25">
      <c r="B621" s="36"/>
      <c r="C621" s="36"/>
      <c r="D621" s="36"/>
      <c r="E621" s="107"/>
      <c r="F621" s="36"/>
      <c r="G621" s="394"/>
      <c r="H621" s="394"/>
      <c r="I621" s="374"/>
      <c r="J621" s="36"/>
    </row>
    <row r="622" spans="2:10" x14ac:dyDescent="0.25">
      <c r="B622" s="36"/>
      <c r="C622" s="36"/>
      <c r="D622" s="36"/>
      <c r="E622" s="107"/>
      <c r="F622" s="36"/>
      <c r="G622" s="394"/>
      <c r="H622" s="394"/>
      <c r="I622" s="374"/>
      <c r="J622" s="36"/>
    </row>
    <row r="623" spans="2:10" x14ac:dyDescent="0.25">
      <c r="B623" s="36"/>
      <c r="C623" s="36"/>
      <c r="D623" s="36"/>
      <c r="E623" s="107"/>
      <c r="F623" s="36"/>
      <c r="G623" s="394"/>
      <c r="H623" s="394"/>
      <c r="I623" s="374"/>
      <c r="J623" s="36"/>
    </row>
    <row r="624" spans="2:10" x14ac:dyDescent="0.25">
      <c r="B624" s="36"/>
      <c r="C624" s="36"/>
      <c r="D624" s="36"/>
      <c r="E624" s="107"/>
      <c r="F624" s="36"/>
      <c r="G624" s="394"/>
      <c r="H624" s="394"/>
      <c r="I624" s="374"/>
      <c r="J624" s="36"/>
    </row>
    <row r="625" spans="2:10" x14ac:dyDescent="0.25">
      <c r="B625" s="36"/>
      <c r="C625" s="36"/>
      <c r="D625" s="36"/>
      <c r="E625" s="107"/>
      <c r="F625" s="36"/>
      <c r="G625" s="394"/>
      <c r="H625" s="394"/>
      <c r="I625" s="374"/>
      <c r="J625" s="36"/>
    </row>
    <row r="626" spans="2:10" x14ac:dyDescent="0.25">
      <c r="B626" s="36"/>
      <c r="C626" s="36"/>
      <c r="D626" s="36"/>
      <c r="E626" s="107"/>
      <c r="F626" s="36"/>
      <c r="G626" s="394"/>
      <c r="H626" s="394"/>
      <c r="I626" s="374"/>
      <c r="J626" s="36"/>
    </row>
    <row r="627" spans="2:10" x14ac:dyDescent="0.25">
      <c r="B627" s="36"/>
      <c r="C627" s="36"/>
      <c r="D627" s="36"/>
      <c r="E627" s="107"/>
      <c r="F627" s="36"/>
      <c r="G627" s="394"/>
      <c r="H627" s="394"/>
      <c r="I627" s="374"/>
      <c r="J627" s="36"/>
    </row>
    <row r="628" spans="2:10" x14ac:dyDescent="0.25">
      <c r="B628" s="36"/>
      <c r="C628" s="36"/>
      <c r="D628" s="36"/>
      <c r="E628" s="107"/>
      <c r="F628" s="36"/>
      <c r="G628" s="394"/>
      <c r="H628" s="394"/>
      <c r="I628" s="374"/>
      <c r="J628" s="36"/>
    </row>
    <row r="629" spans="2:10" x14ac:dyDescent="0.25">
      <c r="B629" s="36"/>
      <c r="C629" s="36"/>
      <c r="D629" s="36"/>
      <c r="E629" s="107"/>
      <c r="F629" s="36"/>
      <c r="G629" s="394"/>
      <c r="H629" s="394"/>
      <c r="I629" s="374"/>
      <c r="J629" s="36"/>
    </row>
    <row r="630" spans="2:10" x14ac:dyDescent="0.25">
      <c r="B630" s="36"/>
      <c r="C630" s="36"/>
      <c r="D630" s="36"/>
      <c r="E630" s="107"/>
      <c r="F630" s="36"/>
      <c r="G630" s="394"/>
      <c r="H630" s="394"/>
      <c r="I630" s="374"/>
      <c r="J630" s="36"/>
    </row>
    <row r="631" spans="2:10" x14ac:dyDescent="0.25">
      <c r="B631" s="36"/>
      <c r="C631" s="36"/>
      <c r="D631" s="36"/>
      <c r="E631" s="107"/>
      <c r="F631" s="36"/>
      <c r="G631" s="394"/>
      <c r="H631" s="394"/>
      <c r="I631" s="374"/>
      <c r="J631" s="36"/>
    </row>
    <row r="632" spans="2:10" x14ac:dyDescent="0.25">
      <c r="B632" s="36"/>
      <c r="C632" s="36"/>
      <c r="D632" s="36"/>
      <c r="E632" s="107"/>
      <c r="F632" s="36"/>
      <c r="G632" s="394"/>
      <c r="H632" s="394"/>
      <c r="I632" s="374"/>
      <c r="J632" s="36"/>
    </row>
    <row r="633" spans="2:10" x14ac:dyDescent="0.25">
      <c r="B633" s="36"/>
      <c r="C633" s="36"/>
      <c r="D633" s="36"/>
      <c r="E633" s="107"/>
      <c r="F633" s="36"/>
      <c r="G633" s="394"/>
      <c r="H633" s="394"/>
      <c r="I633" s="374"/>
      <c r="J633" s="36"/>
    </row>
    <row r="634" spans="2:10" x14ac:dyDescent="0.25">
      <c r="B634" s="36"/>
      <c r="C634" s="36"/>
      <c r="D634" s="36"/>
      <c r="E634" s="107"/>
      <c r="F634" s="36"/>
      <c r="G634" s="394"/>
      <c r="H634" s="394"/>
      <c r="I634" s="374"/>
      <c r="J634" s="36"/>
    </row>
    <row r="635" spans="2:10" x14ac:dyDescent="0.25">
      <c r="B635" s="36"/>
      <c r="C635" s="36"/>
      <c r="D635" s="36"/>
      <c r="E635" s="107"/>
      <c r="F635" s="36"/>
      <c r="G635" s="394"/>
      <c r="H635" s="394"/>
      <c r="I635" s="374"/>
      <c r="J635" s="36"/>
    </row>
    <row r="636" spans="2:10" x14ac:dyDescent="0.25">
      <c r="B636" s="36"/>
      <c r="C636" s="36"/>
      <c r="D636" s="36"/>
      <c r="E636" s="107"/>
      <c r="F636" s="36"/>
      <c r="G636" s="394"/>
      <c r="H636" s="394"/>
      <c r="I636" s="374"/>
      <c r="J636" s="36"/>
    </row>
    <row r="637" spans="2:10" x14ac:dyDescent="0.25">
      <c r="B637" s="36"/>
      <c r="C637" s="36"/>
      <c r="D637" s="36"/>
      <c r="E637" s="107"/>
      <c r="F637" s="36"/>
      <c r="G637" s="394"/>
      <c r="H637" s="394"/>
      <c r="I637" s="374"/>
      <c r="J637" s="36"/>
    </row>
    <row r="638" spans="2:10" x14ac:dyDescent="0.25">
      <c r="B638" s="36"/>
      <c r="C638" s="36"/>
      <c r="D638" s="36"/>
      <c r="E638" s="107"/>
      <c r="F638" s="36"/>
      <c r="G638" s="394"/>
      <c r="H638" s="394"/>
      <c r="I638" s="374"/>
      <c r="J638" s="36"/>
    </row>
    <row r="639" spans="2:10" x14ac:dyDescent="0.25">
      <c r="B639" s="36"/>
      <c r="C639" s="36"/>
      <c r="D639" s="36"/>
      <c r="E639" s="107"/>
      <c r="F639" s="36"/>
      <c r="G639" s="394"/>
      <c r="H639" s="394"/>
      <c r="I639" s="374"/>
      <c r="J639" s="36"/>
    </row>
    <row r="640" spans="2:10" x14ac:dyDescent="0.25">
      <c r="B640" s="36"/>
      <c r="C640" s="36"/>
      <c r="D640" s="36"/>
      <c r="E640" s="107"/>
      <c r="F640" s="36"/>
      <c r="G640" s="394"/>
      <c r="H640" s="394"/>
      <c r="I640" s="374"/>
      <c r="J640" s="36"/>
    </row>
    <row r="641" spans="2:10" x14ac:dyDescent="0.25">
      <c r="B641" s="36"/>
      <c r="C641" s="36"/>
      <c r="D641" s="36"/>
      <c r="E641" s="107"/>
      <c r="F641" s="36"/>
      <c r="G641" s="394"/>
      <c r="H641" s="394"/>
      <c r="I641" s="374"/>
      <c r="J641" s="36"/>
    </row>
    <row r="642" spans="2:10" x14ac:dyDescent="0.25">
      <c r="B642" s="36"/>
      <c r="C642" s="36"/>
      <c r="D642" s="36"/>
      <c r="E642" s="107"/>
      <c r="F642" s="36"/>
      <c r="G642" s="394"/>
      <c r="H642" s="394"/>
      <c r="I642" s="374"/>
      <c r="J642" s="36"/>
    </row>
    <row r="643" spans="2:10" x14ac:dyDescent="0.25">
      <c r="B643" s="36"/>
      <c r="C643" s="36"/>
      <c r="D643" s="36"/>
      <c r="E643" s="107"/>
      <c r="F643" s="36"/>
      <c r="G643" s="394"/>
      <c r="H643" s="394"/>
      <c r="I643" s="374"/>
      <c r="J643" s="36"/>
    </row>
    <row r="644" spans="2:10" x14ac:dyDescent="0.25">
      <c r="B644" s="36"/>
      <c r="C644" s="36"/>
      <c r="D644" s="36"/>
      <c r="E644" s="107"/>
      <c r="F644" s="36"/>
      <c r="G644" s="394"/>
      <c r="H644" s="394"/>
      <c r="I644" s="374"/>
      <c r="J644" s="36"/>
    </row>
    <row r="645" spans="2:10" x14ac:dyDescent="0.25">
      <c r="B645" s="36"/>
      <c r="C645" s="36"/>
      <c r="D645" s="36"/>
      <c r="E645" s="107"/>
      <c r="F645" s="36"/>
      <c r="G645" s="394"/>
      <c r="H645" s="394"/>
      <c r="I645" s="374"/>
      <c r="J645" s="36"/>
    </row>
    <row r="646" spans="2:10" x14ac:dyDescent="0.25">
      <c r="B646" s="36"/>
      <c r="C646" s="36"/>
      <c r="D646" s="36"/>
      <c r="E646" s="107"/>
      <c r="F646" s="36"/>
      <c r="G646" s="394"/>
      <c r="H646" s="394"/>
      <c r="I646" s="374"/>
      <c r="J646" s="36"/>
    </row>
    <row r="647" spans="2:10" x14ac:dyDescent="0.25">
      <c r="B647" s="36"/>
      <c r="C647" s="36"/>
      <c r="D647" s="36"/>
      <c r="E647" s="107"/>
      <c r="F647" s="36"/>
      <c r="G647" s="394"/>
      <c r="H647" s="394"/>
      <c r="I647" s="374"/>
      <c r="J647" s="36"/>
    </row>
    <row r="648" spans="2:10" x14ac:dyDescent="0.25">
      <c r="B648" s="36"/>
      <c r="C648" s="36"/>
      <c r="D648" s="36"/>
      <c r="E648" s="107"/>
      <c r="F648" s="36"/>
      <c r="G648" s="394"/>
      <c r="H648" s="394"/>
      <c r="I648" s="374"/>
      <c r="J648" s="36"/>
    </row>
    <row r="649" spans="2:10" x14ac:dyDescent="0.25">
      <c r="B649" s="36"/>
      <c r="C649" s="36"/>
      <c r="D649" s="36"/>
      <c r="E649" s="107"/>
      <c r="F649" s="36"/>
      <c r="G649" s="394"/>
      <c r="H649" s="394"/>
      <c r="I649" s="374"/>
      <c r="J649" s="36"/>
    </row>
    <row r="650" spans="2:10" x14ac:dyDescent="0.25">
      <c r="B650" s="36"/>
      <c r="C650" s="36"/>
      <c r="D650" s="36"/>
      <c r="E650" s="107"/>
      <c r="F650" s="36"/>
      <c r="G650" s="394"/>
      <c r="H650" s="394"/>
      <c r="I650" s="374"/>
      <c r="J650" s="36"/>
    </row>
    <row r="651" spans="2:10" x14ac:dyDescent="0.25">
      <c r="B651" s="36"/>
      <c r="C651" s="36"/>
      <c r="D651" s="36"/>
      <c r="E651" s="107"/>
      <c r="F651" s="36"/>
      <c r="G651" s="394"/>
      <c r="H651" s="394"/>
      <c r="I651" s="374"/>
      <c r="J651" s="36"/>
    </row>
    <row r="652" spans="2:10" x14ac:dyDescent="0.25">
      <c r="B652" s="36"/>
      <c r="C652" s="36"/>
      <c r="D652" s="36"/>
      <c r="E652" s="107"/>
      <c r="F652" s="36"/>
      <c r="G652" s="394"/>
      <c r="H652" s="394"/>
      <c r="I652" s="374"/>
      <c r="J652" s="36"/>
    </row>
    <row r="653" spans="2:10" x14ac:dyDescent="0.25">
      <c r="B653" s="36"/>
      <c r="C653" s="36"/>
      <c r="D653" s="36"/>
      <c r="E653" s="107"/>
      <c r="F653" s="36"/>
      <c r="G653" s="394"/>
      <c r="H653" s="394"/>
      <c r="I653" s="374"/>
      <c r="J653" s="36"/>
    </row>
    <row r="654" spans="2:10" x14ac:dyDescent="0.25">
      <c r="B654" s="36"/>
      <c r="C654" s="36"/>
      <c r="D654" s="36"/>
      <c r="E654" s="107"/>
      <c r="F654" s="36"/>
      <c r="G654" s="394"/>
      <c r="H654" s="394"/>
      <c r="I654" s="374"/>
      <c r="J654" s="36"/>
    </row>
    <row r="655" spans="2:10" x14ac:dyDescent="0.25">
      <c r="B655" s="36"/>
      <c r="C655" s="36"/>
      <c r="D655" s="36"/>
      <c r="E655" s="107"/>
      <c r="F655" s="36"/>
      <c r="G655" s="394"/>
      <c r="H655" s="394"/>
      <c r="I655" s="374"/>
      <c r="J655" s="36"/>
    </row>
    <row r="656" spans="2:10" x14ac:dyDescent="0.25">
      <c r="B656" s="36"/>
      <c r="C656" s="36"/>
      <c r="D656" s="36"/>
      <c r="E656" s="107"/>
      <c r="F656" s="36"/>
      <c r="G656" s="394"/>
      <c r="H656" s="394"/>
      <c r="I656" s="374"/>
      <c r="J656" s="36"/>
    </row>
    <row r="657" spans="2:10" x14ac:dyDescent="0.25">
      <c r="B657" s="36"/>
      <c r="C657" s="36"/>
      <c r="D657" s="36"/>
      <c r="E657" s="107"/>
      <c r="F657" s="36"/>
      <c r="G657" s="394"/>
      <c r="H657" s="394"/>
      <c r="I657" s="374"/>
      <c r="J657" s="36"/>
    </row>
    <row r="658" spans="2:10" x14ac:dyDescent="0.25">
      <c r="B658" s="36"/>
      <c r="C658" s="36"/>
      <c r="D658" s="36"/>
      <c r="E658" s="107"/>
      <c r="F658" s="36"/>
      <c r="G658" s="394"/>
      <c r="H658" s="394"/>
      <c r="I658" s="374"/>
      <c r="J658" s="36"/>
    </row>
    <row r="659" spans="2:10" x14ac:dyDescent="0.25">
      <c r="B659" s="36"/>
      <c r="C659" s="36"/>
      <c r="D659" s="36"/>
      <c r="E659" s="107"/>
      <c r="F659" s="36"/>
      <c r="G659" s="394"/>
      <c r="H659" s="394"/>
      <c r="I659" s="374"/>
      <c r="J659" s="36"/>
    </row>
    <row r="660" spans="2:10" x14ac:dyDescent="0.25">
      <c r="B660" s="36"/>
      <c r="C660" s="36"/>
      <c r="D660" s="36"/>
      <c r="E660" s="107"/>
      <c r="F660" s="36"/>
      <c r="G660" s="394"/>
      <c r="H660" s="394"/>
      <c r="I660" s="374"/>
      <c r="J660" s="36"/>
    </row>
    <row r="661" spans="2:10" x14ac:dyDescent="0.25">
      <c r="B661" s="36"/>
      <c r="C661" s="36"/>
      <c r="D661" s="36"/>
      <c r="E661" s="107"/>
      <c r="F661" s="36"/>
      <c r="G661" s="394"/>
      <c r="H661" s="394"/>
      <c r="I661" s="374"/>
      <c r="J661" s="36"/>
    </row>
    <row r="662" spans="2:10" x14ac:dyDescent="0.25">
      <c r="B662" s="36"/>
      <c r="C662" s="36"/>
      <c r="D662" s="36"/>
      <c r="E662" s="107"/>
      <c r="F662" s="36"/>
      <c r="G662" s="394"/>
      <c r="H662" s="394"/>
      <c r="I662" s="374"/>
      <c r="J662" s="36"/>
    </row>
    <row r="663" spans="2:10" x14ac:dyDescent="0.25">
      <c r="B663" s="36"/>
      <c r="C663" s="36"/>
      <c r="D663" s="36"/>
      <c r="E663" s="107"/>
      <c r="F663" s="36"/>
      <c r="G663" s="394"/>
      <c r="H663" s="394"/>
      <c r="I663" s="374"/>
      <c r="J663" s="36"/>
    </row>
    <row r="664" spans="2:10" x14ac:dyDescent="0.25">
      <c r="B664" s="36"/>
      <c r="C664" s="36"/>
      <c r="D664" s="36"/>
      <c r="E664" s="107"/>
      <c r="F664" s="36"/>
      <c r="G664" s="394"/>
      <c r="H664" s="394"/>
      <c r="I664" s="374"/>
      <c r="J664" s="36"/>
    </row>
    <row r="665" spans="2:10" x14ac:dyDescent="0.25">
      <c r="B665" s="36"/>
      <c r="C665" s="36"/>
      <c r="D665" s="36"/>
      <c r="E665" s="107"/>
      <c r="F665" s="36"/>
      <c r="G665" s="394"/>
      <c r="H665" s="394"/>
      <c r="I665" s="374"/>
      <c r="J665" s="36"/>
    </row>
    <row r="666" spans="2:10" x14ac:dyDescent="0.25">
      <c r="B666" s="36"/>
      <c r="C666" s="36"/>
      <c r="D666" s="36"/>
      <c r="E666" s="107"/>
      <c r="F666" s="36"/>
      <c r="G666" s="394"/>
      <c r="H666" s="394"/>
      <c r="I666" s="374"/>
      <c r="J666" s="36"/>
    </row>
    <row r="667" spans="2:10" x14ac:dyDescent="0.25">
      <c r="B667" s="36"/>
      <c r="C667" s="36"/>
      <c r="D667" s="36"/>
      <c r="E667" s="107"/>
      <c r="F667" s="36"/>
      <c r="G667" s="394"/>
      <c r="H667" s="394"/>
      <c r="I667" s="374"/>
      <c r="J667" s="36"/>
    </row>
    <row r="668" spans="2:10" x14ac:dyDescent="0.25">
      <c r="B668" s="36"/>
      <c r="C668" s="36"/>
      <c r="D668" s="36"/>
      <c r="E668" s="107"/>
      <c r="F668" s="36"/>
      <c r="G668" s="394"/>
      <c r="H668" s="394"/>
      <c r="I668" s="374"/>
      <c r="J668" s="36"/>
    </row>
    <row r="669" spans="2:10" x14ac:dyDescent="0.25">
      <c r="B669" s="36"/>
      <c r="C669" s="36"/>
      <c r="D669" s="36"/>
      <c r="E669" s="107"/>
      <c r="F669" s="36"/>
      <c r="G669" s="394"/>
      <c r="H669" s="394"/>
      <c r="I669" s="374"/>
      <c r="J669" s="36"/>
    </row>
    <row r="670" spans="2:10" x14ac:dyDescent="0.25">
      <c r="B670" s="36"/>
      <c r="C670" s="36"/>
      <c r="D670" s="36"/>
      <c r="E670" s="107"/>
      <c r="F670" s="36"/>
      <c r="G670" s="394"/>
      <c r="H670" s="394"/>
      <c r="I670" s="374"/>
      <c r="J670" s="36"/>
    </row>
    <row r="671" spans="2:10" x14ac:dyDescent="0.25">
      <c r="B671" s="36"/>
      <c r="C671" s="36"/>
      <c r="D671" s="36"/>
      <c r="E671" s="107"/>
      <c r="F671" s="36"/>
      <c r="G671" s="394"/>
      <c r="H671" s="394"/>
      <c r="I671" s="374"/>
      <c r="J671" s="36"/>
    </row>
    <row r="672" spans="2:10" x14ac:dyDescent="0.25">
      <c r="B672" s="36"/>
      <c r="C672" s="36"/>
      <c r="D672" s="36"/>
      <c r="E672" s="107"/>
      <c r="F672" s="36"/>
      <c r="G672" s="394"/>
      <c r="H672" s="394"/>
      <c r="I672" s="374"/>
      <c r="J672" s="36"/>
    </row>
    <row r="673" spans="2:10" x14ac:dyDescent="0.25">
      <c r="B673" s="36"/>
      <c r="C673" s="36"/>
      <c r="D673" s="36"/>
      <c r="E673" s="107"/>
      <c r="F673" s="36"/>
      <c r="G673" s="394"/>
      <c r="H673" s="394"/>
      <c r="I673" s="374"/>
      <c r="J673" s="36"/>
    </row>
    <row r="674" spans="2:10" x14ac:dyDescent="0.25">
      <c r="B674" s="36"/>
      <c r="C674" s="36"/>
      <c r="D674" s="36"/>
      <c r="E674" s="107"/>
      <c r="F674" s="36"/>
      <c r="G674" s="394"/>
      <c r="H674" s="394"/>
      <c r="I674" s="374"/>
      <c r="J674" s="36"/>
    </row>
    <row r="675" spans="2:10" x14ac:dyDescent="0.25">
      <c r="B675" s="36"/>
      <c r="C675" s="36"/>
      <c r="D675" s="36"/>
      <c r="E675" s="107"/>
      <c r="F675" s="36"/>
      <c r="G675" s="394"/>
      <c r="H675" s="394"/>
      <c r="I675" s="374"/>
      <c r="J675" s="36"/>
    </row>
    <row r="676" spans="2:10" x14ac:dyDescent="0.25">
      <c r="B676" s="36"/>
      <c r="C676" s="36"/>
      <c r="D676" s="36"/>
      <c r="E676" s="107"/>
      <c r="F676" s="36"/>
      <c r="G676" s="394"/>
      <c r="H676" s="394"/>
      <c r="I676" s="374"/>
      <c r="J676" s="36"/>
    </row>
    <row r="677" spans="2:10" x14ac:dyDescent="0.25">
      <c r="B677" s="36"/>
      <c r="C677" s="36"/>
      <c r="D677" s="36"/>
      <c r="E677" s="107"/>
      <c r="F677" s="36"/>
      <c r="G677" s="394"/>
      <c r="H677" s="394"/>
      <c r="I677" s="374"/>
      <c r="J677" s="36"/>
    </row>
    <row r="678" spans="2:10" x14ac:dyDescent="0.25">
      <c r="B678" s="36"/>
      <c r="C678" s="36"/>
      <c r="D678" s="36"/>
      <c r="E678" s="107"/>
      <c r="F678" s="36"/>
      <c r="G678" s="394"/>
      <c r="H678" s="394"/>
      <c r="I678" s="374"/>
      <c r="J678" s="36"/>
    </row>
    <row r="679" spans="2:10" x14ac:dyDescent="0.25">
      <c r="B679" s="36"/>
      <c r="C679" s="36"/>
      <c r="D679" s="36"/>
      <c r="E679" s="107"/>
      <c r="F679" s="36"/>
      <c r="G679" s="394"/>
      <c r="H679" s="394"/>
      <c r="I679" s="374"/>
      <c r="J679" s="36"/>
    </row>
    <row r="680" spans="2:10" x14ac:dyDescent="0.25">
      <c r="B680" s="36"/>
      <c r="C680" s="36"/>
      <c r="D680" s="36"/>
      <c r="E680" s="107"/>
      <c r="F680" s="36"/>
      <c r="G680" s="394"/>
      <c r="H680" s="394"/>
      <c r="I680" s="374"/>
      <c r="J680" s="36"/>
    </row>
    <row r="681" spans="2:10" x14ac:dyDescent="0.25">
      <c r="B681" s="36"/>
      <c r="C681" s="36"/>
      <c r="D681" s="36"/>
      <c r="E681" s="107"/>
      <c r="F681" s="36"/>
      <c r="G681" s="394"/>
      <c r="H681" s="394"/>
      <c r="I681" s="374"/>
      <c r="J681" s="36"/>
    </row>
    <row r="682" spans="2:10" x14ac:dyDescent="0.25">
      <c r="B682" s="36"/>
      <c r="C682" s="36"/>
      <c r="D682" s="36"/>
      <c r="E682" s="107"/>
      <c r="F682" s="36"/>
      <c r="G682" s="394"/>
      <c r="H682" s="394"/>
      <c r="I682" s="374"/>
      <c r="J682" s="36"/>
    </row>
    <row r="683" spans="2:10" x14ac:dyDescent="0.25">
      <c r="B683" s="36"/>
      <c r="C683" s="36"/>
      <c r="D683" s="36"/>
      <c r="E683" s="107"/>
      <c r="F683" s="36"/>
      <c r="G683" s="394"/>
      <c r="H683" s="394"/>
      <c r="I683" s="374"/>
      <c r="J683" s="36"/>
    </row>
    <row r="684" spans="2:10" x14ac:dyDescent="0.25">
      <c r="B684" s="36"/>
      <c r="C684" s="36"/>
      <c r="D684" s="36"/>
      <c r="E684" s="107"/>
      <c r="F684" s="36"/>
      <c r="G684" s="394"/>
      <c r="H684" s="394"/>
      <c r="I684" s="374"/>
      <c r="J684" s="36"/>
    </row>
    <row r="685" spans="2:10" x14ac:dyDescent="0.25">
      <c r="B685" s="36"/>
      <c r="C685" s="36"/>
      <c r="D685" s="36"/>
      <c r="E685" s="107"/>
      <c r="F685" s="36"/>
      <c r="G685" s="394"/>
      <c r="H685" s="394"/>
      <c r="I685" s="374"/>
      <c r="J685" s="36"/>
    </row>
    <row r="686" spans="2:10" x14ac:dyDescent="0.25">
      <c r="B686" s="36"/>
      <c r="C686" s="36"/>
      <c r="D686" s="36"/>
      <c r="E686" s="107"/>
      <c r="F686" s="36"/>
      <c r="G686" s="394"/>
      <c r="H686" s="394"/>
      <c r="I686" s="374"/>
      <c r="J686" s="36"/>
    </row>
    <row r="687" spans="2:10" x14ac:dyDescent="0.25">
      <c r="B687" s="36"/>
      <c r="C687" s="36"/>
      <c r="D687" s="36"/>
      <c r="E687" s="107"/>
      <c r="F687" s="36"/>
      <c r="G687" s="394"/>
      <c r="H687" s="394"/>
      <c r="I687" s="374"/>
      <c r="J687" s="36"/>
    </row>
    <row r="688" spans="2:10" x14ac:dyDescent="0.25">
      <c r="B688" s="36"/>
      <c r="C688" s="36"/>
      <c r="D688" s="36"/>
      <c r="E688" s="107"/>
      <c r="F688" s="36"/>
      <c r="G688" s="394"/>
      <c r="H688" s="394"/>
      <c r="I688" s="374"/>
      <c r="J688" s="36"/>
    </row>
    <row r="689" spans="2:10" x14ac:dyDescent="0.25">
      <c r="B689" s="36"/>
      <c r="C689" s="36"/>
      <c r="D689" s="36"/>
      <c r="E689" s="107"/>
      <c r="F689" s="36"/>
      <c r="G689" s="394"/>
      <c r="H689" s="394"/>
      <c r="I689" s="374"/>
      <c r="J689" s="36"/>
    </row>
    <row r="690" spans="2:10" x14ac:dyDescent="0.25">
      <c r="B690" s="36"/>
      <c r="C690" s="36"/>
      <c r="D690" s="36"/>
      <c r="E690" s="107"/>
      <c r="F690" s="36"/>
      <c r="G690" s="394"/>
      <c r="H690" s="394"/>
      <c r="I690" s="374"/>
      <c r="J690" s="36"/>
    </row>
    <row r="691" spans="2:10" x14ac:dyDescent="0.25">
      <c r="B691" s="36"/>
      <c r="C691" s="36"/>
      <c r="D691" s="36"/>
      <c r="E691" s="107"/>
      <c r="F691" s="36"/>
      <c r="G691" s="394"/>
      <c r="H691" s="394"/>
      <c r="I691" s="374"/>
      <c r="J691" s="36"/>
    </row>
    <row r="692" spans="2:10" x14ac:dyDescent="0.25">
      <c r="B692" s="36"/>
      <c r="C692" s="36"/>
      <c r="D692" s="36"/>
      <c r="E692" s="107"/>
      <c r="F692" s="36"/>
      <c r="G692" s="394"/>
      <c r="H692" s="394"/>
      <c r="I692" s="374"/>
      <c r="J692" s="36"/>
    </row>
    <row r="693" spans="2:10" x14ac:dyDescent="0.25">
      <c r="B693" s="36"/>
      <c r="C693" s="36"/>
      <c r="D693" s="36"/>
      <c r="E693" s="107"/>
      <c r="F693" s="36"/>
      <c r="G693" s="394"/>
      <c r="H693" s="394"/>
      <c r="I693" s="374"/>
      <c r="J693" s="36"/>
    </row>
    <row r="694" spans="2:10" x14ac:dyDescent="0.25">
      <c r="B694" s="36"/>
      <c r="C694" s="36"/>
      <c r="D694" s="36"/>
      <c r="E694" s="107"/>
      <c r="F694" s="36"/>
      <c r="G694" s="394"/>
      <c r="H694" s="394"/>
      <c r="I694" s="374"/>
      <c r="J694" s="36"/>
    </row>
    <row r="695" spans="2:10" x14ac:dyDescent="0.25">
      <c r="B695" s="36"/>
      <c r="C695" s="36"/>
      <c r="D695" s="36"/>
      <c r="E695" s="107"/>
      <c r="F695" s="36"/>
      <c r="G695" s="394"/>
      <c r="H695" s="394"/>
      <c r="I695" s="374"/>
      <c r="J695" s="36"/>
    </row>
    <row r="696" spans="2:10" x14ac:dyDescent="0.25">
      <c r="B696" s="36"/>
      <c r="C696" s="36"/>
      <c r="D696" s="36"/>
      <c r="E696" s="107"/>
      <c r="F696" s="36"/>
      <c r="G696" s="394"/>
      <c r="H696" s="394"/>
      <c r="I696" s="374"/>
      <c r="J696" s="36"/>
    </row>
    <row r="697" spans="2:10" x14ac:dyDescent="0.25">
      <c r="B697" s="36"/>
      <c r="C697" s="36"/>
      <c r="D697" s="36"/>
      <c r="E697" s="107"/>
      <c r="F697" s="36"/>
      <c r="G697" s="394"/>
      <c r="H697" s="394"/>
      <c r="I697" s="374"/>
      <c r="J697" s="36"/>
    </row>
    <row r="698" spans="2:10" x14ac:dyDescent="0.25">
      <c r="B698" s="36"/>
      <c r="C698" s="36"/>
      <c r="D698" s="36"/>
      <c r="E698" s="107"/>
      <c r="F698" s="36"/>
      <c r="G698" s="394"/>
      <c r="H698" s="394"/>
      <c r="I698" s="374"/>
      <c r="J698" s="36"/>
    </row>
    <row r="699" spans="2:10" x14ac:dyDescent="0.25">
      <c r="B699" s="36"/>
      <c r="C699" s="36"/>
      <c r="D699" s="36"/>
      <c r="E699" s="107"/>
      <c r="F699" s="36"/>
      <c r="G699" s="394"/>
      <c r="H699" s="394"/>
      <c r="I699" s="374"/>
      <c r="J699" s="36"/>
    </row>
    <row r="700" spans="2:10" x14ac:dyDescent="0.25">
      <c r="B700" s="36"/>
      <c r="C700" s="36"/>
      <c r="D700" s="36"/>
      <c r="E700" s="107"/>
      <c r="F700" s="36"/>
      <c r="G700" s="394"/>
      <c r="H700" s="394"/>
      <c r="I700" s="374"/>
      <c r="J700" s="36"/>
    </row>
    <row r="701" spans="2:10" x14ac:dyDescent="0.25">
      <c r="B701" s="36"/>
      <c r="C701" s="36"/>
      <c r="D701" s="36"/>
      <c r="E701" s="107"/>
      <c r="F701" s="36"/>
      <c r="G701" s="394"/>
      <c r="H701" s="394"/>
      <c r="I701" s="374"/>
      <c r="J701" s="36"/>
    </row>
    <row r="702" spans="2:10" x14ac:dyDescent="0.25">
      <c r="B702" s="36"/>
      <c r="C702" s="36"/>
      <c r="D702" s="36"/>
      <c r="E702" s="107"/>
      <c r="F702" s="36"/>
      <c r="G702" s="394"/>
      <c r="H702" s="394"/>
      <c r="I702" s="374"/>
      <c r="J702" s="36"/>
    </row>
    <row r="703" spans="2:10" x14ac:dyDescent="0.25">
      <c r="B703" s="36"/>
      <c r="C703" s="36"/>
      <c r="D703" s="36"/>
      <c r="E703" s="107"/>
      <c r="F703" s="36"/>
      <c r="G703" s="394"/>
      <c r="H703" s="394"/>
      <c r="I703" s="374"/>
      <c r="J703" s="36"/>
    </row>
    <row r="704" spans="2:10" x14ac:dyDescent="0.25">
      <c r="B704" s="36"/>
      <c r="C704" s="36"/>
      <c r="D704" s="36"/>
      <c r="E704" s="107"/>
      <c r="F704" s="36"/>
      <c r="G704" s="394"/>
      <c r="H704" s="394"/>
      <c r="I704" s="374"/>
      <c r="J704" s="36"/>
    </row>
    <row r="705" spans="2:10" x14ac:dyDescent="0.25">
      <c r="B705" s="36"/>
      <c r="C705" s="36"/>
      <c r="D705" s="36"/>
      <c r="E705" s="107"/>
      <c r="F705" s="36"/>
      <c r="G705" s="394"/>
      <c r="H705" s="394"/>
      <c r="I705" s="374"/>
      <c r="J705" s="36"/>
    </row>
    <row r="706" spans="2:10" x14ac:dyDescent="0.25">
      <c r="B706" s="36"/>
      <c r="C706" s="36"/>
      <c r="D706" s="36"/>
      <c r="E706" s="107"/>
      <c r="F706" s="36"/>
      <c r="G706" s="394"/>
      <c r="H706" s="394"/>
      <c r="I706" s="374"/>
      <c r="J706" s="36"/>
    </row>
    <row r="707" spans="2:10" x14ac:dyDescent="0.25">
      <c r="B707" s="36"/>
      <c r="C707" s="36"/>
      <c r="D707" s="36"/>
      <c r="E707" s="107"/>
      <c r="F707" s="36"/>
      <c r="G707" s="394"/>
      <c r="H707" s="394"/>
      <c r="I707" s="374"/>
      <c r="J707" s="36"/>
    </row>
    <row r="708" spans="2:10" x14ac:dyDescent="0.25">
      <c r="B708" s="36"/>
      <c r="C708" s="36"/>
      <c r="D708" s="36"/>
      <c r="E708" s="107"/>
      <c r="F708" s="36"/>
      <c r="G708" s="394"/>
      <c r="H708" s="394"/>
      <c r="I708" s="374"/>
      <c r="J708" s="36"/>
    </row>
    <row r="709" spans="2:10" x14ac:dyDescent="0.25">
      <c r="B709" s="36"/>
      <c r="C709" s="36"/>
      <c r="D709" s="36"/>
      <c r="E709" s="107"/>
      <c r="F709" s="36"/>
      <c r="G709" s="394"/>
      <c r="H709" s="394"/>
      <c r="I709" s="374"/>
      <c r="J709" s="36"/>
    </row>
    <row r="710" spans="2:10" x14ac:dyDescent="0.25">
      <c r="B710" s="36"/>
      <c r="C710" s="36"/>
      <c r="D710" s="36"/>
      <c r="E710" s="107"/>
      <c r="F710" s="36"/>
      <c r="G710" s="394"/>
      <c r="H710" s="394"/>
      <c r="I710" s="374"/>
      <c r="J710" s="36"/>
    </row>
    <row r="711" spans="2:10" x14ac:dyDescent="0.25">
      <c r="B711" s="36"/>
      <c r="C711" s="36"/>
      <c r="D711" s="36"/>
      <c r="E711" s="107"/>
      <c r="F711" s="36"/>
      <c r="G711" s="394"/>
      <c r="H711" s="394"/>
      <c r="I711" s="374"/>
      <c r="J711" s="36"/>
    </row>
    <row r="712" spans="2:10" x14ac:dyDescent="0.25">
      <c r="B712" s="36"/>
      <c r="C712" s="36"/>
      <c r="D712" s="36"/>
      <c r="E712" s="107"/>
      <c r="F712" s="36"/>
      <c r="G712" s="394"/>
      <c r="H712" s="394"/>
      <c r="I712" s="374"/>
      <c r="J712" s="36"/>
    </row>
    <row r="713" spans="2:10" x14ac:dyDescent="0.25">
      <c r="B713" s="36"/>
      <c r="C713" s="36"/>
      <c r="D713" s="36"/>
      <c r="E713" s="107"/>
      <c r="F713" s="36"/>
      <c r="G713" s="394"/>
      <c r="H713" s="394"/>
      <c r="I713" s="374"/>
      <c r="J713" s="36"/>
    </row>
    <row r="714" spans="2:10" x14ac:dyDescent="0.25">
      <c r="B714" s="36"/>
      <c r="C714" s="36"/>
      <c r="D714" s="36"/>
      <c r="E714" s="107"/>
      <c r="F714" s="36"/>
      <c r="G714" s="394"/>
      <c r="H714" s="394"/>
      <c r="I714" s="374"/>
      <c r="J714" s="36"/>
    </row>
    <row r="715" spans="2:10" x14ac:dyDescent="0.25">
      <c r="B715" s="36"/>
      <c r="C715" s="36"/>
      <c r="D715" s="36"/>
      <c r="E715" s="107"/>
      <c r="F715" s="36"/>
      <c r="G715" s="394"/>
      <c r="H715" s="394"/>
      <c r="I715" s="374"/>
      <c r="J715" s="36"/>
    </row>
    <row r="716" spans="2:10" x14ac:dyDescent="0.25">
      <c r="B716" s="36"/>
      <c r="C716" s="36"/>
      <c r="D716" s="36"/>
      <c r="E716" s="107"/>
      <c r="F716" s="36"/>
      <c r="G716" s="394"/>
      <c r="H716" s="394"/>
      <c r="I716" s="374"/>
      <c r="J716" s="36"/>
    </row>
    <row r="717" spans="2:10" x14ac:dyDescent="0.25">
      <c r="B717" s="36"/>
      <c r="C717" s="36"/>
      <c r="D717" s="36"/>
      <c r="E717" s="107"/>
      <c r="F717" s="36"/>
      <c r="G717" s="394"/>
      <c r="H717" s="394"/>
      <c r="I717" s="374"/>
      <c r="J717" s="36"/>
    </row>
    <row r="718" spans="2:10" x14ac:dyDescent="0.25">
      <c r="B718" s="36"/>
      <c r="C718" s="36"/>
      <c r="D718" s="36"/>
      <c r="E718" s="107"/>
      <c r="F718" s="36"/>
      <c r="G718" s="394"/>
      <c r="H718" s="394"/>
      <c r="I718" s="374"/>
      <c r="J718" s="36"/>
    </row>
    <row r="719" spans="2:10" x14ac:dyDescent="0.25">
      <c r="B719" s="36"/>
      <c r="C719" s="36"/>
      <c r="D719" s="36"/>
      <c r="E719" s="107"/>
      <c r="F719" s="36"/>
      <c r="G719" s="394"/>
      <c r="H719" s="394"/>
      <c r="I719" s="374"/>
      <c r="J719" s="36"/>
    </row>
    <row r="720" spans="2:10" x14ac:dyDescent="0.25">
      <c r="B720" s="36"/>
      <c r="C720" s="36"/>
      <c r="D720" s="36"/>
      <c r="E720" s="107"/>
      <c r="F720" s="36"/>
      <c r="G720" s="394"/>
      <c r="H720" s="394"/>
      <c r="I720" s="374"/>
      <c r="J720" s="36"/>
    </row>
    <row r="721" spans="2:10" x14ac:dyDescent="0.25">
      <c r="B721" s="36"/>
      <c r="C721" s="36"/>
      <c r="D721" s="36"/>
      <c r="E721" s="107"/>
      <c r="F721" s="36"/>
      <c r="G721" s="394"/>
      <c r="H721" s="394"/>
      <c r="I721" s="374"/>
      <c r="J721" s="36"/>
    </row>
    <row r="722" spans="2:10" x14ac:dyDescent="0.25">
      <c r="B722" s="36"/>
      <c r="C722" s="36"/>
      <c r="D722" s="36"/>
      <c r="E722" s="107"/>
      <c r="F722" s="36"/>
      <c r="G722" s="394"/>
      <c r="H722" s="394"/>
      <c r="I722" s="374"/>
      <c r="J722" s="36"/>
    </row>
    <row r="723" spans="2:10" x14ac:dyDescent="0.25">
      <c r="B723" s="36"/>
      <c r="C723" s="36"/>
      <c r="D723" s="36"/>
      <c r="E723" s="107"/>
      <c r="F723" s="36"/>
      <c r="G723" s="394"/>
      <c r="H723" s="394"/>
      <c r="I723" s="374"/>
      <c r="J723" s="36"/>
    </row>
    <row r="724" spans="2:10" x14ac:dyDescent="0.25">
      <c r="B724" s="36"/>
      <c r="C724" s="36"/>
      <c r="D724" s="36"/>
      <c r="E724" s="107"/>
      <c r="F724" s="36"/>
      <c r="G724" s="394"/>
      <c r="H724" s="394"/>
      <c r="I724" s="374"/>
      <c r="J724" s="36"/>
    </row>
    <row r="725" spans="2:10" x14ac:dyDescent="0.25">
      <c r="B725" s="36"/>
      <c r="C725" s="36"/>
      <c r="D725" s="36"/>
      <c r="E725" s="107"/>
      <c r="F725" s="36"/>
      <c r="G725" s="394"/>
      <c r="H725" s="394"/>
      <c r="I725" s="374"/>
      <c r="J725" s="36"/>
    </row>
    <row r="726" spans="2:10" x14ac:dyDescent="0.25">
      <c r="B726" s="36"/>
      <c r="C726" s="36"/>
      <c r="D726" s="36"/>
      <c r="E726" s="107"/>
      <c r="F726" s="36"/>
      <c r="G726" s="394"/>
      <c r="H726" s="394"/>
      <c r="I726" s="374"/>
      <c r="J726" s="36"/>
    </row>
    <row r="727" spans="2:10" x14ac:dyDescent="0.25">
      <c r="B727" s="36"/>
      <c r="C727" s="36"/>
      <c r="D727" s="36"/>
      <c r="E727" s="107"/>
      <c r="F727" s="36"/>
      <c r="G727" s="394"/>
      <c r="H727" s="394"/>
      <c r="I727" s="374"/>
      <c r="J727" s="36"/>
    </row>
    <row r="728" spans="2:10" x14ac:dyDescent="0.25">
      <c r="B728" s="36"/>
      <c r="C728" s="36"/>
      <c r="D728" s="36"/>
      <c r="E728" s="107"/>
      <c r="F728" s="36"/>
      <c r="G728" s="394"/>
      <c r="H728" s="394"/>
      <c r="I728" s="374"/>
      <c r="J728" s="36"/>
    </row>
    <row r="729" spans="2:10" x14ac:dyDescent="0.25">
      <c r="B729" s="36"/>
      <c r="C729" s="36"/>
      <c r="D729" s="36"/>
      <c r="E729" s="107"/>
      <c r="F729" s="36"/>
      <c r="G729" s="394"/>
      <c r="H729" s="394"/>
      <c r="I729" s="374"/>
      <c r="J729" s="36"/>
    </row>
    <row r="730" spans="2:10" x14ac:dyDescent="0.25">
      <c r="B730" s="36"/>
      <c r="C730" s="36"/>
      <c r="D730" s="36"/>
      <c r="E730" s="107"/>
      <c r="F730" s="36"/>
      <c r="G730" s="394"/>
      <c r="H730" s="394"/>
      <c r="I730" s="374"/>
      <c r="J730" s="36"/>
    </row>
    <row r="731" spans="2:10" x14ac:dyDescent="0.25">
      <c r="B731" s="36"/>
      <c r="C731" s="36"/>
      <c r="D731" s="36"/>
      <c r="E731" s="107"/>
      <c r="F731" s="36"/>
      <c r="G731" s="394"/>
      <c r="H731" s="394"/>
      <c r="I731" s="374"/>
      <c r="J731" s="36"/>
    </row>
    <row r="732" spans="2:10" x14ac:dyDescent="0.25">
      <c r="B732" s="36"/>
      <c r="C732" s="36"/>
      <c r="D732" s="36"/>
      <c r="E732" s="107"/>
      <c r="F732" s="36"/>
      <c r="G732" s="394"/>
      <c r="H732" s="394"/>
      <c r="I732" s="374"/>
      <c r="J732" s="36"/>
    </row>
    <row r="733" spans="2:10" x14ac:dyDescent="0.25">
      <c r="B733" s="36"/>
      <c r="C733" s="36"/>
      <c r="D733" s="36"/>
      <c r="E733" s="107"/>
      <c r="F733" s="36"/>
      <c r="G733" s="394"/>
      <c r="H733" s="394"/>
      <c r="I733" s="374"/>
      <c r="J733" s="36"/>
    </row>
    <row r="734" spans="2:10" x14ac:dyDescent="0.25">
      <c r="B734" s="36"/>
      <c r="C734" s="36"/>
      <c r="D734" s="36"/>
      <c r="E734" s="107"/>
      <c r="F734" s="36"/>
      <c r="G734" s="394"/>
      <c r="H734" s="394"/>
      <c r="I734" s="374"/>
      <c r="J734" s="36"/>
    </row>
    <row r="735" spans="2:10" x14ac:dyDescent="0.25">
      <c r="B735" s="36"/>
      <c r="C735" s="36"/>
      <c r="D735" s="36"/>
      <c r="E735" s="107"/>
      <c r="F735" s="36"/>
      <c r="G735" s="394"/>
      <c r="H735" s="394"/>
      <c r="I735" s="374"/>
      <c r="J735" s="36"/>
    </row>
    <row r="736" spans="2:10" x14ac:dyDescent="0.25">
      <c r="B736" s="36"/>
      <c r="C736" s="36"/>
      <c r="D736" s="36"/>
      <c r="E736" s="107"/>
      <c r="F736" s="36"/>
      <c r="G736" s="394"/>
      <c r="H736" s="394"/>
      <c r="I736" s="374"/>
      <c r="J736" s="36"/>
    </row>
    <row r="737" spans="2:10" x14ac:dyDescent="0.25">
      <c r="B737" s="36"/>
      <c r="C737" s="36"/>
      <c r="D737" s="36"/>
      <c r="E737" s="107"/>
      <c r="F737" s="36"/>
      <c r="G737" s="394"/>
      <c r="H737" s="394"/>
      <c r="I737" s="374"/>
      <c r="J737" s="36"/>
    </row>
    <row r="738" spans="2:10" x14ac:dyDescent="0.25">
      <c r="B738" s="36"/>
      <c r="C738" s="36"/>
      <c r="D738" s="36"/>
      <c r="E738" s="107"/>
      <c r="F738" s="36"/>
      <c r="G738" s="394"/>
      <c r="H738" s="394"/>
      <c r="I738" s="374"/>
      <c r="J738" s="36"/>
    </row>
    <row r="739" spans="2:10" x14ac:dyDescent="0.25">
      <c r="B739" s="36"/>
      <c r="C739" s="36"/>
      <c r="D739" s="36"/>
      <c r="E739" s="107"/>
      <c r="F739" s="36"/>
      <c r="G739" s="394"/>
      <c r="H739" s="394"/>
      <c r="I739" s="374"/>
      <c r="J739" s="36"/>
    </row>
    <row r="740" spans="2:10" x14ac:dyDescent="0.25">
      <c r="B740" s="36"/>
      <c r="C740" s="36"/>
      <c r="D740" s="36"/>
      <c r="E740" s="107"/>
      <c r="F740" s="36"/>
      <c r="G740" s="394"/>
      <c r="H740" s="394"/>
      <c r="I740" s="374"/>
      <c r="J740" s="36"/>
    </row>
    <row r="741" spans="2:10" x14ac:dyDescent="0.25">
      <c r="B741" s="36"/>
      <c r="C741" s="36"/>
      <c r="D741" s="36"/>
      <c r="E741" s="107"/>
      <c r="F741" s="36"/>
      <c r="G741" s="394"/>
      <c r="H741" s="394"/>
      <c r="I741" s="374"/>
      <c r="J741" s="36"/>
    </row>
    <row r="742" spans="2:10" x14ac:dyDescent="0.25">
      <c r="B742" s="36"/>
      <c r="C742" s="36"/>
      <c r="D742" s="36"/>
      <c r="E742" s="107"/>
      <c r="F742" s="36"/>
      <c r="G742" s="394"/>
      <c r="H742" s="394"/>
      <c r="I742" s="374"/>
      <c r="J742" s="36"/>
    </row>
    <row r="743" spans="2:10" x14ac:dyDescent="0.25">
      <c r="B743" s="36"/>
      <c r="C743" s="36"/>
      <c r="D743" s="36"/>
      <c r="E743" s="107"/>
      <c r="F743" s="36"/>
      <c r="G743" s="394"/>
      <c r="H743" s="394"/>
      <c r="I743" s="374"/>
      <c r="J743" s="36"/>
    </row>
    <row r="744" spans="2:10" x14ac:dyDescent="0.25">
      <c r="B744" s="36"/>
      <c r="C744" s="36"/>
      <c r="D744" s="36"/>
      <c r="E744" s="107"/>
      <c r="F744" s="36"/>
      <c r="G744" s="394"/>
      <c r="H744" s="394"/>
      <c r="I744" s="374"/>
      <c r="J744" s="36"/>
    </row>
    <row r="745" spans="2:10" x14ac:dyDescent="0.25">
      <c r="B745" s="36"/>
      <c r="C745" s="36"/>
      <c r="D745" s="36"/>
      <c r="E745" s="107"/>
      <c r="F745" s="36"/>
      <c r="G745" s="394"/>
      <c r="H745" s="394"/>
      <c r="I745" s="374"/>
      <c r="J745" s="36"/>
    </row>
    <row r="746" spans="2:10" x14ac:dyDescent="0.25">
      <c r="B746" s="36"/>
      <c r="C746" s="36"/>
      <c r="D746" s="36"/>
      <c r="E746" s="107"/>
      <c r="F746" s="36"/>
      <c r="G746" s="394"/>
      <c r="H746" s="394"/>
      <c r="I746" s="374"/>
      <c r="J746" s="36"/>
    </row>
    <row r="747" spans="2:10" x14ac:dyDescent="0.25">
      <c r="B747" s="36"/>
      <c r="C747" s="36"/>
      <c r="D747" s="36"/>
      <c r="E747" s="107"/>
      <c r="F747" s="36"/>
      <c r="G747" s="394"/>
      <c r="H747" s="394"/>
      <c r="I747" s="374"/>
      <c r="J747" s="36"/>
    </row>
    <row r="748" spans="2:10" x14ac:dyDescent="0.25">
      <c r="B748" s="36"/>
      <c r="C748" s="36"/>
      <c r="D748" s="36"/>
      <c r="E748" s="107"/>
      <c r="F748" s="36"/>
      <c r="G748" s="394"/>
      <c r="H748" s="394"/>
      <c r="I748" s="374"/>
      <c r="J748" s="36"/>
    </row>
    <row r="749" spans="2:10" x14ac:dyDescent="0.25">
      <c r="B749" s="36"/>
      <c r="C749" s="36"/>
      <c r="D749" s="36"/>
      <c r="E749" s="107"/>
      <c r="F749" s="36"/>
      <c r="G749" s="394"/>
      <c r="H749" s="394"/>
      <c r="I749" s="374"/>
      <c r="J749" s="36"/>
    </row>
    <row r="750" spans="2:10" x14ac:dyDescent="0.25">
      <c r="B750" s="36"/>
      <c r="C750" s="36"/>
      <c r="D750" s="36"/>
      <c r="E750" s="107"/>
      <c r="F750" s="36"/>
      <c r="G750" s="394"/>
      <c r="H750" s="394"/>
      <c r="I750" s="374"/>
      <c r="J750" s="36"/>
    </row>
    <row r="751" spans="2:10" x14ac:dyDescent="0.25">
      <c r="B751" s="36"/>
      <c r="C751" s="36"/>
      <c r="D751" s="36"/>
      <c r="E751" s="107"/>
      <c r="F751" s="36"/>
      <c r="G751" s="394"/>
      <c r="H751" s="394"/>
      <c r="I751" s="374"/>
      <c r="J751" s="36"/>
    </row>
    <row r="752" spans="2:10" x14ac:dyDescent="0.25">
      <c r="B752" s="36"/>
      <c r="C752" s="36"/>
      <c r="D752" s="36"/>
      <c r="E752" s="107"/>
      <c r="F752" s="36"/>
      <c r="G752" s="394"/>
      <c r="H752" s="394"/>
      <c r="I752" s="374"/>
      <c r="J752" s="36"/>
    </row>
    <row r="753" spans="2:10" x14ac:dyDescent="0.25">
      <c r="B753" s="36"/>
      <c r="C753" s="36"/>
      <c r="D753" s="36"/>
      <c r="E753" s="107"/>
      <c r="F753" s="36"/>
      <c r="G753" s="394"/>
      <c r="H753" s="394"/>
      <c r="I753" s="374"/>
      <c r="J753" s="36"/>
    </row>
    <row r="754" spans="2:10" x14ac:dyDescent="0.25">
      <c r="B754" s="36"/>
      <c r="C754" s="36"/>
      <c r="D754" s="36"/>
      <c r="E754" s="107"/>
      <c r="F754" s="36"/>
      <c r="G754" s="394"/>
      <c r="H754" s="394"/>
      <c r="I754" s="374"/>
      <c r="J754" s="36"/>
    </row>
    <row r="755" spans="2:10" x14ac:dyDescent="0.25">
      <c r="B755" s="36"/>
      <c r="C755" s="36"/>
      <c r="D755" s="36"/>
      <c r="E755" s="107"/>
      <c r="F755" s="36"/>
      <c r="G755" s="394"/>
      <c r="H755" s="394"/>
      <c r="I755" s="374"/>
      <c r="J755" s="36"/>
    </row>
    <row r="756" spans="2:10" x14ac:dyDescent="0.25">
      <c r="B756" s="36"/>
      <c r="C756" s="36"/>
      <c r="D756" s="36"/>
      <c r="E756" s="107"/>
      <c r="F756" s="36"/>
      <c r="G756" s="394"/>
      <c r="H756" s="394"/>
      <c r="I756" s="374"/>
      <c r="J756" s="36"/>
    </row>
    <row r="757" spans="2:10" x14ac:dyDescent="0.25">
      <c r="B757" s="36"/>
      <c r="C757" s="36"/>
      <c r="D757" s="36"/>
      <c r="E757" s="107"/>
      <c r="F757" s="36"/>
      <c r="G757" s="394"/>
      <c r="H757" s="394"/>
      <c r="I757" s="374"/>
      <c r="J757" s="36"/>
    </row>
    <row r="758" spans="2:10" x14ac:dyDescent="0.25">
      <c r="B758" s="36"/>
      <c r="C758" s="36"/>
      <c r="D758" s="36"/>
      <c r="E758" s="107"/>
      <c r="F758" s="36"/>
      <c r="G758" s="394"/>
      <c r="H758" s="394"/>
      <c r="I758" s="374"/>
      <c r="J758" s="36"/>
    </row>
    <row r="759" spans="2:10" x14ac:dyDescent="0.25">
      <c r="B759" s="36"/>
      <c r="C759" s="36"/>
      <c r="D759" s="36"/>
      <c r="E759" s="107"/>
      <c r="F759" s="36"/>
      <c r="G759" s="394"/>
      <c r="H759" s="394"/>
      <c r="I759" s="374"/>
      <c r="J759" s="36"/>
    </row>
    <row r="760" spans="2:10" x14ac:dyDescent="0.25">
      <c r="B760" s="36"/>
      <c r="C760" s="36"/>
      <c r="D760" s="36"/>
      <c r="E760" s="107"/>
      <c r="F760" s="36"/>
      <c r="G760" s="394"/>
      <c r="H760" s="394"/>
      <c r="I760" s="374"/>
      <c r="J760" s="36"/>
    </row>
    <row r="761" spans="2:10" x14ac:dyDescent="0.25">
      <c r="B761" s="36"/>
      <c r="C761" s="36"/>
      <c r="D761" s="36"/>
      <c r="E761" s="107"/>
      <c r="F761" s="36"/>
      <c r="G761" s="394"/>
      <c r="H761" s="394"/>
      <c r="I761" s="374"/>
      <c r="J761" s="36"/>
    </row>
    <row r="762" spans="2:10" x14ac:dyDescent="0.25">
      <c r="B762" s="36"/>
      <c r="C762" s="36"/>
      <c r="D762" s="36"/>
      <c r="E762" s="107"/>
      <c r="F762" s="36"/>
      <c r="G762" s="394"/>
      <c r="H762" s="394"/>
      <c r="I762" s="374"/>
      <c r="J762" s="36"/>
    </row>
    <row r="763" spans="2:10" x14ac:dyDescent="0.25">
      <c r="B763" s="36"/>
      <c r="C763" s="36"/>
      <c r="D763" s="36"/>
      <c r="E763" s="107"/>
      <c r="F763" s="36"/>
      <c r="G763" s="394"/>
      <c r="H763" s="394"/>
      <c r="I763" s="374"/>
      <c r="J763" s="36"/>
    </row>
    <row r="764" spans="2:10" x14ac:dyDescent="0.25">
      <c r="B764" s="36"/>
      <c r="C764" s="36"/>
      <c r="D764" s="36"/>
      <c r="E764" s="107"/>
      <c r="F764" s="36"/>
      <c r="G764" s="394"/>
      <c r="H764" s="394"/>
      <c r="I764" s="374"/>
      <c r="J764" s="36"/>
    </row>
    <row r="765" spans="2:10" x14ac:dyDescent="0.25">
      <c r="B765" s="36"/>
      <c r="C765" s="36"/>
      <c r="D765" s="36"/>
      <c r="E765" s="107"/>
      <c r="F765" s="36"/>
      <c r="G765" s="394"/>
      <c r="H765" s="394"/>
      <c r="I765" s="374"/>
      <c r="J765" s="36"/>
    </row>
    <row r="766" spans="2:10" x14ac:dyDescent="0.25">
      <c r="B766" s="36"/>
      <c r="C766" s="36"/>
      <c r="D766" s="36"/>
      <c r="E766" s="107"/>
      <c r="F766" s="36"/>
      <c r="G766" s="394"/>
      <c r="H766" s="394"/>
      <c r="I766" s="374"/>
      <c r="J766" s="36"/>
    </row>
    <row r="767" spans="2:10" x14ac:dyDescent="0.25">
      <c r="B767" s="36"/>
      <c r="C767" s="36"/>
      <c r="D767" s="36"/>
      <c r="E767" s="107"/>
      <c r="F767" s="36"/>
      <c r="G767" s="394"/>
      <c r="H767" s="394"/>
      <c r="I767" s="374"/>
      <c r="J767" s="36"/>
    </row>
    <row r="768" spans="2:10" x14ac:dyDescent="0.25">
      <c r="B768" s="36"/>
      <c r="C768" s="36"/>
      <c r="D768" s="36"/>
      <c r="E768" s="107"/>
      <c r="F768" s="36"/>
      <c r="G768" s="394"/>
      <c r="H768" s="394"/>
      <c r="I768" s="374"/>
      <c r="J768" s="36"/>
    </row>
    <row r="769" spans="2:10" x14ac:dyDescent="0.25">
      <c r="B769" s="36"/>
      <c r="C769" s="36"/>
      <c r="D769" s="36"/>
      <c r="E769" s="107"/>
      <c r="F769" s="36"/>
      <c r="G769" s="394"/>
      <c r="H769" s="394"/>
      <c r="I769" s="374"/>
      <c r="J769" s="36"/>
    </row>
    <row r="770" spans="2:10" x14ac:dyDescent="0.25">
      <c r="B770" s="36"/>
      <c r="C770" s="36"/>
      <c r="D770" s="36"/>
      <c r="E770" s="107"/>
      <c r="F770" s="36"/>
      <c r="G770" s="394"/>
      <c r="H770" s="394"/>
      <c r="I770" s="374"/>
      <c r="J770" s="36"/>
    </row>
    <row r="771" spans="2:10" x14ac:dyDescent="0.25">
      <c r="B771" s="36"/>
      <c r="C771" s="36"/>
      <c r="D771" s="36"/>
      <c r="E771" s="107"/>
      <c r="F771" s="36"/>
      <c r="G771" s="394"/>
      <c r="H771" s="394"/>
      <c r="I771" s="374"/>
      <c r="J771" s="36"/>
    </row>
    <row r="772" spans="2:10" x14ac:dyDescent="0.25">
      <c r="B772" s="36"/>
      <c r="C772" s="36"/>
      <c r="D772" s="36"/>
      <c r="E772" s="107"/>
      <c r="F772" s="36"/>
      <c r="G772" s="394"/>
      <c r="H772" s="394"/>
      <c r="I772" s="374"/>
      <c r="J772" s="36"/>
    </row>
    <row r="773" spans="2:10" x14ac:dyDescent="0.25">
      <c r="B773" s="36"/>
      <c r="C773" s="36"/>
      <c r="D773" s="36"/>
      <c r="E773" s="107"/>
      <c r="F773" s="36"/>
      <c r="G773" s="394"/>
      <c r="H773" s="394"/>
      <c r="I773" s="374"/>
      <c r="J773" s="36"/>
    </row>
    <row r="774" spans="2:10" x14ac:dyDescent="0.25">
      <c r="B774" s="36"/>
      <c r="C774" s="36"/>
      <c r="D774" s="36"/>
      <c r="E774" s="107"/>
      <c r="F774" s="36"/>
      <c r="G774" s="394"/>
      <c r="H774" s="394"/>
      <c r="I774" s="374"/>
      <c r="J774" s="36"/>
    </row>
    <row r="775" spans="2:10" x14ac:dyDescent="0.25">
      <c r="B775" s="36"/>
      <c r="C775" s="36"/>
      <c r="D775" s="36"/>
      <c r="E775" s="107"/>
      <c r="F775" s="36"/>
      <c r="G775" s="394"/>
      <c r="H775" s="394"/>
      <c r="I775" s="374"/>
      <c r="J775" s="36"/>
    </row>
    <row r="776" spans="2:10" x14ac:dyDescent="0.25">
      <c r="B776" s="36"/>
      <c r="C776" s="36"/>
      <c r="D776" s="36"/>
      <c r="E776" s="107"/>
      <c r="F776" s="36"/>
      <c r="G776" s="394"/>
      <c r="H776" s="394"/>
      <c r="I776" s="374"/>
      <c r="J776" s="36"/>
    </row>
    <row r="777" spans="2:10" x14ac:dyDescent="0.25">
      <c r="B777" s="36"/>
      <c r="C777" s="36"/>
      <c r="D777" s="36"/>
      <c r="E777" s="107"/>
      <c r="F777" s="36"/>
      <c r="G777" s="394"/>
      <c r="H777" s="394"/>
      <c r="I777" s="374"/>
      <c r="J777" s="36"/>
    </row>
    <row r="778" spans="2:10" x14ac:dyDescent="0.25">
      <c r="B778" s="36"/>
      <c r="C778" s="36"/>
      <c r="D778" s="36"/>
      <c r="E778" s="107"/>
      <c r="F778" s="36"/>
      <c r="G778" s="394"/>
      <c r="H778" s="394"/>
      <c r="I778" s="374"/>
      <c r="J778" s="36"/>
    </row>
    <row r="779" spans="2:10" x14ac:dyDescent="0.25">
      <c r="B779" s="36"/>
      <c r="C779" s="36"/>
      <c r="D779" s="36"/>
      <c r="E779" s="107"/>
      <c r="F779" s="36"/>
      <c r="G779" s="394"/>
      <c r="H779" s="394"/>
      <c r="I779" s="374"/>
      <c r="J779" s="36"/>
    </row>
    <row r="780" spans="2:10" x14ac:dyDescent="0.25">
      <c r="B780" s="36"/>
      <c r="C780" s="36"/>
      <c r="D780" s="36"/>
      <c r="E780" s="107"/>
      <c r="F780" s="36"/>
      <c r="G780" s="394"/>
      <c r="H780" s="394"/>
      <c r="I780" s="374"/>
      <c r="J780" s="36"/>
    </row>
    <row r="781" spans="2:10" x14ac:dyDescent="0.25">
      <c r="B781" s="36"/>
      <c r="C781" s="36"/>
      <c r="D781" s="36"/>
      <c r="E781" s="107"/>
      <c r="F781" s="36"/>
      <c r="G781" s="394"/>
      <c r="H781" s="394"/>
      <c r="I781" s="374"/>
      <c r="J781" s="36"/>
    </row>
    <row r="782" spans="2:10" x14ac:dyDescent="0.25">
      <c r="B782" s="36"/>
      <c r="C782" s="36"/>
      <c r="D782" s="36"/>
      <c r="E782" s="107"/>
      <c r="F782" s="36"/>
      <c r="G782" s="394"/>
      <c r="H782" s="394"/>
      <c r="I782" s="374"/>
      <c r="J782" s="36"/>
    </row>
    <row r="783" spans="2:10" x14ac:dyDescent="0.25">
      <c r="B783" s="36"/>
      <c r="C783" s="36"/>
      <c r="D783" s="36"/>
      <c r="E783" s="107"/>
      <c r="F783" s="36"/>
      <c r="G783" s="394"/>
      <c r="H783" s="394"/>
      <c r="I783" s="374"/>
      <c r="J783" s="36"/>
    </row>
    <row r="784" spans="2:10" x14ac:dyDescent="0.25">
      <c r="B784" s="36"/>
      <c r="C784" s="36"/>
      <c r="D784" s="36"/>
      <c r="E784" s="107"/>
      <c r="F784" s="36"/>
      <c r="G784" s="394"/>
      <c r="H784" s="394"/>
      <c r="I784" s="374"/>
      <c r="J784" s="36"/>
    </row>
    <row r="785" spans="2:10" x14ac:dyDescent="0.25">
      <c r="B785" s="36"/>
      <c r="C785" s="36"/>
      <c r="D785" s="36"/>
      <c r="E785" s="107"/>
      <c r="F785" s="36"/>
      <c r="G785" s="394"/>
      <c r="H785" s="394"/>
      <c r="I785" s="374"/>
      <c r="J785" s="36"/>
    </row>
    <row r="786" spans="2:10" x14ac:dyDescent="0.25">
      <c r="B786" s="36"/>
      <c r="C786" s="36"/>
      <c r="D786" s="36"/>
      <c r="E786" s="107"/>
      <c r="F786" s="36"/>
      <c r="G786" s="394"/>
      <c r="H786" s="394"/>
      <c r="I786" s="374"/>
      <c r="J786" s="36"/>
    </row>
    <row r="787" spans="2:10" x14ac:dyDescent="0.25">
      <c r="B787" s="36"/>
      <c r="C787" s="36"/>
      <c r="D787" s="36"/>
      <c r="E787" s="107"/>
      <c r="F787" s="36"/>
      <c r="G787" s="394"/>
      <c r="H787" s="394"/>
      <c r="I787" s="374"/>
      <c r="J787" s="36"/>
    </row>
    <row r="788" spans="2:10" x14ac:dyDescent="0.25">
      <c r="B788" s="36"/>
      <c r="C788" s="36"/>
      <c r="D788" s="36"/>
      <c r="E788" s="107"/>
      <c r="F788" s="36"/>
      <c r="G788" s="394"/>
      <c r="H788" s="394"/>
      <c r="I788" s="374"/>
      <c r="J788" s="36"/>
    </row>
    <row r="789" spans="2:10" x14ac:dyDescent="0.25">
      <c r="B789" s="36"/>
      <c r="C789" s="36"/>
      <c r="D789" s="36"/>
      <c r="E789" s="107"/>
      <c r="F789" s="36"/>
      <c r="G789" s="394"/>
      <c r="H789" s="394"/>
      <c r="I789" s="374"/>
      <c r="J789" s="36"/>
    </row>
    <row r="790" spans="2:10" x14ac:dyDescent="0.25">
      <c r="B790" s="36"/>
      <c r="C790" s="36"/>
      <c r="D790" s="36"/>
      <c r="E790" s="107"/>
      <c r="F790" s="36"/>
      <c r="G790" s="394"/>
      <c r="H790" s="394"/>
      <c r="I790" s="374"/>
      <c r="J790" s="36"/>
    </row>
    <row r="791" spans="2:10" x14ac:dyDescent="0.25">
      <c r="B791" s="36"/>
      <c r="C791" s="36"/>
      <c r="D791" s="36"/>
      <c r="E791" s="107"/>
      <c r="F791" s="36"/>
      <c r="G791" s="394"/>
      <c r="H791" s="394"/>
      <c r="I791" s="374"/>
      <c r="J791" s="36"/>
    </row>
    <row r="792" spans="2:10" x14ac:dyDescent="0.25">
      <c r="B792" s="36"/>
      <c r="C792" s="36"/>
      <c r="D792" s="36"/>
      <c r="E792" s="107"/>
      <c r="F792" s="36"/>
      <c r="G792" s="394"/>
      <c r="H792" s="394"/>
      <c r="I792" s="374"/>
      <c r="J792" s="36"/>
    </row>
    <row r="793" spans="2:10" x14ac:dyDescent="0.25">
      <c r="B793" s="36"/>
      <c r="C793" s="36"/>
      <c r="D793" s="36"/>
      <c r="E793" s="107"/>
      <c r="F793" s="36"/>
      <c r="G793" s="394"/>
      <c r="H793" s="394"/>
      <c r="I793" s="374"/>
      <c r="J793" s="36"/>
    </row>
    <row r="794" spans="2:10" x14ac:dyDescent="0.25">
      <c r="B794" s="36"/>
      <c r="C794" s="36"/>
      <c r="D794" s="36"/>
      <c r="E794" s="107"/>
      <c r="F794" s="36"/>
      <c r="G794" s="394"/>
      <c r="H794" s="394"/>
      <c r="I794" s="374"/>
      <c r="J794" s="36"/>
    </row>
    <row r="795" spans="2:10" x14ac:dyDescent="0.25">
      <c r="B795" s="36"/>
      <c r="C795" s="36"/>
      <c r="D795" s="36"/>
      <c r="E795" s="107"/>
      <c r="F795" s="36"/>
      <c r="G795" s="394"/>
      <c r="H795" s="394"/>
      <c r="I795" s="374"/>
      <c r="J795" s="36"/>
    </row>
    <row r="796" spans="2:10" x14ac:dyDescent="0.25">
      <c r="B796" s="36"/>
      <c r="C796" s="36"/>
      <c r="D796" s="36"/>
      <c r="E796" s="107"/>
      <c r="F796" s="36"/>
      <c r="G796" s="394"/>
      <c r="H796" s="394"/>
      <c r="I796" s="374"/>
      <c r="J796" s="36"/>
    </row>
    <row r="797" spans="2:10" x14ac:dyDescent="0.25">
      <c r="B797" s="36"/>
      <c r="C797" s="36"/>
      <c r="D797" s="36"/>
      <c r="E797" s="107"/>
      <c r="F797" s="36"/>
      <c r="G797" s="394"/>
      <c r="H797" s="394"/>
      <c r="I797" s="374"/>
      <c r="J797" s="36"/>
    </row>
    <row r="798" spans="2:10" x14ac:dyDescent="0.25">
      <c r="B798" s="36"/>
      <c r="C798" s="36"/>
      <c r="D798" s="36"/>
      <c r="E798" s="107"/>
      <c r="F798" s="36"/>
      <c r="G798" s="394"/>
      <c r="H798" s="394"/>
      <c r="I798" s="374"/>
      <c r="J798" s="36"/>
    </row>
    <row r="799" spans="2:10" x14ac:dyDescent="0.25">
      <c r="B799" s="36"/>
      <c r="C799" s="36"/>
      <c r="D799" s="36"/>
      <c r="E799" s="107"/>
      <c r="F799" s="36"/>
      <c r="G799" s="394"/>
      <c r="H799" s="394"/>
      <c r="I799" s="374"/>
      <c r="J799" s="36"/>
    </row>
    <row r="800" spans="2:10" x14ac:dyDescent="0.25">
      <c r="B800" s="36"/>
      <c r="C800" s="36"/>
      <c r="D800" s="36"/>
      <c r="E800" s="107"/>
      <c r="F800" s="36"/>
      <c r="G800" s="394"/>
      <c r="H800" s="394"/>
      <c r="I800" s="374"/>
      <c r="J800" s="36"/>
    </row>
    <row r="801" spans="2:10" x14ac:dyDescent="0.25">
      <c r="B801" s="36"/>
      <c r="C801" s="36"/>
      <c r="D801" s="36"/>
      <c r="E801" s="107"/>
      <c r="F801" s="36"/>
      <c r="G801" s="394"/>
      <c r="H801" s="394"/>
      <c r="I801" s="374"/>
      <c r="J801" s="36"/>
    </row>
    <row r="802" spans="2:10" x14ac:dyDescent="0.25">
      <c r="B802" s="36"/>
      <c r="C802" s="36"/>
      <c r="D802" s="36"/>
      <c r="E802" s="107"/>
      <c r="F802" s="36"/>
      <c r="G802" s="394"/>
      <c r="H802" s="394"/>
      <c r="I802" s="374"/>
      <c r="J802" s="36"/>
    </row>
    <row r="803" spans="2:10" x14ac:dyDescent="0.25">
      <c r="B803" s="36"/>
      <c r="C803" s="36"/>
      <c r="D803" s="36"/>
      <c r="E803" s="107"/>
      <c r="F803" s="36"/>
      <c r="G803" s="394"/>
      <c r="H803" s="394"/>
      <c r="I803" s="374"/>
      <c r="J803" s="36"/>
    </row>
    <row r="804" spans="2:10" x14ac:dyDescent="0.25">
      <c r="B804" s="36"/>
      <c r="C804" s="36"/>
      <c r="D804" s="36"/>
      <c r="E804" s="107"/>
      <c r="F804" s="36"/>
      <c r="G804" s="394"/>
      <c r="H804" s="394"/>
      <c r="I804" s="374"/>
      <c r="J804" s="36"/>
    </row>
    <row r="805" spans="2:10" x14ac:dyDescent="0.25">
      <c r="B805" s="36"/>
      <c r="C805" s="36"/>
      <c r="D805" s="36"/>
      <c r="E805" s="107"/>
      <c r="F805" s="36"/>
      <c r="G805" s="394"/>
      <c r="H805" s="394"/>
      <c r="I805" s="374"/>
      <c r="J805" s="36"/>
    </row>
    <row r="806" spans="2:10" x14ac:dyDescent="0.25">
      <c r="B806" s="36"/>
      <c r="C806" s="36"/>
      <c r="D806" s="36"/>
      <c r="E806" s="107"/>
      <c r="F806" s="36"/>
      <c r="G806" s="394"/>
      <c r="H806" s="394"/>
      <c r="I806" s="374"/>
      <c r="J806" s="36"/>
    </row>
    <row r="807" spans="2:10" x14ac:dyDescent="0.25">
      <c r="B807" s="36"/>
      <c r="C807" s="36"/>
      <c r="D807" s="36"/>
      <c r="E807" s="107"/>
      <c r="F807" s="36"/>
      <c r="G807" s="394"/>
      <c r="H807" s="394"/>
      <c r="I807" s="374"/>
      <c r="J807" s="36"/>
    </row>
    <row r="808" spans="2:10" x14ac:dyDescent="0.25">
      <c r="B808" s="36"/>
      <c r="C808" s="36"/>
      <c r="D808" s="36"/>
      <c r="E808" s="107"/>
      <c r="F808" s="36"/>
      <c r="G808" s="394"/>
      <c r="H808" s="394"/>
      <c r="I808" s="374"/>
      <c r="J808" s="36"/>
    </row>
    <row r="809" spans="2:10" x14ac:dyDescent="0.25">
      <c r="B809" s="36"/>
      <c r="C809" s="36"/>
      <c r="D809" s="36"/>
      <c r="E809" s="107"/>
      <c r="F809" s="36"/>
      <c r="G809" s="394"/>
      <c r="H809" s="394"/>
      <c r="I809" s="374"/>
      <c r="J809" s="36"/>
    </row>
    <row r="810" spans="2:10" x14ac:dyDescent="0.25">
      <c r="B810" s="36"/>
      <c r="C810" s="36"/>
      <c r="D810" s="36"/>
      <c r="E810" s="107"/>
      <c r="F810" s="36"/>
      <c r="G810" s="394"/>
      <c r="H810" s="394"/>
      <c r="I810" s="374"/>
      <c r="J810" s="36"/>
    </row>
    <row r="811" spans="2:10" x14ac:dyDescent="0.25">
      <c r="B811" s="36"/>
      <c r="C811" s="36"/>
      <c r="D811" s="36"/>
      <c r="E811" s="107"/>
      <c r="F811" s="36"/>
      <c r="G811" s="394"/>
      <c r="H811" s="394"/>
      <c r="I811" s="374"/>
      <c r="J811" s="36"/>
    </row>
    <row r="812" spans="2:10" x14ac:dyDescent="0.25">
      <c r="B812" s="36"/>
      <c r="C812" s="36"/>
      <c r="D812" s="36"/>
      <c r="E812" s="107"/>
      <c r="F812" s="36"/>
      <c r="G812" s="394"/>
      <c r="H812" s="394"/>
      <c r="I812" s="374"/>
      <c r="J812" s="36"/>
    </row>
    <row r="813" spans="2:10" x14ac:dyDescent="0.25">
      <c r="B813" s="36"/>
      <c r="C813" s="36"/>
      <c r="D813" s="36"/>
      <c r="E813" s="107"/>
      <c r="F813" s="36"/>
      <c r="G813" s="394"/>
      <c r="H813" s="394"/>
      <c r="I813" s="374"/>
      <c r="J813" s="36"/>
    </row>
    <row r="814" spans="2:10" x14ac:dyDescent="0.25">
      <c r="B814" s="36"/>
      <c r="C814" s="36"/>
      <c r="D814" s="36"/>
      <c r="E814" s="107"/>
      <c r="F814" s="36"/>
      <c r="G814" s="394"/>
      <c r="H814" s="394"/>
      <c r="I814" s="374"/>
      <c r="J814" s="36"/>
    </row>
    <row r="815" spans="2:10" x14ac:dyDescent="0.25">
      <c r="B815" s="36"/>
      <c r="C815" s="36"/>
      <c r="D815" s="36"/>
      <c r="E815" s="107"/>
      <c r="F815" s="36"/>
      <c r="G815" s="394"/>
      <c r="H815" s="394"/>
      <c r="I815" s="374"/>
      <c r="J815" s="36"/>
    </row>
    <row r="816" spans="2:10" x14ac:dyDescent="0.25">
      <c r="B816" s="36"/>
      <c r="C816" s="36"/>
      <c r="D816" s="36"/>
      <c r="E816" s="107"/>
      <c r="F816" s="36"/>
      <c r="G816" s="394"/>
      <c r="H816" s="394"/>
      <c r="I816" s="374"/>
      <c r="J816" s="36"/>
    </row>
    <row r="817" spans="2:10" x14ac:dyDescent="0.25">
      <c r="B817" s="36"/>
      <c r="C817" s="36"/>
      <c r="D817" s="36"/>
      <c r="E817" s="107"/>
      <c r="F817" s="36"/>
      <c r="G817" s="394"/>
      <c r="H817" s="394"/>
      <c r="I817" s="374"/>
      <c r="J817" s="36"/>
    </row>
    <row r="818" spans="2:10" x14ac:dyDescent="0.25">
      <c r="B818" s="36"/>
      <c r="C818" s="36"/>
      <c r="D818" s="36"/>
      <c r="E818" s="107"/>
      <c r="F818" s="36"/>
      <c r="G818" s="394"/>
      <c r="H818" s="394"/>
      <c r="I818" s="374"/>
      <c r="J818" s="36"/>
    </row>
    <row r="819" spans="2:10" x14ac:dyDescent="0.25">
      <c r="B819" s="36"/>
      <c r="C819" s="36"/>
      <c r="D819" s="36"/>
      <c r="E819" s="107"/>
      <c r="F819" s="36"/>
      <c r="G819" s="394"/>
      <c r="H819" s="394"/>
      <c r="I819" s="374"/>
      <c r="J819" s="36"/>
    </row>
    <row r="820" spans="2:10" x14ac:dyDescent="0.25">
      <c r="B820" s="36"/>
      <c r="C820" s="36"/>
      <c r="D820" s="36"/>
      <c r="E820" s="107"/>
      <c r="F820" s="36"/>
      <c r="G820" s="394"/>
      <c r="H820" s="394"/>
      <c r="I820" s="374"/>
      <c r="J820" s="36"/>
    </row>
    <row r="821" spans="2:10" x14ac:dyDescent="0.25">
      <c r="B821" s="36"/>
      <c r="C821" s="36"/>
      <c r="D821" s="36"/>
      <c r="E821" s="107"/>
      <c r="F821" s="36"/>
      <c r="G821" s="394"/>
      <c r="H821" s="394"/>
      <c r="I821" s="374"/>
      <c r="J821" s="36"/>
    </row>
    <row r="822" spans="2:10" x14ac:dyDescent="0.25">
      <c r="B822" s="36"/>
      <c r="C822" s="36"/>
      <c r="D822" s="36"/>
      <c r="E822" s="107"/>
      <c r="F822" s="36"/>
      <c r="G822" s="394"/>
      <c r="H822" s="394"/>
      <c r="I822" s="374"/>
      <c r="J822" s="36"/>
    </row>
    <row r="823" spans="2:10" x14ac:dyDescent="0.25">
      <c r="B823" s="36"/>
      <c r="C823" s="36"/>
      <c r="D823" s="36"/>
      <c r="E823" s="107"/>
      <c r="F823" s="36"/>
      <c r="G823" s="394"/>
      <c r="H823" s="394"/>
      <c r="I823" s="374"/>
      <c r="J823" s="36"/>
    </row>
    <row r="824" spans="2:10" x14ac:dyDescent="0.25">
      <c r="B824" s="36"/>
      <c r="C824" s="36"/>
      <c r="D824" s="36"/>
      <c r="E824" s="107"/>
      <c r="F824" s="36"/>
      <c r="G824" s="394"/>
      <c r="H824" s="394"/>
      <c r="I824" s="374"/>
      <c r="J824" s="36"/>
    </row>
    <row r="825" spans="2:10" x14ac:dyDescent="0.25">
      <c r="B825" s="36"/>
      <c r="C825" s="36"/>
      <c r="D825" s="36"/>
      <c r="E825" s="107"/>
      <c r="F825" s="36"/>
      <c r="G825" s="394"/>
      <c r="H825" s="394"/>
      <c r="I825" s="374"/>
      <c r="J825" s="36"/>
    </row>
    <row r="826" spans="2:10" x14ac:dyDescent="0.25">
      <c r="B826" s="36"/>
      <c r="C826" s="36"/>
      <c r="D826" s="36"/>
      <c r="E826" s="107"/>
      <c r="F826" s="36"/>
      <c r="G826" s="394"/>
      <c r="H826" s="394"/>
      <c r="I826" s="374"/>
      <c r="J826" s="36"/>
    </row>
    <row r="827" spans="2:10" x14ac:dyDescent="0.25">
      <c r="B827" s="36"/>
      <c r="C827" s="36"/>
      <c r="D827" s="36"/>
      <c r="E827" s="107"/>
      <c r="F827" s="36"/>
      <c r="G827" s="394"/>
      <c r="H827" s="394"/>
      <c r="I827" s="374"/>
      <c r="J827" s="36"/>
    </row>
    <row r="828" spans="2:10" x14ac:dyDescent="0.25">
      <c r="B828" s="36"/>
      <c r="C828" s="36"/>
      <c r="D828" s="36"/>
      <c r="E828" s="107"/>
      <c r="F828" s="36"/>
      <c r="G828" s="394"/>
      <c r="H828" s="394"/>
      <c r="I828" s="374"/>
      <c r="J828" s="36"/>
    </row>
    <row r="829" spans="2:10" x14ac:dyDescent="0.25">
      <c r="B829" s="36"/>
      <c r="C829" s="36"/>
      <c r="D829" s="36"/>
      <c r="E829" s="107"/>
      <c r="F829" s="36"/>
      <c r="G829" s="394"/>
      <c r="H829" s="394"/>
      <c r="I829" s="374"/>
      <c r="J829" s="36"/>
    </row>
    <row r="830" spans="2:10" x14ac:dyDescent="0.25">
      <c r="B830" s="36"/>
      <c r="C830" s="36"/>
      <c r="D830" s="36"/>
      <c r="E830" s="107"/>
      <c r="F830" s="36"/>
      <c r="G830" s="394"/>
      <c r="H830" s="394"/>
      <c r="I830" s="374"/>
      <c r="J830" s="36"/>
    </row>
    <row r="831" spans="2:10" x14ac:dyDescent="0.25">
      <c r="B831" s="36"/>
      <c r="C831" s="36"/>
      <c r="D831" s="36"/>
      <c r="E831" s="107"/>
      <c r="F831" s="36"/>
      <c r="G831" s="394"/>
      <c r="H831" s="394"/>
      <c r="I831" s="374"/>
      <c r="J831" s="36"/>
    </row>
    <row r="832" spans="2:10" x14ac:dyDescent="0.25">
      <c r="B832" s="36"/>
      <c r="C832" s="36"/>
      <c r="D832" s="36"/>
      <c r="E832" s="107"/>
      <c r="F832" s="36"/>
      <c r="G832" s="394"/>
      <c r="H832" s="394"/>
      <c r="I832" s="374"/>
      <c r="J832" s="36"/>
    </row>
    <row r="833" spans="2:10" x14ac:dyDescent="0.25">
      <c r="B833" s="36"/>
      <c r="C833" s="36"/>
      <c r="D833" s="36"/>
      <c r="E833" s="107"/>
      <c r="F833" s="36"/>
      <c r="G833" s="394"/>
      <c r="H833" s="394"/>
      <c r="I833" s="374"/>
      <c r="J833" s="36"/>
    </row>
    <row r="834" spans="2:10" x14ac:dyDescent="0.25">
      <c r="B834" s="36"/>
      <c r="C834" s="36"/>
      <c r="D834" s="36"/>
      <c r="E834" s="107"/>
      <c r="F834" s="36"/>
      <c r="G834" s="394"/>
      <c r="H834" s="394"/>
      <c r="I834" s="374"/>
      <c r="J834" s="36"/>
    </row>
    <row r="835" spans="2:10" x14ac:dyDescent="0.25">
      <c r="B835" s="36"/>
      <c r="C835" s="36"/>
      <c r="D835" s="36"/>
      <c r="E835" s="107"/>
      <c r="F835" s="36"/>
      <c r="G835" s="394"/>
      <c r="H835" s="394"/>
      <c r="I835" s="374"/>
      <c r="J835" s="36"/>
    </row>
    <row r="836" spans="2:10" x14ac:dyDescent="0.25">
      <c r="B836" s="36"/>
      <c r="C836" s="36"/>
      <c r="D836" s="36"/>
      <c r="E836" s="107"/>
      <c r="F836" s="36"/>
      <c r="G836" s="394"/>
      <c r="H836" s="394"/>
      <c r="I836" s="374"/>
      <c r="J836" s="36"/>
    </row>
    <row r="837" spans="2:10" x14ac:dyDescent="0.25">
      <c r="B837" s="36"/>
      <c r="C837" s="36"/>
      <c r="D837" s="36"/>
      <c r="E837" s="107"/>
      <c r="F837" s="36"/>
      <c r="G837" s="394"/>
      <c r="H837" s="394"/>
      <c r="I837" s="374"/>
      <c r="J837" s="36"/>
    </row>
    <row r="838" spans="2:10" x14ac:dyDescent="0.25">
      <c r="B838" s="36"/>
      <c r="C838" s="36"/>
      <c r="D838" s="36"/>
      <c r="E838" s="107"/>
      <c r="F838" s="36"/>
      <c r="G838" s="394"/>
      <c r="H838" s="394"/>
      <c r="I838" s="374"/>
      <c r="J838" s="36"/>
    </row>
    <row r="839" spans="2:10" x14ac:dyDescent="0.25">
      <c r="B839" s="36"/>
      <c r="C839" s="36"/>
      <c r="D839" s="36"/>
      <c r="E839" s="107"/>
      <c r="F839" s="36"/>
      <c r="G839" s="394"/>
      <c r="H839" s="394"/>
      <c r="I839" s="374"/>
      <c r="J839" s="36"/>
    </row>
    <row r="840" spans="2:10" x14ac:dyDescent="0.25">
      <c r="B840" s="36"/>
      <c r="C840" s="36"/>
      <c r="D840" s="36"/>
      <c r="E840" s="107"/>
      <c r="F840" s="36"/>
      <c r="G840" s="394"/>
      <c r="H840" s="394"/>
      <c r="I840" s="374"/>
      <c r="J840" s="36"/>
    </row>
    <row r="841" spans="2:10" x14ac:dyDescent="0.25">
      <c r="B841" s="36"/>
      <c r="C841" s="36"/>
      <c r="D841" s="36"/>
      <c r="E841" s="107"/>
      <c r="F841" s="36"/>
      <c r="G841" s="394"/>
      <c r="H841" s="394"/>
      <c r="I841" s="374"/>
      <c r="J841" s="36"/>
    </row>
    <row r="842" spans="2:10" x14ac:dyDescent="0.25">
      <c r="B842" s="36"/>
      <c r="C842" s="36"/>
      <c r="D842" s="36"/>
      <c r="E842" s="107"/>
      <c r="F842" s="36"/>
      <c r="G842" s="394"/>
      <c r="H842" s="394"/>
      <c r="I842" s="374"/>
      <c r="J842" s="36"/>
    </row>
    <row r="843" spans="2:10" x14ac:dyDescent="0.25">
      <c r="B843" s="36"/>
      <c r="C843" s="36"/>
      <c r="D843" s="36"/>
      <c r="E843" s="107"/>
      <c r="F843" s="36"/>
      <c r="G843" s="394"/>
      <c r="H843" s="394"/>
      <c r="I843" s="374"/>
      <c r="J843" s="36"/>
    </row>
    <row r="844" spans="2:10" x14ac:dyDescent="0.25">
      <c r="B844" s="36"/>
      <c r="C844" s="36"/>
      <c r="D844" s="36"/>
      <c r="E844" s="107"/>
      <c r="F844" s="36"/>
      <c r="G844" s="394"/>
      <c r="H844" s="394"/>
      <c r="I844" s="374"/>
      <c r="J844" s="36"/>
    </row>
    <row r="845" spans="2:10" x14ac:dyDescent="0.25">
      <c r="B845" s="36"/>
      <c r="C845" s="36"/>
      <c r="D845" s="36"/>
      <c r="E845" s="107"/>
      <c r="F845" s="36"/>
      <c r="G845" s="394"/>
      <c r="H845" s="394"/>
      <c r="I845" s="374"/>
      <c r="J845" s="36"/>
    </row>
    <row r="846" spans="2:10" x14ac:dyDescent="0.25">
      <c r="B846" s="36"/>
      <c r="C846" s="36"/>
      <c r="D846" s="36"/>
      <c r="E846" s="107"/>
      <c r="F846" s="36"/>
      <c r="G846" s="394"/>
      <c r="H846" s="394"/>
      <c r="I846" s="374"/>
      <c r="J846" s="36"/>
    </row>
    <row r="847" spans="2:10" x14ac:dyDescent="0.25">
      <c r="B847" s="36"/>
      <c r="C847" s="36"/>
      <c r="D847" s="36"/>
      <c r="E847" s="107"/>
      <c r="F847" s="36"/>
      <c r="G847" s="394"/>
      <c r="H847" s="394"/>
      <c r="I847" s="374"/>
      <c r="J847" s="36"/>
    </row>
    <row r="848" spans="2:10" x14ac:dyDescent="0.25">
      <c r="B848" s="36"/>
      <c r="C848" s="36"/>
      <c r="D848" s="36"/>
      <c r="E848" s="107"/>
      <c r="F848" s="36"/>
      <c r="G848" s="394"/>
      <c r="H848" s="394"/>
      <c r="I848" s="374"/>
      <c r="J848" s="36"/>
    </row>
    <row r="849" spans="2:10" x14ac:dyDescent="0.25">
      <c r="B849" s="36"/>
      <c r="C849" s="36"/>
      <c r="D849" s="36"/>
      <c r="E849" s="107"/>
      <c r="F849" s="36"/>
      <c r="G849" s="394"/>
      <c r="H849" s="394"/>
      <c r="I849" s="374"/>
      <c r="J849" s="36"/>
    </row>
    <row r="850" spans="2:10" x14ac:dyDescent="0.25">
      <c r="B850" s="36"/>
      <c r="C850" s="36"/>
      <c r="D850" s="36"/>
      <c r="E850" s="107"/>
      <c r="F850" s="36"/>
      <c r="G850" s="394"/>
      <c r="H850" s="394"/>
      <c r="I850" s="374"/>
      <c r="J850" s="36"/>
    </row>
    <row r="851" spans="2:10" x14ac:dyDescent="0.25">
      <c r="B851" s="36"/>
      <c r="C851" s="36"/>
      <c r="D851" s="36"/>
      <c r="E851" s="107"/>
      <c r="F851" s="36"/>
      <c r="G851" s="394"/>
      <c r="H851" s="394"/>
      <c r="I851" s="374"/>
      <c r="J851" s="36"/>
    </row>
    <row r="852" spans="2:10" x14ac:dyDescent="0.25">
      <c r="B852" s="36"/>
      <c r="C852" s="36"/>
      <c r="D852" s="36"/>
      <c r="E852" s="107"/>
      <c r="F852" s="36"/>
      <c r="G852" s="394"/>
      <c r="H852" s="394"/>
      <c r="I852" s="374"/>
      <c r="J852" s="36"/>
    </row>
    <row r="853" spans="2:10" x14ac:dyDescent="0.25">
      <c r="B853" s="36"/>
      <c r="C853" s="36"/>
      <c r="D853" s="36"/>
      <c r="E853" s="107"/>
      <c r="F853" s="36"/>
      <c r="G853" s="394"/>
      <c r="H853" s="394"/>
      <c r="I853" s="374"/>
      <c r="J853" s="36"/>
    </row>
    <row r="854" spans="2:10" x14ac:dyDescent="0.25">
      <c r="B854" s="36"/>
      <c r="C854" s="36"/>
      <c r="D854" s="36"/>
      <c r="E854" s="107"/>
      <c r="F854" s="36"/>
      <c r="G854" s="394"/>
      <c r="H854" s="394"/>
      <c r="I854" s="374"/>
      <c r="J854" s="36"/>
    </row>
    <row r="855" spans="2:10" x14ac:dyDescent="0.25">
      <c r="B855" s="36"/>
      <c r="C855" s="36"/>
      <c r="D855" s="36"/>
      <c r="E855" s="107"/>
      <c r="F855" s="36"/>
      <c r="G855" s="394"/>
      <c r="H855" s="394"/>
      <c r="I855" s="374"/>
      <c r="J855" s="36"/>
    </row>
    <row r="856" spans="2:10" x14ac:dyDescent="0.25">
      <c r="B856" s="36"/>
      <c r="C856" s="36"/>
      <c r="D856" s="36"/>
      <c r="E856" s="107"/>
      <c r="F856" s="36"/>
      <c r="G856" s="394"/>
      <c r="H856" s="394"/>
      <c r="I856" s="374"/>
      <c r="J856" s="36"/>
    </row>
    <row r="857" spans="2:10" x14ac:dyDescent="0.25">
      <c r="B857" s="36"/>
      <c r="C857" s="36"/>
      <c r="D857" s="36"/>
      <c r="E857" s="107"/>
      <c r="F857" s="36"/>
      <c r="G857" s="394"/>
      <c r="H857" s="394"/>
      <c r="I857" s="374"/>
      <c r="J857" s="36"/>
    </row>
    <row r="858" spans="2:10" x14ac:dyDescent="0.25">
      <c r="B858" s="36"/>
      <c r="C858" s="36"/>
      <c r="D858" s="36"/>
      <c r="E858" s="107"/>
      <c r="F858" s="36"/>
      <c r="G858" s="394"/>
      <c r="H858" s="394"/>
      <c r="I858" s="374"/>
      <c r="J858" s="36"/>
    </row>
    <row r="859" spans="2:10" x14ac:dyDescent="0.25">
      <c r="B859" s="36"/>
      <c r="C859" s="36"/>
      <c r="D859" s="36"/>
      <c r="E859" s="107"/>
      <c r="F859" s="36"/>
      <c r="G859" s="394"/>
      <c r="H859" s="394"/>
      <c r="I859" s="374"/>
      <c r="J859" s="36"/>
    </row>
    <row r="860" spans="2:10" x14ac:dyDescent="0.25">
      <c r="B860" s="36"/>
      <c r="C860" s="36"/>
      <c r="D860" s="36"/>
      <c r="E860" s="107"/>
      <c r="F860" s="36"/>
      <c r="G860" s="394"/>
      <c r="H860" s="394"/>
      <c r="I860" s="374"/>
      <c r="J860" s="36"/>
    </row>
    <row r="861" spans="2:10" x14ac:dyDescent="0.25">
      <c r="B861" s="36"/>
      <c r="C861" s="36"/>
      <c r="D861" s="36"/>
      <c r="E861" s="107"/>
      <c r="F861" s="36"/>
      <c r="G861" s="394"/>
      <c r="H861" s="394"/>
      <c r="I861" s="374"/>
      <c r="J861" s="36"/>
    </row>
    <row r="862" spans="2:10" x14ac:dyDescent="0.25">
      <c r="B862" s="36"/>
      <c r="C862" s="36"/>
      <c r="D862" s="36"/>
      <c r="E862" s="107"/>
      <c r="F862" s="36"/>
      <c r="G862" s="394"/>
      <c r="H862" s="394"/>
      <c r="I862" s="374"/>
      <c r="J862" s="36"/>
    </row>
    <row r="863" spans="2:10" x14ac:dyDescent="0.25">
      <c r="B863" s="36"/>
      <c r="C863" s="36"/>
      <c r="D863" s="36"/>
      <c r="E863" s="107"/>
      <c r="F863" s="36"/>
      <c r="G863" s="394"/>
      <c r="H863" s="394"/>
      <c r="I863" s="374"/>
      <c r="J863" s="36"/>
    </row>
    <row r="864" spans="2:10" x14ac:dyDescent="0.25">
      <c r="B864" s="36"/>
      <c r="C864" s="36"/>
      <c r="D864" s="36"/>
      <c r="E864" s="107"/>
      <c r="F864" s="36"/>
      <c r="G864" s="394"/>
      <c r="H864" s="394"/>
      <c r="I864" s="374"/>
      <c r="J864" s="36"/>
    </row>
    <row r="865" spans="2:10" x14ac:dyDescent="0.25">
      <c r="B865" s="36"/>
      <c r="C865" s="36"/>
      <c r="D865" s="36"/>
      <c r="E865" s="107"/>
      <c r="F865" s="36"/>
      <c r="G865" s="394"/>
      <c r="H865" s="394"/>
      <c r="I865" s="374"/>
      <c r="J865" s="36"/>
    </row>
    <row r="866" spans="2:10" x14ac:dyDescent="0.25">
      <c r="B866" s="36"/>
      <c r="C866" s="36"/>
      <c r="D866" s="36"/>
      <c r="E866" s="107"/>
      <c r="F866" s="36"/>
      <c r="G866" s="394"/>
      <c r="H866" s="394"/>
      <c r="I866" s="374"/>
      <c r="J866" s="36"/>
    </row>
    <row r="867" spans="2:10" x14ac:dyDescent="0.25">
      <c r="B867" s="36"/>
      <c r="C867" s="36"/>
      <c r="D867" s="36"/>
      <c r="E867" s="107"/>
      <c r="F867" s="36"/>
      <c r="G867" s="394"/>
      <c r="H867" s="394"/>
      <c r="I867" s="374"/>
      <c r="J867" s="36"/>
    </row>
    <row r="868" spans="2:10" x14ac:dyDescent="0.25">
      <c r="B868" s="36"/>
      <c r="C868" s="36"/>
      <c r="D868" s="36"/>
      <c r="E868" s="107"/>
      <c r="F868" s="36"/>
      <c r="G868" s="394"/>
      <c r="H868" s="394"/>
      <c r="I868" s="374"/>
      <c r="J868" s="36"/>
    </row>
    <row r="869" spans="2:10" x14ac:dyDescent="0.25">
      <c r="B869" s="36"/>
      <c r="C869" s="36"/>
      <c r="D869" s="36"/>
      <c r="E869" s="107"/>
      <c r="F869" s="36"/>
      <c r="G869" s="394"/>
      <c r="H869" s="394"/>
      <c r="I869" s="374"/>
      <c r="J869" s="36"/>
    </row>
    <row r="870" spans="2:10" x14ac:dyDescent="0.25">
      <c r="B870" s="36"/>
      <c r="C870" s="36"/>
      <c r="D870" s="36"/>
      <c r="E870" s="107"/>
      <c r="F870" s="36"/>
      <c r="G870" s="394"/>
      <c r="H870" s="394"/>
      <c r="I870" s="374"/>
      <c r="J870" s="36"/>
    </row>
    <row r="871" spans="2:10" x14ac:dyDescent="0.25">
      <c r="B871" s="36"/>
      <c r="C871" s="36"/>
      <c r="D871" s="36"/>
      <c r="E871" s="107"/>
      <c r="F871" s="36"/>
      <c r="G871" s="394"/>
      <c r="H871" s="394"/>
      <c r="I871" s="374"/>
      <c r="J871" s="36"/>
    </row>
    <row r="872" spans="2:10" x14ac:dyDescent="0.25">
      <c r="B872" s="36"/>
      <c r="C872" s="36"/>
      <c r="D872" s="36"/>
      <c r="E872" s="107"/>
      <c r="F872" s="36"/>
      <c r="G872" s="394"/>
      <c r="H872" s="394"/>
      <c r="I872" s="374"/>
      <c r="J872" s="36"/>
    </row>
    <row r="873" spans="2:10" x14ac:dyDescent="0.25">
      <c r="B873" s="36"/>
      <c r="C873" s="36"/>
      <c r="D873" s="36"/>
      <c r="E873" s="107"/>
      <c r="F873" s="36"/>
      <c r="G873" s="394"/>
      <c r="H873" s="394"/>
      <c r="I873" s="374"/>
      <c r="J873" s="36"/>
    </row>
    <row r="874" spans="2:10" x14ac:dyDescent="0.25">
      <c r="B874" s="36"/>
      <c r="C874" s="36"/>
      <c r="D874" s="36"/>
      <c r="E874" s="107"/>
      <c r="F874" s="36"/>
      <c r="G874" s="394"/>
      <c r="H874" s="394"/>
      <c r="I874" s="374"/>
      <c r="J874" s="36"/>
    </row>
    <row r="875" spans="2:10" x14ac:dyDescent="0.25">
      <c r="B875" s="36"/>
      <c r="C875" s="36"/>
      <c r="D875" s="36"/>
      <c r="E875" s="107"/>
      <c r="F875" s="36"/>
      <c r="G875" s="394"/>
      <c r="H875" s="394"/>
      <c r="I875" s="374"/>
      <c r="J875" s="36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9" sqref="D9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4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4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4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2018</v>
      </c>
      <c r="C1" s="765"/>
      <c r="D1" s="765"/>
      <c r="E1" s="765"/>
      <c r="F1" s="765"/>
      <c r="G1" s="765"/>
      <c r="H1" s="765"/>
      <c r="I1" s="765"/>
      <c r="J1" s="765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  <c r="EM1" s="126"/>
      <c r="EN1" s="126"/>
      <c r="EO1" s="126"/>
      <c r="EP1" s="126"/>
      <c r="EQ1" s="126"/>
      <c r="ER1" s="126"/>
      <c r="ES1" s="126"/>
      <c r="ET1" s="126"/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26"/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  <c r="HK1" s="126"/>
      <c r="HL1" s="126"/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26"/>
      <c r="IK1" s="126"/>
      <c r="IL1" s="126"/>
      <c r="IM1" s="126"/>
    </row>
    <row r="2" spans="1:247" s="54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</row>
    <row r="3" spans="1:247" hidden="1" x14ac:dyDescent="0.25">
      <c r="B3" s="153">
        <v>4</v>
      </c>
    </row>
    <row r="4" spans="1:247" ht="15.75" customHeight="1" thickBot="1" x14ac:dyDescent="0.3">
      <c r="B4" s="153"/>
    </row>
    <row r="5" spans="1:247" ht="20.25" customHeight="1" thickBot="1" x14ac:dyDescent="0.3">
      <c r="B5" s="39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40"/>
      <c r="C6" s="298" t="s">
        <v>128</v>
      </c>
      <c r="D6" s="298" t="s">
        <v>132</v>
      </c>
      <c r="E6" s="299" t="s">
        <v>103</v>
      </c>
      <c r="F6" s="96" t="s">
        <v>35</v>
      </c>
      <c r="G6" s="298" t="s">
        <v>129</v>
      </c>
      <c r="H6" s="298" t="s">
        <v>133</v>
      </c>
      <c r="I6" s="299" t="s">
        <v>104</v>
      </c>
      <c r="J6" s="96" t="s">
        <v>35</v>
      </c>
    </row>
    <row r="7" spans="1:247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</row>
    <row r="8" spans="1:247" s="18" customFormat="1" ht="19.149999999999999" customHeight="1" x14ac:dyDescent="0.25">
      <c r="A8" s="18">
        <v>1</v>
      </c>
      <c r="B8" s="87" t="s">
        <v>2</v>
      </c>
      <c r="C8" s="17"/>
      <c r="D8" s="17"/>
      <c r="E8" s="155"/>
      <c r="F8" s="17"/>
      <c r="G8" s="15"/>
      <c r="H8" s="15"/>
      <c r="I8" s="119"/>
      <c r="J8" s="15"/>
    </row>
    <row r="9" spans="1:247" ht="31.5" customHeight="1" x14ac:dyDescent="0.25">
      <c r="A9" s="18">
        <v>1</v>
      </c>
      <c r="B9" s="172" t="s">
        <v>71</v>
      </c>
      <c r="C9" s="137"/>
      <c r="D9" s="137"/>
      <c r="E9" s="137"/>
      <c r="F9" s="137"/>
      <c r="G9" s="457"/>
      <c r="H9" s="457"/>
      <c r="I9" s="457"/>
      <c r="J9" s="457"/>
    </row>
    <row r="10" spans="1:247" s="36" customFormat="1" ht="30" x14ac:dyDescent="0.25">
      <c r="A10" s="18">
        <v>1</v>
      </c>
      <c r="B10" s="199" t="s">
        <v>120</v>
      </c>
      <c r="C10" s="114">
        <f>SUM(C11:C14)</f>
        <v>12072</v>
      </c>
      <c r="D10" s="114">
        <f>SUM(D11:D14)</f>
        <v>4024</v>
      </c>
      <c r="E10" s="114">
        <f>SUM(E11:E14)</f>
        <v>3627</v>
      </c>
      <c r="F10" s="119">
        <f t="shared" ref="F10:F20" si="0">E10/D10*100</f>
        <v>90.134194831013914</v>
      </c>
      <c r="G10" s="466">
        <f>SUM(G11:G14)</f>
        <v>20984.503579999997</v>
      </c>
      <c r="H10" s="466">
        <f>SUM(H11:H14)</f>
        <v>6994.83</v>
      </c>
      <c r="I10" s="466">
        <f>SUM(I11:I14)</f>
        <v>7342.6124799999998</v>
      </c>
      <c r="J10" s="458">
        <f>I10/H10*100</f>
        <v>104.97199331506269</v>
      </c>
    </row>
    <row r="11" spans="1:247" s="36" customFormat="1" ht="30" x14ac:dyDescent="0.25">
      <c r="A11" s="18">
        <v>1</v>
      </c>
      <c r="B11" s="72" t="s">
        <v>79</v>
      </c>
      <c r="C11" s="114">
        <v>9139</v>
      </c>
      <c r="D11" s="108">
        <f t="shared" ref="D11:D18" si="1">ROUND(C11/12*$B$3,0)</f>
        <v>3046</v>
      </c>
      <c r="E11" s="114">
        <v>3255</v>
      </c>
      <c r="F11" s="119">
        <f t="shared" si="0"/>
        <v>106.86145764937622</v>
      </c>
      <c r="G11" s="466">
        <v>14710.7534</v>
      </c>
      <c r="H11" s="727">
        <f>ROUND(G11/12*$B$3,2)</f>
        <v>4903.58</v>
      </c>
      <c r="I11" s="459">
        <v>5262.6544800000001</v>
      </c>
      <c r="J11" s="458">
        <f>I11/H11*100</f>
        <v>107.32270055755184</v>
      </c>
    </row>
    <row r="12" spans="1:247" s="36" customFormat="1" ht="30" x14ac:dyDescent="0.25">
      <c r="A12" s="18">
        <v>1</v>
      </c>
      <c r="B12" s="72" t="s">
        <v>80</v>
      </c>
      <c r="C12" s="114">
        <v>2742</v>
      </c>
      <c r="D12" s="108">
        <f>ROUND(C12/12*$B$3,0)</f>
        <v>914</v>
      </c>
      <c r="E12" s="114">
        <v>71</v>
      </c>
      <c r="F12" s="119">
        <f t="shared" si="0"/>
        <v>7.7680525164113794</v>
      </c>
      <c r="G12" s="466">
        <v>5020.3929000000007</v>
      </c>
      <c r="H12" s="639">
        <f t="shared" ref="H12:H14" si="2">ROUND(G12/12*$B$3,2)</f>
        <v>1673.46</v>
      </c>
      <c r="I12" s="459">
        <v>131.02091999999999</v>
      </c>
      <c r="J12" s="458">
        <f t="shared" ref="J12:J21" si="3">I12/H12*100</f>
        <v>7.8293427987522852</v>
      </c>
    </row>
    <row r="13" spans="1:247" s="36" customFormat="1" ht="45" x14ac:dyDescent="0.25">
      <c r="A13" s="18">
        <v>1</v>
      </c>
      <c r="B13" s="72" t="s">
        <v>114</v>
      </c>
      <c r="C13" s="114">
        <v>65</v>
      </c>
      <c r="D13" s="108">
        <f t="shared" si="1"/>
        <v>22</v>
      </c>
      <c r="E13" s="114">
        <v>63</v>
      </c>
      <c r="F13" s="119">
        <f t="shared" si="0"/>
        <v>286.36363636363637</v>
      </c>
      <c r="G13" s="466">
        <v>426.53520000000003</v>
      </c>
      <c r="H13" s="639">
        <f t="shared" si="2"/>
        <v>142.18</v>
      </c>
      <c r="I13" s="459">
        <v>413.41103999999996</v>
      </c>
      <c r="J13" s="458">
        <f t="shared" si="3"/>
        <v>290.76595864397234</v>
      </c>
    </row>
    <row r="14" spans="1:247" s="36" customFormat="1" ht="30" x14ac:dyDescent="0.25">
      <c r="A14" s="18">
        <v>1</v>
      </c>
      <c r="B14" s="72" t="s">
        <v>115</v>
      </c>
      <c r="C14" s="114">
        <v>126</v>
      </c>
      <c r="D14" s="108">
        <f t="shared" si="1"/>
        <v>42</v>
      </c>
      <c r="E14" s="114">
        <v>238</v>
      </c>
      <c r="F14" s="119">
        <f t="shared" si="0"/>
        <v>566.66666666666674</v>
      </c>
      <c r="G14" s="466">
        <v>826.82207999999991</v>
      </c>
      <c r="H14" s="639">
        <f t="shared" si="2"/>
        <v>275.61</v>
      </c>
      <c r="I14" s="459">
        <v>1535.52604</v>
      </c>
      <c r="J14" s="458">
        <f t="shared" si="3"/>
        <v>557.13727368382854</v>
      </c>
    </row>
    <row r="15" spans="1:247" s="36" customFormat="1" ht="44.25" customHeight="1" x14ac:dyDescent="0.25">
      <c r="A15" s="18">
        <v>1</v>
      </c>
      <c r="B15" s="199" t="s">
        <v>112</v>
      </c>
      <c r="C15" s="114">
        <f>SUM(C16:C18)</f>
        <v>16548</v>
      </c>
      <c r="D15" s="114">
        <f>SUM(D16:D18)</f>
        <v>5516</v>
      </c>
      <c r="E15" s="114">
        <f>SUM(E16:E18)</f>
        <v>5912</v>
      </c>
      <c r="F15" s="119">
        <f t="shared" si="0"/>
        <v>107.17911530094271</v>
      </c>
      <c r="G15" s="459">
        <f>SUM(G16:G18)</f>
        <v>40115.386599999998</v>
      </c>
      <c r="H15" s="459">
        <f>SUM(H16:H18)</f>
        <v>13371.789999999999</v>
      </c>
      <c r="I15" s="459">
        <f>SUM(I16:I18)</f>
        <v>12763.99819</v>
      </c>
      <c r="J15" s="458">
        <f t="shared" si="3"/>
        <v>95.454671289333746</v>
      </c>
    </row>
    <row r="16" spans="1:247" s="36" customFormat="1" ht="30" x14ac:dyDescent="0.25">
      <c r="A16" s="18">
        <v>1</v>
      </c>
      <c r="B16" s="72" t="s">
        <v>108</v>
      </c>
      <c r="C16" s="114">
        <v>1008</v>
      </c>
      <c r="D16" s="108">
        <f t="shared" si="1"/>
        <v>336</v>
      </c>
      <c r="E16" s="114">
        <v>384</v>
      </c>
      <c r="F16" s="119">
        <f t="shared" si="0"/>
        <v>114.28571428571428</v>
      </c>
      <c r="G16" s="639">
        <v>2137.47408</v>
      </c>
      <c r="H16" s="639">
        <f t="shared" ref="H16:H20" si="4">ROUND(G16/12*$B$3,2)</f>
        <v>712.49</v>
      </c>
      <c r="I16" s="466">
        <v>792.62639999999999</v>
      </c>
      <c r="J16" s="458">
        <f t="shared" si="3"/>
        <v>111.24737189293884</v>
      </c>
    </row>
    <row r="17" spans="1:247" s="36" customFormat="1" ht="60" customHeight="1" x14ac:dyDescent="0.25">
      <c r="A17" s="18">
        <v>1</v>
      </c>
      <c r="B17" s="72" t="s">
        <v>119</v>
      </c>
      <c r="C17" s="114">
        <v>14212</v>
      </c>
      <c r="D17" s="108">
        <f t="shared" si="1"/>
        <v>4737</v>
      </c>
      <c r="E17" s="114">
        <v>5430</v>
      </c>
      <c r="F17" s="119">
        <f t="shared" si="0"/>
        <v>114.62951234958834</v>
      </c>
      <c r="G17" s="639">
        <v>36676.260040000001</v>
      </c>
      <c r="H17" s="639">
        <f t="shared" si="4"/>
        <v>12225.42</v>
      </c>
      <c r="I17" s="459">
        <v>11932.105680000001</v>
      </c>
      <c r="J17" s="458">
        <f t="shared" si="3"/>
        <v>97.600783285973009</v>
      </c>
    </row>
    <row r="18" spans="1:247" s="36" customFormat="1" ht="45" x14ac:dyDescent="0.25">
      <c r="A18" s="18">
        <v>1</v>
      </c>
      <c r="B18" s="72" t="s">
        <v>109</v>
      </c>
      <c r="C18" s="114">
        <v>1328</v>
      </c>
      <c r="D18" s="108">
        <f t="shared" si="1"/>
        <v>443</v>
      </c>
      <c r="E18" s="114">
        <v>98</v>
      </c>
      <c r="F18" s="119">
        <f t="shared" si="0"/>
        <v>22.121896162528216</v>
      </c>
      <c r="G18" s="639">
        <v>1301.65248</v>
      </c>
      <c r="H18" s="639">
        <f t="shared" si="4"/>
        <v>433.88</v>
      </c>
      <c r="I18" s="459">
        <v>39.266109999999991</v>
      </c>
      <c r="J18" s="458">
        <f t="shared" si="3"/>
        <v>9.0499930856457986</v>
      </c>
    </row>
    <row r="19" spans="1:247" s="36" customFormat="1" ht="30" x14ac:dyDescent="0.25">
      <c r="A19" s="18">
        <v>1</v>
      </c>
      <c r="B19" s="659" t="s">
        <v>123</v>
      </c>
      <c r="C19" s="114">
        <v>26960</v>
      </c>
      <c r="D19" s="108">
        <f>ROUND(C19/12*$B$3,0)</f>
        <v>8987</v>
      </c>
      <c r="E19" s="114">
        <v>9381</v>
      </c>
      <c r="F19" s="119">
        <f t="shared" si="0"/>
        <v>104.3841103816624</v>
      </c>
      <c r="G19" s="466">
        <v>26238.011200000001</v>
      </c>
      <c r="H19" s="639">
        <f t="shared" si="4"/>
        <v>8746</v>
      </c>
      <c r="I19" s="459">
        <v>9085.7899900000011</v>
      </c>
      <c r="J19" s="458">
        <f>I19/H19*100</f>
        <v>103.88509021266866</v>
      </c>
    </row>
    <row r="20" spans="1:247" s="36" customFormat="1" ht="24" customHeight="1" thickBot="1" x14ac:dyDescent="0.3">
      <c r="A20" s="18">
        <v>1</v>
      </c>
      <c r="B20" s="659" t="s">
        <v>125</v>
      </c>
      <c r="C20" s="114">
        <v>2861</v>
      </c>
      <c r="D20" s="108">
        <f>ROUND(C20/12*$B$3,0)</f>
        <v>954</v>
      </c>
      <c r="E20" s="114">
        <v>1782</v>
      </c>
      <c r="F20" s="119">
        <f t="shared" si="0"/>
        <v>186.79245283018869</v>
      </c>
      <c r="G20" s="466">
        <v>2784.3824200000004</v>
      </c>
      <c r="H20" s="639">
        <f t="shared" si="4"/>
        <v>928.13</v>
      </c>
      <c r="I20" s="459">
        <v>1731.7698600000001</v>
      </c>
      <c r="J20" s="458">
        <f>I20/H20*100</f>
        <v>186.58699320138342</v>
      </c>
    </row>
    <row r="21" spans="1:247" s="13" customFormat="1" ht="15.75" thickBot="1" x14ac:dyDescent="0.3">
      <c r="A21" s="18">
        <v>1</v>
      </c>
      <c r="B21" s="112" t="s">
        <v>3</v>
      </c>
      <c r="C21" s="427"/>
      <c r="D21" s="427"/>
      <c r="E21" s="427"/>
      <c r="F21" s="428"/>
      <c r="G21" s="461">
        <f>G10+G15+G19</f>
        <v>87337.901379999996</v>
      </c>
      <c r="H21" s="461">
        <f>H10+H15+H19</f>
        <v>29112.62</v>
      </c>
      <c r="I21" s="461">
        <f>I10+I15+I19</f>
        <v>29192.400660000003</v>
      </c>
      <c r="J21" s="462">
        <f t="shared" si="3"/>
        <v>100.27404149815442</v>
      </c>
    </row>
    <row r="22" spans="1:247" ht="14.25" customHeight="1" x14ac:dyDescent="0.25">
      <c r="A22" s="18">
        <v>1</v>
      </c>
      <c r="B22" s="79"/>
      <c r="C22" s="156"/>
      <c r="D22" s="156"/>
      <c r="E22" s="156"/>
      <c r="F22" s="156"/>
      <c r="G22" s="463"/>
      <c r="H22" s="463"/>
      <c r="I22" s="463"/>
      <c r="J22" s="463"/>
    </row>
    <row r="23" spans="1:247" s="21" customFormat="1" ht="27.75" customHeight="1" x14ac:dyDescent="0.25">
      <c r="A23" s="18">
        <v>1</v>
      </c>
      <c r="B23" s="172" t="s">
        <v>72</v>
      </c>
      <c r="C23" s="157"/>
      <c r="D23" s="157"/>
      <c r="E23" s="157"/>
      <c r="F23" s="157"/>
      <c r="G23" s="457"/>
      <c r="H23" s="457"/>
      <c r="I23" s="457"/>
      <c r="J23" s="45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6" customFormat="1" ht="30" x14ac:dyDescent="0.25">
      <c r="A24" s="18">
        <v>1</v>
      </c>
      <c r="B24" s="199" t="s">
        <v>120</v>
      </c>
      <c r="C24" s="114">
        <f>SUM(C25:C28)</f>
        <v>7042</v>
      </c>
      <c r="D24" s="114">
        <f>SUM(D25:D28)</f>
        <v>2347</v>
      </c>
      <c r="E24" s="114">
        <f>SUM(E25:E28)</f>
        <v>2999</v>
      </c>
      <c r="F24" s="119">
        <f>E24/D24*100</f>
        <v>127.7801448657861</v>
      </c>
      <c r="G24" s="466">
        <f>SUM(G25:G28)</f>
        <v>11936.22388</v>
      </c>
      <c r="H24" s="466">
        <f>SUM(H25:H28)</f>
        <v>3978.74</v>
      </c>
      <c r="I24" s="466">
        <f>SUM(I25:I28)</f>
        <v>4887.93145</v>
      </c>
      <c r="J24" s="458">
        <f>I24/H24*100</f>
        <v>122.85124059375583</v>
      </c>
    </row>
    <row r="25" spans="1:247" s="36" customFormat="1" ht="30" x14ac:dyDescent="0.25">
      <c r="A25" s="18">
        <v>1</v>
      </c>
      <c r="B25" s="72" t="s">
        <v>79</v>
      </c>
      <c r="C25" s="114">
        <v>5370</v>
      </c>
      <c r="D25" s="108">
        <f>ROUND(C25/12*$B$3,0)</f>
        <v>1790</v>
      </c>
      <c r="E25" s="114">
        <v>2312</v>
      </c>
      <c r="F25" s="119">
        <f>E25/D25*100</f>
        <v>129.16201117318437</v>
      </c>
      <c r="G25" s="466">
        <v>8551.4056</v>
      </c>
      <c r="H25" s="639">
        <f t="shared" ref="H25:H28" si="5">ROUND(G25/12*$B$3,2)</f>
        <v>2850.47</v>
      </c>
      <c r="I25" s="459">
        <v>3319.5202300000001</v>
      </c>
      <c r="J25" s="458">
        <f>I25/H25*100</f>
        <v>116.45518914424639</v>
      </c>
    </row>
    <row r="26" spans="1:247" s="36" customFormat="1" ht="30" x14ac:dyDescent="0.25">
      <c r="A26" s="18">
        <v>1</v>
      </c>
      <c r="B26" s="72" t="s">
        <v>80</v>
      </c>
      <c r="C26" s="114">
        <v>1611</v>
      </c>
      <c r="D26" s="108">
        <f>ROUND(C26/12*$B$3,0)</f>
        <v>537</v>
      </c>
      <c r="E26" s="114">
        <v>625</v>
      </c>
      <c r="F26" s="119">
        <f>E26/D26*100</f>
        <v>116.38733705772812</v>
      </c>
      <c r="G26" s="466">
        <f>2984.5314</f>
        <v>2984.5313999999998</v>
      </c>
      <c r="H26" s="639">
        <f t="shared" si="5"/>
        <v>994.84</v>
      </c>
      <c r="I26" s="459">
        <v>1161.5622599999999</v>
      </c>
      <c r="J26" s="458">
        <f t="shared" ref="J26:J35" si="6">I26/H26*100</f>
        <v>116.75870089662659</v>
      </c>
    </row>
    <row r="27" spans="1:247" s="36" customFormat="1" ht="45" x14ac:dyDescent="0.25">
      <c r="A27" s="18">
        <v>1</v>
      </c>
      <c r="B27" s="72" t="s">
        <v>114</v>
      </c>
      <c r="C27" s="114"/>
      <c r="D27" s="108">
        <f>ROUND(C27/12*$B$3,0)</f>
        <v>0</v>
      </c>
      <c r="E27" s="114"/>
      <c r="F27" s="119"/>
      <c r="G27" s="466"/>
      <c r="H27" s="639">
        <f t="shared" si="5"/>
        <v>0</v>
      </c>
      <c r="I27" s="459"/>
      <c r="J27" s="458"/>
    </row>
    <row r="28" spans="1:247" s="36" customFormat="1" ht="30" x14ac:dyDescent="0.25">
      <c r="A28" s="18">
        <v>1</v>
      </c>
      <c r="B28" s="72" t="s">
        <v>115</v>
      </c>
      <c r="C28" s="114">
        <v>61</v>
      </c>
      <c r="D28" s="108">
        <f>ROUND(C28/12*$B$3,0)</f>
        <v>20</v>
      </c>
      <c r="E28" s="114">
        <v>62</v>
      </c>
      <c r="F28" s="119">
        <f t="shared" ref="F28:F32" si="7">E28/D28*100</f>
        <v>310</v>
      </c>
      <c r="G28" s="466">
        <v>400.28688</v>
      </c>
      <c r="H28" s="639">
        <f t="shared" si="5"/>
        <v>133.43</v>
      </c>
      <c r="I28" s="459">
        <v>406.84896000000003</v>
      </c>
      <c r="J28" s="458">
        <f t="shared" si="6"/>
        <v>304.91565614929181</v>
      </c>
    </row>
    <row r="29" spans="1:247" s="36" customFormat="1" ht="30" x14ac:dyDescent="0.25">
      <c r="A29" s="18">
        <v>1</v>
      </c>
      <c r="B29" s="199" t="s">
        <v>112</v>
      </c>
      <c r="C29" s="114">
        <f>SUM(C30:C32)</f>
        <v>6436</v>
      </c>
      <c r="D29" s="114">
        <f>SUM(D30:D32)</f>
        <v>2145</v>
      </c>
      <c r="E29" s="114">
        <f>SUM(E30:E32)</f>
        <v>1830</v>
      </c>
      <c r="F29" s="119">
        <f t="shared" si="7"/>
        <v>85.314685314685306</v>
      </c>
      <c r="G29" s="459">
        <f>SUM(G30:G32)</f>
        <v>11706.71876</v>
      </c>
      <c r="H29" s="459">
        <f>SUM(H30:H32)</f>
        <v>3902.2400000000002</v>
      </c>
      <c r="I29" s="459">
        <f>SUM(I30:I32)</f>
        <v>3972.4063599999999</v>
      </c>
      <c r="J29" s="458">
        <f t="shared" si="6"/>
        <v>101.79810467833859</v>
      </c>
    </row>
    <row r="30" spans="1:247" s="36" customFormat="1" ht="30" x14ac:dyDescent="0.25">
      <c r="A30" s="18">
        <v>1</v>
      </c>
      <c r="B30" s="72" t="s">
        <v>108</v>
      </c>
      <c r="C30" s="114">
        <v>500</v>
      </c>
      <c r="D30" s="108">
        <f t="shared" ref="D30:D34" si="8">ROUND(C30/12*$B$3,0)</f>
        <v>167</v>
      </c>
      <c r="E30" s="114">
        <v>269</v>
      </c>
      <c r="F30" s="119">
        <f t="shared" si="7"/>
        <v>161.07784431137725</v>
      </c>
      <c r="G30" s="639">
        <v>1060.2550000000001</v>
      </c>
      <c r="H30" s="639">
        <f t="shared" ref="H30:H34" si="9">ROUND(G30/12*$B$3,2)</f>
        <v>353.42</v>
      </c>
      <c r="I30" s="466">
        <v>565.52656000000002</v>
      </c>
      <c r="J30" s="458">
        <f t="shared" si="6"/>
        <v>160.0154377228227</v>
      </c>
    </row>
    <row r="31" spans="1:247" s="36" customFormat="1" ht="61.5" customHeight="1" x14ac:dyDescent="0.25">
      <c r="A31" s="18">
        <v>1</v>
      </c>
      <c r="B31" s="72" t="s">
        <v>119</v>
      </c>
      <c r="C31" s="114">
        <v>3400</v>
      </c>
      <c r="D31" s="108">
        <f t="shared" si="8"/>
        <v>1133</v>
      </c>
      <c r="E31" s="114">
        <v>1033</v>
      </c>
      <c r="F31" s="119">
        <f t="shared" si="7"/>
        <v>91.173874669020307</v>
      </c>
      <c r="G31" s="639">
        <v>8160.7780000000002</v>
      </c>
      <c r="H31" s="639">
        <f t="shared" si="9"/>
        <v>2720.26</v>
      </c>
      <c r="I31" s="459">
        <v>2824.2168799999999</v>
      </c>
      <c r="J31" s="458">
        <f t="shared" si="6"/>
        <v>103.82157881967164</v>
      </c>
    </row>
    <row r="32" spans="1:247" s="36" customFormat="1" ht="45" x14ac:dyDescent="0.25">
      <c r="A32" s="18">
        <v>1</v>
      </c>
      <c r="B32" s="72" t="s">
        <v>109</v>
      </c>
      <c r="C32" s="114">
        <v>2536</v>
      </c>
      <c r="D32" s="108">
        <f t="shared" si="8"/>
        <v>845</v>
      </c>
      <c r="E32" s="114">
        <v>528</v>
      </c>
      <c r="F32" s="119">
        <f t="shared" si="7"/>
        <v>62.485207100591708</v>
      </c>
      <c r="G32" s="639">
        <v>2485.6857599999998</v>
      </c>
      <c r="H32" s="639">
        <f t="shared" si="9"/>
        <v>828.56</v>
      </c>
      <c r="I32" s="459">
        <v>582.66291999999999</v>
      </c>
      <c r="J32" s="458">
        <f t="shared" si="6"/>
        <v>70.322356860094629</v>
      </c>
    </row>
    <row r="33" spans="1:247" s="36" customFormat="1" ht="30" x14ac:dyDescent="0.25">
      <c r="A33" s="18">
        <v>1</v>
      </c>
      <c r="B33" s="659" t="s">
        <v>123</v>
      </c>
      <c r="C33" s="114">
        <v>13125</v>
      </c>
      <c r="D33" s="108">
        <f t="shared" si="8"/>
        <v>4375</v>
      </c>
      <c r="E33" s="114">
        <v>4452</v>
      </c>
      <c r="F33" s="119">
        <f>E33/D33*100</f>
        <v>101.76</v>
      </c>
      <c r="G33" s="466">
        <v>12773.512500000001</v>
      </c>
      <c r="H33" s="639">
        <f t="shared" si="9"/>
        <v>4257.84</v>
      </c>
      <c r="I33" s="459">
        <v>4323.3622400000004</v>
      </c>
      <c r="J33" s="458">
        <f>I33/H33*100</f>
        <v>101.5388610187325</v>
      </c>
    </row>
    <row r="34" spans="1:247" s="36" customFormat="1" ht="30.75" thickBot="1" x14ac:dyDescent="0.3">
      <c r="A34" s="18">
        <v>1</v>
      </c>
      <c r="B34" s="659" t="s">
        <v>125</v>
      </c>
      <c r="C34" s="114">
        <v>50</v>
      </c>
      <c r="D34" s="108">
        <f t="shared" si="8"/>
        <v>17</v>
      </c>
      <c r="E34" s="114">
        <v>20</v>
      </c>
      <c r="F34" s="119">
        <f>E34/D34*100</f>
        <v>117.64705882352942</v>
      </c>
      <c r="G34" s="466">
        <v>48.661000000000001</v>
      </c>
      <c r="H34" s="639">
        <f t="shared" si="9"/>
        <v>16.22</v>
      </c>
      <c r="I34" s="459">
        <v>19.464400000000001</v>
      </c>
      <c r="J34" s="458">
        <f>I34/H34*100</f>
        <v>120.00246609124538</v>
      </c>
    </row>
    <row r="35" spans="1:247" s="36" customFormat="1" ht="17.25" customHeight="1" thickBot="1" x14ac:dyDescent="0.3">
      <c r="A35" s="18">
        <v>1</v>
      </c>
      <c r="B35" s="112" t="s">
        <v>3</v>
      </c>
      <c r="C35" s="427"/>
      <c r="D35" s="427"/>
      <c r="E35" s="427"/>
      <c r="F35" s="428"/>
      <c r="G35" s="461">
        <f>G29+G24+G33</f>
        <v>36416.455140000005</v>
      </c>
      <c r="H35" s="461">
        <f>H29+H24+H33</f>
        <v>12138.82</v>
      </c>
      <c r="I35" s="461">
        <f>I29+I24+I33</f>
        <v>13183.700050000001</v>
      </c>
      <c r="J35" s="462">
        <f t="shared" si="6"/>
        <v>108.60775635523059</v>
      </c>
    </row>
    <row r="36" spans="1:247" s="33" customFormat="1" ht="15" customHeight="1" x14ac:dyDescent="0.25">
      <c r="A36" s="18">
        <v>1</v>
      </c>
      <c r="B36" s="89"/>
      <c r="C36" s="158"/>
      <c r="D36" s="158"/>
      <c r="E36" s="158"/>
      <c r="F36" s="158"/>
      <c r="G36" s="465"/>
      <c r="H36" s="465"/>
      <c r="I36" s="465"/>
      <c r="J36" s="46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</row>
    <row r="37" spans="1:247" s="10" customFormat="1" ht="32.25" customHeight="1" x14ac:dyDescent="0.25">
      <c r="A37" s="18">
        <v>1</v>
      </c>
      <c r="B37" s="172" t="s">
        <v>73</v>
      </c>
      <c r="C37" s="157"/>
      <c r="D37" s="157"/>
      <c r="E37" s="157"/>
      <c r="F37" s="157"/>
      <c r="G37" s="457"/>
      <c r="H37" s="457"/>
      <c r="I37" s="457"/>
      <c r="J37" s="457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6" customFormat="1" ht="30" x14ac:dyDescent="0.25">
      <c r="A38" s="18">
        <v>1</v>
      </c>
      <c r="B38" s="199" t="s">
        <v>120</v>
      </c>
      <c r="C38" s="114">
        <f>SUM(C39:C40)</f>
        <v>9156</v>
      </c>
      <c r="D38" s="114">
        <f>SUM(D39:D40)</f>
        <v>3052</v>
      </c>
      <c r="E38" s="114">
        <f>SUM(E39:E40)</f>
        <v>2719</v>
      </c>
      <c r="F38" s="119">
        <f t="shared" ref="F38:F44" si="10">E38/D38*100</f>
        <v>89.089121887287021</v>
      </c>
      <c r="G38" s="466">
        <f>SUM(G39:G40)</f>
        <v>12774.456339999999</v>
      </c>
      <c r="H38" s="466">
        <f>SUM(H39:H40)</f>
        <v>4258.1499999999996</v>
      </c>
      <c r="I38" s="466">
        <f>SUM(I39:I40)</f>
        <v>3802.2646300000001</v>
      </c>
      <c r="J38" s="460">
        <f t="shared" ref="J38:J45" si="11">I38/H38*100</f>
        <v>89.293816093843574</v>
      </c>
    </row>
    <row r="39" spans="1:247" s="36" customFormat="1" ht="30" x14ac:dyDescent="0.25">
      <c r="A39" s="18">
        <v>1</v>
      </c>
      <c r="B39" s="72" t="s">
        <v>79</v>
      </c>
      <c r="C39" s="114">
        <v>7042</v>
      </c>
      <c r="D39" s="108">
        <f>ROUND(C39/12*$B$3,0)</f>
        <v>2347</v>
      </c>
      <c r="E39" s="114">
        <v>2654</v>
      </c>
      <c r="F39" s="119">
        <f t="shared" si="10"/>
        <v>113.08052833404345</v>
      </c>
      <c r="G39" s="466">
        <v>8925.8931999999986</v>
      </c>
      <c r="H39" s="639">
        <f t="shared" ref="H39:H40" si="12">ROUND(G39/12*$B$3,2)</f>
        <v>2975.3</v>
      </c>
      <c r="I39" s="466">
        <v>3690.69796</v>
      </c>
      <c r="J39" s="460">
        <f t="shared" si="11"/>
        <v>124.04456559002452</v>
      </c>
    </row>
    <row r="40" spans="1:247" s="36" customFormat="1" ht="30" x14ac:dyDescent="0.25">
      <c r="A40" s="18">
        <v>1</v>
      </c>
      <c r="B40" s="72" t="s">
        <v>80</v>
      </c>
      <c r="C40" s="114">
        <v>2114</v>
      </c>
      <c r="D40" s="108">
        <f>ROUND(C40/12*$B$3,0)</f>
        <v>705</v>
      </c>
      <c r="E40" s="114">
        <v>65</v>
      </c>
      <c r="F40" s="119">
        <f t="shared" si="10"/>
        <v>9.2198581560283674</v>
      </c>
      <c r="G40" s="466">
        <v>3848.5631399999997</v>
      </c>
      <c r="H40" s="639">
        <f t="shared" si="12"/>
        <v>1282.8499999999999</v>
      </c>
      <c r="I40" s="466">
        <v>111.56666999999999</v>
      </c>
      <c r="J40" s="460">
        <f t="shared" si="11"/>
        <v>8.6967821647113848</v>
      </c>
    </row>
    <row r="41" spans="1:247" s="36" customFormat="1" ht="30" x14ac:dyDescent="0.25">
      <c r="A41" s="18">
        <v>1</v>
      </c>
      <c r="B41" s="199" t="s">
        <v>112</v>
      </c>
      <c r="C41" s="114">
        <f>SUM(C42)</f>
        <v>1000</v>
      </c>
      <c r="D41" s="114">
        <f t="shared" ref="D41:I41" si="13">SUM(D42)</f>
        <v>333</v>
      </c>
      <c r="E41" s="114">
        <f t="shared" si="13"/>
        <v>85</v>
      </c>
      <c r="F41" s="119">
        <f t="shared" si="10"/>
        <v>25.525525525525527</v>
      </c>
      <c r="G41" s="459">
        <f t="shared" si="13"/>
        <v>2120.5100000000002</v>
      </c>
      <c r="H41" s="459">
        <f t="shared" si="13"/>
        <v>706.84</v>
      </c>
      <c r="I41" s="459">
        <f t="shared" si="13"/>
        <v>184.81102999999999</v>
      </c>
      <c r="J41" s="460">
        <f t="shared" si="11"/>
        <v>26.146091053137905</v>
      </c>
    </row>
    <row r="42" spans="1:247" s="36" customFormat="1" ht="30" x14ac:dyDescent="0.25">
      <c r="A42" s="18">
        <v>1</v>
      </c>
      <c r="B42" s="287" t="s">
        <v>108</v>
      </c>
      <c r="C42" s="175">
        <v>1000</v>
      </c>
      <c r="D42" s="301">
        <f>ROUND(C42/12*$B$3,0)</f>
        <v>333</v>
      </c>
      <c r="E42" s="175">
        <v>85</v>
      </c>
      <c r="F42" s="378">
        <f t="shared" si="10"/>
        <v>25.525525525525527</v>
      </c>
      <c r="G42" s="640">
        <f>2120510/1000</f>
        <v>2120.5100000000002</v>
      </c>
      <c r="H42" s="639">
        <f t="shared" ref="H42:H44" si="14">ROUND(G42/12*$B$3,2)</f>
        <v>706.84</v>
      </c>
      <c r="I42" s="467">
        <v>184.81102999999999</v>
      </c>
      <c r="J42" s="460">
        <f t="shared" si="11"/>
        <v>26.146091053137905</v>
      </c>
    </row>
    <row r="43" spans="1:247" s="36" customFormat="1" ht="30" x14ac:dyDescent="0.25">
      <c r="A43" s="18">
        <v>1</v>
      </c>
      <c r="B43" s="659" t="s">
        <v>123</v>
      </c>
      <c r="C43" s="114">
        <v>11460</v>
      </c>
      <c r="D43" s="108">
        <f>ROUND(C43/12*$B$3,0)</f>
        <v>3820</v>
      </c>
      <c r="E43" s="114">
        <v>3232</v>
      </c>
      <c r="F43" s="119">
        <f t="shared" si="10"/>
        <v>84.607329842931932</v>
      </c>
      <c r="G43" s="466">
        <v>11153.101200000001</v>
      </c>
      <c r="H43" s="639">
        <f t="shared" si="14"/>
        <v>3717.7</v>
      </c>
      <c r="I43" s="466">
        <v>3125.09492</v>
      </c>
      <c r="J43" s="460">
        <f>I43/H43*100</f>
        <v>84.059900476100822</v>
      </c>
    </row>
    <row r="44" spans="1:247" s="36" customFormat="1" ht="30.75" thickBot="1" x14ac:dyDescent="0.3">
      <c r="A44" s="18">
        <v>1</v>
      </c>
      <c r="B44" s="659" t="s">
        <v>125</v>
      </c>
      <c r="C44" s="114">
        <v>2000</v>
      </c>
      <c r="D44" s="108">
        <f>ROUND(C44/12*$B$3,0)</f>
        <v>667</v>
      </c>
      <c r="E44" s="114">
        <v>1778</v>
      </c>
      <c r="F44" s="119">
        <f t="shared" si="10"/>
        <v>266.56671664167914</v>
      </c>
      <c r="G44" s="466">
        <v>1946.4400000000003</v>
      </c>
      <c r="H44" s="639">
        <f t="shared" si="14"/>
        <v>648.80999999999995</v>
      </c>
      <c r="I44" s="466">
        <v>1719.3884500000001</v>
      </c>
      <c r="J44" s="460">
        <f>I44/H44*100</f>
        <v>265.00646568332797</v>
      </c>
    </row>
    <row r="45" spans="1:247" s="36" customFormat="1" ht="17.25" customHeight="1" thickBot="1" x14ac:dyDescent="0.3">
      <c r="A45" s="18">
        <v>1</v>
      </c>
      <c r="B45" s="112" t="s">
        <v>3</v>
      </c>
      <c r="C45" s="427"/>
      <c r="D45" s="427"/>
      <c r="E45" s="427"/>
      <c r="F45" s="428"/>
      <c r="G45" s="461">
        <f>G38+G41+G43</f>
        <v>26048.06754</v>
      </c>
      <c r="H45" s="461">
        <f>H38+H41+H43</f>
        <v>8682.6899999999987</v>
      </c>
      <c r="I45" s="461">
        <f>I38+I41+I43</f>
        <v>7112.17058</v>
      </c>
      <c r="J45" s="468">
        <f t="shared" si="11"/>
        <v>81.912063888034709</v>
      </c>
    </row>
    <row r="46" spans="1:247" ht="15" customHeight="1" x14ac:dyDescent="0.25">
      <c r="A46" s="18">
        <v>1</v>
      </c>
      <c r="B46" s="92"/>
      <c r="C46" s="156"/>
      <c r="D46" s="156"/>
      <c r="E46" s="156"/>
      <c r="F46" s="156"/>
      <c r="G46" s="469"/>
      <c r="H46" s="469"/>
      <c r="I46" s="469"/>
      <c r="J46" s="469"/>
    </row>
    <row r="47" spans="1:247" ht="33" customHeight="1" x14ac:dyDescent="0.25">
      <c r="A47" s="18">
        <v>1</v>
      </c>
      <c r="B47" s="172" t="s">
        <v>74</v>
      </c>
      <c r="C47" s="157"/>
      <c r="D47" s="157"/>
      <c r="E47" s="157"/>
      <c r="F47" s="157"/>
      <c r="G47" s="457"/>
      <c r="H47" s="457"/>
      <c r="I47" s="457"/>
      <c r="J47" s="457"/>
    </row>
    <row r="48" spans="1:247" s="36" customFormat="1" ht="30" x14ac:dyDescent="0.25">
      <c r="A48" s="18">
        <v>1</v>
      </c>
      <c r="B48" s="199" t="s">
        <v>120</v>
      </c>
      <c r="C48" s="114">
        <f>SUM(C49:C50)</f>
        <v>20075</v>
      </c>
      <c r="D48" s="114">
        <f>SUM(D49:D50)</f>
        <v>6691</v>
      </c>
      <c r="E48" s="114">
        <f>SUM(E49:E50)</f>
        <v>8213</v>
      </c>
      <c r="F48" s="119">
        <f t="shared" ref="F48:F55" si="15">E48/D48*100</f>
        <v>122.74697354655508</v>
      </c>
      <c r="G48" s="466">
        <f>SUM(G49:G50)</f>
        <v>29460.027139999998</v>
      </c>
      <c r="H48" s="466">
        <f>SUM(H49:H50)</f>
        <v>9820.01</v>
      </c>
      <c r="I48" s="466">
        <f>SUM(I49:I50)</f>
        <v>13618.064139999999</v>
      </c>
      <c r="J48" s="460">
        <f t="shared" ref="J48:J56" si="16">I48/H48*100</f>
        <v>138.67668301763439</v>
      </c>
    </row>
    <row r="49" spans="1:10" s="36" customFormat="1" ht="30" x14ac:dyDescent="0.25">
      <c r="A49" s="18">
        <v>1</v>
      </c>
      <c r="B49" s="72" t="s">
        <v>79</v>
      </c>
      <c r="C49" s="114">
        <v>15442</v>
      </c>
      <c r="D49" s="108">
        <f>ROUND(C49/12*$B$3,0)</f>
        <v>5147</v>
      </c>
      <c r="E49" s="114">
        <v>6461</v>
      </c>
      <c r="F49" s="119">
        <f t="shared" si="15"/>
        <v>125.52943462210997</v>
      </c>
      <c r="G49" s="466">
        <v>21241.522399999998</v>
      </c>
      <c r="H49" s="639">
        <f t="shared" ref="H49:H50" si="17">ROUND(G49/12*$B$3,2)</f>
        <v>7080.51</v>
      </c>
      <c r="I49" s="466">
        <v>10390.963019999999</v>
      </c>
      <c r="J49" s="460">
        <f t="shared" si="16"/>
        <v>146.75444311214869</v>
      </c>
    </row>
    <row r="50" spans="1:10" s="36" customFormat="1" ht="30" x14ac:dyDescent="0.25">
      <c r="A50" s="18">
        <v>1</v>
      </c>
      <c r="B50" s="72" t="s">
        <v>80</v>
      </c>
      <c r="C50" s="114">
        <v>4633</v>
      </c>
      <c r="D50" s="108">
        <f>ROUND(C50/12*$B$3,0)</f>
        <v>1544</v>
      </c>
      <c r="E50" s="114">
        <v>1752</v>
      </c>
      <c r="F50" s="119">
        <f t="shared" si="15"/>
        <v>113.47150259067358</v>
      </c>
      <c r="G50" s="466">
        <v>8218.5047400000003</v>
      </c>
      <c r="H50" s="639">
        <f t="shared" si="17"/>
        <v>2739.5</v>
      </c>
      <c r="I50" s="466">
        <v>3227.1011200000003</v>
      </c>
      <c r="J50" s="460">
        <f t="shared" si="16"/>
        <v>117.79890929001644</v>
      </c>
    </row>
    <row r="51" spans="1:10" s="36" customFormat="1" ht="30" x14ac:dyDescent="0.25">
      <c r="A51" s="18">
        <v>1</v>
      </c>
      <c r="B51" s="200" t="s">
        <v>112</v>
      </c>
      <c r="C51" s="114">
        <f>SUM(C52)</f>
        <v>8000</v>
      </c>
      <c r="D51" s="114">
        <f t="shared" ref="D51:I51" si="18">SUM(D52)</f>
        <v>2667</v>
      </c>
      <c r="E51" s="114">
        <f t="shared" si="18"/>
        <v>2723</v>
      </c>
      <c r="F51" s="119">
        <f t="shared" si="15"/>
        <v>102.0997375328084</v>
      </c>
      <c r="G51" s="459">
        <f t="shared" si="18"/>
        <v>16964.080000000002</v>
      </c>
      <c r="H51" s="459">
        <f t="shared" si="18"/>
        <v>5654.69</v>
      </c>
      <c r="I51" s="459">
        <f t="shared" si="18"/>
        <v>5773.3709699999999</v>
      </c>
      <c r="J51" s="460">
        <f t="shared" si="16"/>
        <v>102.09880594692193</v>
      </c>
    </row>
    <row r="52" spans="1:10" s="36" customFormat="1" ht="30" x14ac:dyDescent="0.25">
      <c r="A52" s="18">
        <v>1</v>
      </c>
      <c r="B52" s="287" t="s">
        <v>108</v>
      </c>
      <c r="C52" s="175">
        <v>8000</v>
      </c>
      <c r="D52" s="301">
        <f>ROUND(C52/12*$B$3,0)</f>
        <v>2667</v>
      </c>
      <c r="E52" s="175">
        <v>2723</v>
      </c>
      <c r="F52" s="378">
        <f t="shared" si="15"/>
        <v>102.0997375328084</v>
      </c>
      <c r="G52" s="640">
        <f>16964080/1000</f>
        <v>16964.080000000002</v>
      </c>
      <c r="H52" s="639">
        <f t="shared" ref="H52:H55" si="19">ROUND(G52/12*$B$3,2)</f>
        <v>5654.69</v>
      </c>
      <c r="I52" s="467">
        <v>5773.3709699999999</v>
      </c>
      <c r="J52" s="460">
        <f t="shared" si="16"/>
        <v>102.09880594692193</v>
      </c>
    </row>
    <row r="53" spans="1:10" s="36" customFormat="1" ht="30" x14ac:dyDescent="0.25">
      <c r="A53" s="18">
        <v>1</v>
      </c>
      <c r="B53" s="117" t="s">
        <v>123</v>
      </c>
      <c r="C53" s="114">
        <v>35558</v>
      </c>
      <c r="D53" s="108">
        <f>ROUND(C53/12*$B$3,0)</f>
        <v>11853</v>
      </c>
      <c r="E53" s="114">
        <v>12118</v>
      </c>
      <c r="F53" s="119">
        <f t="shared" si="15"/>
        <v>102.23572091453642</v>
      </c>
      <c r="G53" s="466">
        <v>34605.756759999997</v>
      </c>
      <c r="H53" s="639">
        <f t="shared" si="19"/>
        <v>11535.25</v>
      </c>
      <c r="I53" s="466">
        <v>11707.737090000001</v>
      </c>
      <c r="J53" s="460">
        <f>I53/H53*100</f>
        <v>101.49530430636528</v>
      </c>
    </row>
    <row r="54" spans="1:10" s="36" customFormat="1" ht="30" x14ac:dyDescent="0.25">
      <c r="A54" s="18">
        <v>1</v>
      </c>
      <c r="B54" s="117" t="s">
        <v>124</v>
      </c>
      <c r="C54" s="114">
        <v>15000</v>
      </c>
      <c r="D54" s="108">
        <f>ROUND(C54/12*$B$3,0)</f>
        <v>5000</v>
      </c>
      <c r="E54" s="114">
        <v>4027</v>
      </c>
      <c r="F54" s="119">
        <f t="shared" si="15"/>
        <v>80.540000000000006</v>
      </c>
      <c r="G54" s="466">
        <v>14598.299999999997</v>
      </c>
      <c r="H54" s="639">
        <f t="shared" si="19"/>
        <v>4866.1000000000004</v>
      </c>
      <c r="I54" s="466">
        <v>3882.7200800000001</v>
      </c>
      <c r="J54" s="460">
        <f t="shared" ref="J54:J55" si="20">I54/H54*100</f>
        <v>79.791210209407936</v>
      </c>
    </row>
    <row r="55" spans="1:10" s="36" customFormat="1" ht="15.75" thickBot="1" x14ac:dyDescent="0.3">
      <c r="A55" s="18">
        <v>1</v>
      </c>
      <c r="B55" s="117" t="s">
        <v>125</v>
      </c>
      <c r="C55" s="114">
        <v>7800</v>
      </c>
      <c r="D55" s="108">
        <f>ROUND(C55/12*$B$3,0)</f>
        <v>2600</v>
      </c>
      <c r="E55" s="114">
        <v>3778</v>
      </c>
      <c r="F55" s="119">
        <f t="shared" si="15"/>
        <v>145.30769230769232</v>
      </c>
      <c r="G55" s="466">
        <v>7591.1159999999991</v>
      </c>
      <c r="H55" s="639">
        <f t="shared" si="19"/>
        <v>2530.37</v>
      </c>
      <c r="I55" s="466">
        <v>3673.5888</v>
      </c>
      <c r="J55" s="460">
        <f t="shared" si="20"/>
        <v>145.17990649588796</v>
      </c>
    </row>
    <row r="56" spans="1:10" s="36" customFormat="1" ht="15" customHeight="1" thickBot="1" x14ac:dyDescent="0.3">
      <c r="A56" s="18">
        <v>1</v>
      </c>
      <c r="B56" s="112" t="s">
        <v>3</v>
      </c>
      <c r="C56" s="427"/>
      <c r="D56" s="427"/>
      <c r="E56" s="427"/>
      <c r="F56" s="428"/>
      <c r="G56" s="461">
        <f>G48+G51+G53</f>
        <v>81029.863899999997</v>
      </c>
      <c r="H56" s="461">
        <f>H48+H51+H53</f>
        <v>27009.95</v>
      </c>
      <c r="I56" s="461">
        <f>I48+I51+I53</f>
        <v>31099.172200000001</v>
      </c>
      <c r="J56" s="468">
        <f t="shared" si="16"/>
        <v>115.13968815195881</v>
      </c>
    </row>
    <row r="57" spans="1:10" ht="15" customHeight="1" x14ac:dyDescent="0.25">
      <c r="A57" s="18">
        <v>1</v>
      </c>
      <c r="B57" s="91"/>
      <c r="C57" s="90"/>
      <c r="D57" s="90"/>
      <c r="E57" s="158"/>
      <c r="F57" s="90"/>
      <c r="G57" s="464"/>
      <c r="H57" s="464"/>
      <c r="I57" s="465"/>
      <c r="J57" s="464"/>
    </row>
    <row r="58" spans="1:10" ht="29.25" x14ac:dyDescent="0.25">
      <c r="A58" s="18">
        <v>1</v>
      </c>
      <c r="B58" s="170" t="s">
        <v>75</v>
      </c>
      <c r="C58" s="159"/>
      <c r="D58" s="159"/>
      <c r="E58" s="159"/>
      <c r="F58" s="159"/>
      <c r="G58" s="457"/>
      <c r="H58" s="457"/>
      <c r="I58" s="457"/>
      <c r="J58" s="457"/>
    </row>
    <row r="59" spans="1:10" s="36" customFormat="1" ht="30" x14ac:dyDescent="0.25">
      <c r="A59" s="18">
        <v>1</v>
      </c>
      <c r="B59" s="199" t="s">
        <v>120</v>
      </c>
      <c r="C59" s="114">
        <f>SUM(C60:C61)</f>
        <v>553</v>
      </c>
      <c r="D59" s="114">
        <f>SUM(D60:D61)</f>
        <v>184</v>
      </c>
      <c r="E59" s="114">
        <f>SUM(E60:E61)</f>
        <v>355</v>
      </c>
      <c r="F59" s="119">
        <f t="shared" ref="F59:F67" si="21">E59/D59*100</f>
        <v>192.93478260869566</v>
      </c>
      <c r="G59" s="466">
        <f>SUM(G60:G61)</f>
        <v>3628.8302400000002</v>
      </c>
      <c r="H59" s="466">
        <f>SUM(H60:H61)</f>
        <v>1209.6100000000001</v>
      </c>
      <c r="I59" s="466">
        <f>SUM(I60:I61)</f>
        <v>2329.5383999999999</v>
      </c>
      <c r="J59" s="466">
        <f>I59/H59*100</f>
        <v>192.58590785459774</v>
      </c>
    </row>
    <row r="60" spans="1:10" s="36" customFormat="1" ht="36" customHeight="1" x14ac:dyDescent="0.25">
      <c r="A60" s="18">
        <v>1</v>
      </c>
      <c r="B60" s="72" t="s">
        <v>114</v>
      </c>
      <c r="C60" s="114">
        <v>120</v>
      </c>
      <c r="D60" s="108">
        <f>ROUND(C60/12*$B$3,0)</f>
        <v>40</v>
      </c>
      <c r="E60" s="114">
        <v>72</v>
      </c>
      <c r="F60" s="119">
        <f t="shared" si="21"/>
        <v>180</v>
      </c>
      <c r="G60" s="466">
        <v>787.44960000000003</v>
      </c>
      <c r="H60" s="639">
        <f t="shared" ref="H60:H61" si="22">ROUND(G60/12*$B$3,2)</f>
        <v>262.48</v>
      </c>
      <c r="I60" s="466">
        <v>472.46976000000001</v>
      </c>
      <c r="J60" s="466">
        <f t="shared" ref="J60:J68" si="23">I60/H60*100</f>
        <v>180.00219445291069</v>
      </c>
    </row>
    <row r="61" spans="1:10" s="36" customFormat="1" ht="30" x14ac:dyDescent="0.25">
      <c r="A61" s="18">
        <v>1</v>
      </c>
      <c r="B61" s="72" t="s">
        <v>115</v>
      </c>
      <c r="C61" s="114">
        <v>433</v>
      </c>
      <c r="D61" s="108">
        <f>ROUND(C61/12*$B$3,0)</f>
        <v>144</v>
      </c>
      <c r="E61" s="114">
        <v>283</v>
      </c>
      <c r="F61" s="119">
        <f t="shared" si="21"/>
        <v>196.52777777777777</v>
      </c>
      <c r="G61" s="466">
        <v>2841.3806400000003</v>
      </c>
      <c r="H61" s="639">
        <f t="shared" si="22"/>
        <v>947.13</v>
      </c>
      <c r="I61" s="466">
        <v>1857.06864</v>
      </c>
      <c r="J61" s="466">
        <f t="shared" si="23"/>
        <v>196.07325710303761</v>
      </c>
    </row>
    <row r="62" spans="1:10" s="36" customFormat="1" ht="30" x14ac:dyDescent="0.25">
      <c r="A62" s="18">
        <v>1</v>
      </c>
      <c r="B62" s="199" t="s">
        <v>112</v>
      </c>
      <c r="C62" s="114">
        <f>SUM(C63:C64)</f>
        <v>47614</v>
      </c>
      <c r="D62" s="114">
        <f>SUM(D63:D64)</f>
        <v>15871</v>
      </c>
      <c r="E62" s="114">
        <f>SUM(E63:E64)</f>
        <v>16363</v>
      </c>
      <c r="F62" s="119">
        <f t="shared" si="21"/>
        <v>103.0999936991998</v>
      </c>
      <c r="G62" s="466">
        <f>SUM(G63:G64)</f>
        <v>95451.935379999995</v>
      </c>
      <c r="H62" s="466">
        <f>SUM(H63:H64)</f>
        <v>31817.31</v>
      </c>
      <c r="I62" s="466">
        <f>SUM(I63:I64)</f>
        <v>31810.244309999998</v>
      </c>
      <c r="J62" s="466">
        <f t="shared" si="23"/>
        <v>99.977792937240764</v>
      </c>
    </row>
    <row r="63" spans="1:10" s="36" customFormat="1" ht="60" x14ac:dyDescent="0.25">
      <c r="A63" s="18">
        <v>1</v>
      </c>
      <c r="B63" s="72" t="s">
        <v>119</v>
      </c>
      <c r="C63" s="114">
        <v>27514</v>
      </c>
      <c r="D63" s="108">
        <f t="shared" ref="D63:D67" si="24">ROUND(C63/12*$B$3,0)</f>
        <v>9171</v>
      </c>
      <c r="E63" s="114">
        <v>9811</v>
      </c>
      <c r="F63" s="119">
        <f t="shared" si="21"/>
        <v>106.97851924544761</v>
      </c>
      <c r="G63" s="639">
        <f>75750719.38/1000</f>
        <v>75750.719379999995</v>
      </c>
      <c r="H63" s="639">
        <f t="shared" ref="H63:H66" si="25">ROUND(G63/12*$B$3,2)</f>
        <v>25250.240000000002</v>
      </c>
      <c r="I63" s="466">
        <v>24644.570929999998</v>
      </c>
      <c r="J63" s="466">
        <f t="shared" si="23"/>
        <v>97.601333413068531</v>
      </c>
    </row>
    <row r="64" spans="1:10" s="36" customFormat="1" ht="45" x14ac:dyDescent="0.25">
      <c r="A64" s="18">
        <v>1</v>
      </c>
      <c r="B64" s="72" t="s">
        <v>109</v>
      </c>
      <c r="C64" s="114">
        <v>20100</v>
      </c>
      <c r="D64" s="108">
        <f t="shared" si="24"/>
        <v>6700</v>
      </c>
      <c r="E64" s="114">
        <v>6552</v>
      </c>
      <c r="F64" s="119">
        <f t="shared" si="21"/>
        <v>97.791044776119406</v>
      </c>
      <c r="G64" s="639">
        <f>19701216/1000</f>
        <v>19701.216</v>
      </c>
      <c r="H64" s="639">
        <f t="shared" si="25"/>
        <v>6567.07</v>
      </c>
      <c r="I64" s="466">
        <v>7165.6733800000002</v>
      </c>
      <c r="J64" s="466">
        <f t="shared" si="23"/>
        <v>109.11522764337826</v>
      </c>
    </row>
    <row r="65" spans="1:10" s="36" customFormat="1" ht="38.1" customHeight="1" x14ac:dyDescent="0.25">
      <c r="A65" s="18">
        <v>1</v>
      </c>
      <c r="B65" s="659" t="s">
        <v>123</v>
      </c>
      <c r="C65" s="114">
        <v>26600</v>
      </c>
      <c r="D65" s="108">
        <f t="shared" si="24"/>
        <v>8867</v>
      </c>
      <c r="E65" s="114">
        <v>9065</v>
      </c>
      <c r="F65" s="119">
        <f t="shared" si="21"/>
        <v>102.23299875944514</v>
      </c>
      <c r="G65" s="466">
        <v>25887.651999999998</v>
      </c>
      <c r="H65" s="639">
        <f t="shared" si="25"/>
        <v>8629.2199999999993</v>
      </c>
      <c r="I65" s="466">
        <v>8515.4556099999991</v>
      </c>
      <c r="J65" s="466">
        <f t="shared" si="23"/>
        <v>98.681637621940325</v>
      </c>
    </row>
    <row r="66" spans="1:10" s="36" customFormat="1" ht="29.25" customHeight="1" x14ac:dyDescent="0.25">
      <c r="A66" s="18">
        <v>1</v>
      </c>
      <c r="B66" s="659" t="s">
        <v>124</v>
      </c>
      <c r="C66" s="114">
        <v>5100</v>
      </c>
      <c r="D66" s="108">
        <f t="shared" si="24"/>
        <v>1700</v>
      </c>
      <c r="E66" s="114">
        <v>3159</v>
      </c>
      <c r="F66" s="119">
        <f t="shared" si="21"/>
        <v>185.8235294117647</v>
      </c>
      <c r="G66" s="466">
        <v>4963.4219999999996</v>
      </c>
      <c r="H66" s="639">
        <f t="shared" si="25"/>
        <v>1654.47</v>
      </c>
      <c r="I66" s="466">
        <v>2951.63274</v>
      </c>
      <c r="J66" s="466">
        <f t="shared" si="23"/>
        <v>178.40352136938114</v>
      </c>
    </row>
    <row r="67" spans="1:10" s="36" customFormat="1" ht="20.25" customHeight="1" thickBot="1" x14ac:dyDescent="0.3">
      <c r="A67" s="18"/>
      <c r="B67" s="674" t="s">
        <v>125</v>
      </c>
      <c r="C67" s="622">
        <v>500</v>
      </c>
      <c r="D67" s="621">
        <f t="shared" si="24"/>
        <v>167</v>
      </c>
      <c r="E67" s="622">
        <v>229</v>
      </c>
      <c r="F67" s="141">
        <f t="shared" si="21"/>
        <v>137.12574850299401</v>
      </c>
      <c r="G67" s="466">
        <v>486.61</v>
      </c>
      <c r="H67" s="719">
        <f>ROUND(G67/12*$B$3,2)</f>
        <v>162.19999999999999</v>
      </c>
      <c r="I67" s="718">
        <v>209.73698000000002</v>
      </c>
      <c r="J67" s="466">
        <f t="shared" si="23"/>
        <v>129.30763255240444</v>
      </c>
    </row>
    <row r="68" spans="1:10" s="36" customFormat="1" ht="15.75" thickBot="1" x14ac:dyDescent="0.3">
      <c r="A68" s="18">
        <v>1</v>
      </c>
      <c r="B68" s="112" t="s">
        <v>3</v>
      </c>
      <c r="C68" s="427"/>
      <c r="D68" s="427"/>
      <c r="E68" s="427"/>
      <c r="F68" s="428"/>
      <c r="G68" s="472">
        <f>G62+G59+G65</f>
        <v>124968.41761999999</v>
      </c>
      <c r="H68" s="472">
        <f>H62+H59+H65</f>
        <v>41656.14</v>
      </c>
      <c r="I68" s="472">
        <f>I62+I59+I65</f>
        <v>42655.238319999997</v>
      </c>
      <c r="J68" s="472">
        <f t="shared" si="23"/>
        <v>102.39844191036423</v>
      </c>
    </row>
    <row r="69" spans="1:10" ht="15" customHeight="1" x14ac:dyDescent="0.25">
      <c r="A69" s="18">
        <v>1</v>
      </c>
      <c r="B69" s="79"/>
      <c r="C69" s="53"/>
      <c r="D69" s="53"/>
      <c r="E69" s="160"/>
      <c r="F69" s="53"/>
      <c r="G69" s="473"/>
      <c r="H69" s="473"/>
      <c r="I69" s="474"/>
      <c r="J69" s="473"/>
    </row>
    <row r="70" spans="1:10" ht="29.25" customHeight="1" x14ac:dyDescent="0.25">
      <c r="A70" s="18">
        <v>1</v>
      </c>
      <c r="B70" s="172" t="s">
        <v>76</v>
      </c>
      <c r="C70" s="159"/>
      <c r="D70" s="159"/>
      <c r="E70" s="159"/>
      <c r="F70" s="159"/>
      <c r="G70" s="457"/>
      <c r="H70" s="457"/>
      <c r="I70" s="457"/>
      <c r="J70" s="457"/>
    </row>
    <row r="71" spans="1:10" s="36" customFormat="1" ht="32.450000000000003" customHeight="1" x14ac:dyDescent="0.25">
      <c r="A71" s="18">
        <v>1</v>
      </c>
      <c r="B71" s="199" t="s">
        <v>120</v>
      </c>
      <c r="C71" s="114">
        <f>SUM(C72:C73)</f>
        <v>5781</v>
      </c>
      <c r="D71" s="114">
        <f>SUM(D72:D73)</f>
        <v>1927</v>
      </c>
      <c r="E71" s="114">
        <f>SUM(E72:E73)</f>
        <v>2146</v>
      </c>
      <c r="F71" s="119">
        <f t="shared" ref="F71:F76" si="26">E71/D71*100</f>
        <v>111.36481577581733</v>
      </c>
      <c r="G71" s="466">
        <f>SUM(G72:G73)</f>
        <v>7962.1802399999997</v>
      </c>
      <c r="H71" s="466">
        <f>SUM(H72:H73)</f>
        <v>2654.06</v>
      </c>
      <c r="I71" s="466">
        <f>SUM(I72:I73)</f>
        <v>3018.4411899999996</v>
      </c>
      <c r="J71" s="466">
        <f t="shared" ref="J71:J77" si="27">I71/H71*100</f>
        <v>113.72919941523551</v>
      </c>
    </row>
    <row r="72" spans="1:10" s="36" customFormat="1" ht="38.1" customHeight="1" x14ac:dyDescent="0.25">
      <c r="A72" s="18">
        <v>1</v>
      </c>
      <c r="B72" s="72" t="s">
        <v>79</v>
      </c>
      <c r="C72" s="114">
        <v>4447</v>
      </c>
      <c r="D72" s="108">
        <f>ROUND(C72/12*$B$3,0)</f>
        <v>1482</v>
      </c>
      <c r="E72" s="114">
        <v>1561</v>
      </c>
      <c r="F72" s="119">
        <f t="shared" si="26"/>
        <v>105.33063427800269</v>
      </c>
      <c r="G72" s="466">
        <v>5648.1165999999994</v>
      </c>
      <c r="H72" s="639">
        <f t="shared" ref="H72:H73" si="28">ROUND(G72/12*$B$3,2)</f>
        <v>1882.71</v>
      </c>
      <c r="I72" s="466">
        <v>2122.8726699999997</v>
      </c>
      <c r="J72" s="466">
        <f t="shared" si="27"/>
        <v>112.75622214786132</v>
      </c>
    </row>
    <row r="73" spans="1:10" s="36" customFormat="1" ht="38.1" customHeight="1" x14ac:dyDescent="0.25">
      <c r="A73" s="18">
        <v>1</v>
      </c>
      <c r="B73" s="72" t="s">
        <v>80</v>
      </c>
      <c r="C73" s="114">
        <v>1334</v>
      </c>
      <c r="D73" s="108">
        <f>ROUND(C73/12*$B$3,0)</f>
        <v>445</v>
      </c>
      <c r="E73" s="114">
        <v>585</v>
      </c>
      <c r="F73" s="119">
        <f t="shared" si="26"/>
        <v>131.46067415730337</v>
      </c>
      <c r="G73" s="466">
        <v>2314.0636399999999</v>
      </c>
      <c r="H73" s="639">
        <f t="shared" si="28"/>
        <v>771.35</v>
      </c>
      <c r="I73" s="466">
        <v>895.56852000000003</v>
      </c>
      <c r="J73" s="466">
        <f t="shared" si="27"/>
        <v>116.10404096713553</v>
      </c>
    </row>
    <row r="74" spans="1:10" s="36" customFormat="1" ht="30" x14ac:dyDescent="0.25">
      <c r="A74" s="18">
        <v>1</v>
      </c>
      <c r="B74" s="200" t="s">
        <v>112</v>
      </c>
      <c r="C74" s="114">
        <f>SUM(C75)</f>
        <v>100</v>
      </c>
      <c r="D74" s="114">
        <f t="shared" ref="D74:I74" si="29">SUM(D75)</f>
        <v>33</v>
      </c>
      <c r="E74" s="114">
        <f t="shared" si="29"/>
        <v>36</v>
      </c>
      <c r="F74" s="119">
        <f t="shared" si="26"/>
        <v>109.09090909090908</v>
      </c>
      <c r="G74" s="459">
        <f t="shared" si="29"/>
        <v>212.05099999999999</v>
      </c>
      <c r="H74" s="459">
        <f t="shared" si="29"/>
        <v>70.680000000000007</v>
      </c>
      <c r="I74" s="459">
        <f t="shared" si="29"/>
        <v>75.264939999999996</v>
      </c>
      <c r="J74" s="466">
        <f t="shared" si="27"/>
        <v>106.48689869835879</v>
      </c>
    </row>
    <row r="75" spans="1:10" s="36" customFormat="1" ht="38.1" customHeight="1" x14ac:dyDescent="0.25">
      <c r="A75" s="18">
        <v>1</v>
      </c>
      <c r="B75" s="287" t="s">
        <v>108</v>
      </c>
      <c r="C75" s="175">
        <v>100</v>
      </c>
      <c r="D75" s="301">
        <f>ROUND(C75/12*$B$3,0)</f>
        <v>33</v>
      </c>
      <c r="E75" s="175">
        <v>36</v>
      </c>
      <c r="F75" s="378">
        <f t="shared" si="26"/>
        <v>109.09090909090908</v>
      </c>
      <c r="G75" s="640">
        <f>212051/1000</f>
        <v>212.05099999999999</v>
      </c>
      <c r="H75" s="639">
        <f t="shared" ref="H75:H76" si="30">ROUND(G75/12*$B$3,2)</f>
        <v>70.680000000000007</v>
      </c>
      <c r="I75" s="467">
        <v>75.264939999999996</v>
      </c>
      <c r="J75" s="467">
        <f t="shared" si="27"/>
        <v>106.48689869835879</v>
      </c>
    </row>
    <row r="76" spans="1:10" s="36" customFormat="1" ht="38.1" customHeight="1" thickBot="1" x14ac:dyDescent="0.3">
      <c r="A76" s="18">
        <v>1</v>
      </c>
      <c r="B76" s="659" t="s">
        <v>123</v>
      </c>
      <c r="C76" s="114">
        <v>6260</v>
      </c>
      <c r="D76" s="108">
        <f>ROUND(C76/12*$B$3,0)</f>
        <v>2087</v>
      </c>
      <c r="E76" s="114">
        <v>2198</v>
      </c>
      <c r="F76" s="119">
        <f t="shared" si="26"/>
        <v>105.31863919501676</v>
      </c>
      <c r="G76" s="466">
        <v>6092.3572000000004</v>
      </c>
      <c r="H76" s="639">
        <f t="shared" si="30"/>
        <v>2030.79</v>
      </c>
      <c r="I76" s="466">
        <v>2116.2795799999994</v>
      </c>
      <c r="J76" s="466">
        <f>I76/H76*100</f>
        <v>104.20967111321207</v>
      </c>
    </row>
    <row r="77" spans="1:10" s="36" customFormat="1" ht="20.25" customHeight="1" thickBot="1" x14ac:dyDescent="0.3">
      <c r="A77" s="18">
        <v>1</v>
      </c>
      <c r="B77" s="112" t="s">
        <v>3</v>
      </c>
      <c r="C77" s="427"/>
      <c r="D77" s="427"/>
      <c r="E77" s="427"/>
      <c r="F77" s="428"/>
      <c r="G77" s="461">
        <f>G71+G74+G76</f>
        <v>14266.58844</v>
      </c>
      <c r="H77" s="461">
        <f>H71+H74+H76</f>
        <v>4755.53</v>
      </c>
      <c r="I77" s="461">
        <f>I71+I74+I76</f>
        <v>5209.985709999999</v>
      </c>
      <c r="J77" s="472">
        <f t="shared" si="27"/>
        <v>109.55636301316571</v>
      </c>
    </row>
    <row r="78" spans="1:10" ht="15" customHeight="1" x14ac:dyDescent="0.25">
      <c r="A78" s="18">
        <v>1</v>
      </c>
      <c r="B78" s="79"/>
      <c r="C78" s="88"/>
      <c r="D78" s="88"/>
      <c r="E78" s="161"/>
      <c r="F78" s="88"/>
      <c r="G78" s="476"/>
      <c r="H78" s="476"/>
      <c r="I78" s="477"/>
      <c r="J78" s="476"/>
    </row>
    <row r="79" spans="1:10" ht="44.25" customHeight="1" x14ac:dyDescent="0.25">
      <c r="A79" s="18">
        <v>1</v>
      </c>
      <c r="B79" s="75" t="s">
        <v>92</v>
      </c>
      <c r="C79" s="159"/>
      <c r="D79" s="159"/>
      <c r="E79" s="159"/>
      <c r="F79" s="159"/>
      <c r="G79" s="457"/>
      <c r="H79" s="457"/>
      <c r="I79" s="457"/>
      <c r="J79" s="457"/>
    </row>
    <row r="80" spans="1:10" s="36" customFormat="1" ht="30" x14ac:dyDescent="0.25">
      <c r="A80" s="18">
        <v>1</v>
      </c>
      <c r="B80" s="199" t="s">
        <v>120</v>
      </c>
      <c r="C80" s="114">
        <f>SUM(C81:C82,C83)</f>
        <v>6344</v>
      </c>
      <c r="D80" s="114">
        <f>SUM(D81:D82,D83)</f>
        <v>2115</v>
      </c>
      <c r="E80" s="114">
        <f>SUM(E81:E82,E83)</f>
        <v>1507</v>
      </c>
      <c r="F80" s="114">
        <f>SUM(F81:F82,F83)</f>
        <v>160.33532499722912</v>
      </c>
      <c r="G80" s="597">
        <f>SUM(G81:G82,G83)</f>
        <v>8344.6247299999995</v>
      </c>
      <c r="H80" s="466">
        <f>SUM(H81:H82)</f>
        <v>2781.54</v>
      </c>
      <c r="I80" s="466">
        <f>SUM(I81:I82)</f>
        <v>1645.08044</v>
      </c>
      <c r="J80" s="466">
        <f t="shared" ref="J80:J90" si="31">I80/H80*100</f>
        <v>59.142792841375638</v>
      </c>
    </row>
    <row r="81" spans="1:10" s="36" customFormat="1" ht="30" x14ac:dyDescent="0.25">
      <c r="A81" s="18">
        <v>1</v>
      </c>
      <c r="B81" s="72" t="s">
        <v>79</v>
      </c>
      <c r="C81" s="114">
        <v>4880</v>
      </c>
      <c r="D81" s="108">
        <f>ROUND(C81/12*$B$3,0)</f>
        <v>1627</v>
      </c>
      <c r="E81" s="114">
        <v>1035</v>
      </c>
      <c r="F81" s="119">
        <f t="shared" ref="F81:F89" si="32">E81/D81*100</f>
        <v>63.614013521819302</v>
      </c>
      <c r="G81" s="466">
        <v>5819.5129999999999</v>
      </c>
      <c r="H81" s="639">
        <f t="shared" ref="H81:H83" si="33">ROUND(G81/12*$B$3,2)</f>
        <v>1939.84</v>
      </c>
      <c r="I81" s="466">
        <v>865.34930999999995</v>
      </c>
      <c r="J81" s="466">
        <f t="shared" si="31"/>
        <v>44.609313654734414</v>
      </c>
    </row>
    <row r="82" spans="1:10" s="36" customFormat="1" ht="30" x14ac:dyDescent="0.25">
      <c r="A82" s="18">
        <v>1</v>
      </c>
      <c r="B82" s="72" t="s">
        <v>80</v>
      </c>
      <c r="C82" s="114">
        <v>1464</v>
      </c>
      <c r="D82" s="108">
        <f>ROUND(C82/12*$B$3,0)</f>
        <v>488</v>
      </c>
      <c r="E82" s="114">
        <v>472</v>
      </c>
      <c r="F82" s="119">
        <f t="shared" si="32"/>
        <v>96.721311475409834</v>
      </c>
      <c r="G82" s="466">
        <v>2525.1117300000001</v>
      </c>
      <c r="H82" s="639">
        <f t="shared" si="33"/>
        <v>841.7</v>
      </c>
      <c r="I82" s="466">
        <v>779.73113000000001</v>
      </c>
      <c r="J82" s="466">
        <f t="shared" si="31"/>
        <v>92.637653558274906</v>
      </c>
    </row>
    <row r="83" spans="1:10" s="36" customFormat="1" ht="34.5" customHeight="1" x14ac:dyDescent="0.25">
      <c r="A83" s="18">
        <v>1</v>
      </c>
      <c r="B83" s="72" t="s">
        <v>122</v>
      </c>
      <c r="C83" s="114"/>
      <c r="D83" s="108"/>
      <c r="E83" s="114"/>
      <c r="F83" s="119"/>
      <c r="G83" s="466"/>
      <c r="H83" s="639">
        <f t="shared" si="33"/>
        <v>0</v>
      </c>
      <c r="I83" s="466"/>
      <c r="J83" s="466"/>
    </row>
    <row r="84" spans="1:10" s="36" customFormat="1" ht="30" x14ac:dyDescent="0.25">
      <c r="A84" s="18">
        <v>1</v>
      </c>
      <c r="B84" s="200" t="s">
        <v>112</v>
      </c>
      <c r="C84" s="114">
        <f>SUM(C85:C87)</f>
        <v>2229</v>
      </c>
      <c r="D84" s="114">
        <f>SUM(D85:D87)</f>
        <v>743</v>
      </c>
      <c r="E84" s="114">
        <f>SUM(E85:E87)</f>
        <v>566</v>
      </c>
      <c r="F84" s="119">
        <f t="shared" si="32"/>
        <v>76.177658142664868</v>
      </c>
      <c r="G84" s="459">
        <f>SUM(G85:G87)</f>
        <v>5716.3079300000009</v>
      </c>
      <c r="H84" s="459">
        <f>SUM(H85:H87)</f>
        <v>1905.44</v>
      </c>
      <c r="I84" s="459">
        <f>SUM(I85:I87)</f>
        <v>1212.80684</v>
      </c>
      <c r="J84" s="466">
        <f t="shared" si="31"/>
        <v>63.649699806868753</v>
      </c>
    </row>
    <row r="85" spans="1:10" s="36" customFormat="1" ht="30" x14ac:dyDescent="0.25">
      <c r="A85" s="18">
        <v>1</v>
      </c>
      <c r="B85" s="72" t="s">
        <v>108</v>
      </c>
      <c r="C85" s="114">
        <v>362</v>
      </c>
      <c r="D85" s="108">
        <f t="shared" ref="D85:D89" si="34">ROUND(C85/12*$B$3,0)</f>
        <v>121</v>
      </c>
      <c r="E85" s="114">
        <v>163</v>
      </c>
      <c r="F85" s="119">
        <f t="shared" si="32"/>
        <v>134.71074380165288</v>
      </c>
      <c r="G85" s="639">
        <f>767624.62/1000</f>
        <v>767.62462000000005</v>
      </c>
      <c r="H85" s="639">
        <f t="shared" ref="H85:H89" si="35">ROUND(G85/12*$B$3,2)</f>
        <v>255.87</v>
      </c>
      <c r="I85" s="466">
        <v>319.88513</v>
      </c>
      <c r="J85" s="466">
        <f t="shared" si="31"/>
        <v>125.01861492163991</v>
      </c>
    </row>
    <row r="86" spans="1:10" s="36" customFormat="1" ht="56.25" customHeight="1" x14ac:dyDescent="0.25">
      <c r="A86" s="18">
        <v>1</v>
      </c>
      <c r="B86" s="72" t="s">
        <v>119</v>
      </c>
      <c r="C86" s="114">
        <v>1759</v>
      </c>
      <c r="D86" s="108">
        <f t="shared" si="34"/>
        <v>586</v>
      </c>
      <c r="E86" s="114">
        <v>209</v>
      </c>
      <c r="F86" s="119">
        <f t="shared" si="32"/>
        <v>35.665529010238906</v>
      </c>
      <c r="G86" s="639">
        <f>4842826.03/1000</f>
        <v>4842.8260300000002</v>
      </c>
      <c r="H86" s="639">
        <f t="shared" si="35"/>
        <v>1614.28</v>
      </c>
      <c r="I86" s="466">
        <v>685.50369999999998</v>
      </c>
      <c r="J86" s="466">
        <f t="shared" si="31"/>
        <v>42.464981291969174</v>
      </c>
    </row>
    <row r="87" spans="1:10" s="36" customFormat="1" ht="48" customHeight="1" x14ac:dyDescent="0.25">
      <c r="A87" s="18">
        <v>1</v>
      </c>
      <c r="B87" s="72" t="s">
        <v>121</v>
      </c>
      <c r="C87" s="114">
        <v>108</v>
      </c>
      <c r="D87" s="108">
        <f t="shared" si="34"/>
        <v>36</v>
      </c>
      <c r="E87" s="114">
        <v>194</v>
      </c>
      <c r="F87" s="119">
        <f t="shared" si="32"/>
        <v>538.88888888888891</v>
      </c>
      <c r="G87" s="639">
        <f>105857.28/1000</f>
        <v>105.85728</v>
      </c>
      <c r="H87" s="639">
        <f t="shared" si="35"/>
        <v>35.29</v>
      </c>
      <c r="I87" s="466">
        <v>207.41801000000001</v>
      </c>
      <c r="J87" s="466">
        <f t="shared" si="31"/>
        <v>587.75293284216502</v>
      </c>
    </row>
    <row r="88" spans="1:10" s="36" customFormat="1" ht="30" x14ac:dyDescent="0.25">
      <c r="A88" s="18">
        <v>1</v>
      </c>
      <c r="B88" s="659" t="s">
        <v>123</v>
      </c>
      <c r="C88" s="114">
        <v>4300</v>
      </c>
      <c r="D88" s="108">
        <f t="shared" si="34"/>
        <v>1433</v>
      </c>
      <c r="E88" s="114">
        <v>965</v>
      </c>
      <c r="F88" s="119">
        <f t="shared" si="32"/>
        <v>67.341242149337049</v>
      </c>
      <c r="G88" s="466">
        <v>4184.8459999999995</v>
      </c>
      <c r="H88" s="639">
        <f t="shared" si="35"/>
        <v>1394.95</v>
      </c>
      <c r="I88" s="466">
        <v>933.32954000000007</v>
      </c>
      <c r="J88" s="460">
        <f t="shared" si="31"/>
        <v>66.907741496110972</v>
      </c>
    </row>
    <row r="89" spans="1:10" s="36" customFormat="1" ht="30" x14ac:dyDescent="0.25">
      <c r="A89" s="18">
        <v>1</v>
      </c>
      <c r="B89" s="659" t="s">
        <v>125</v>
      </c>
      <c r="C89" s="114">
        <v>400</v>
      </c>
      <c r="D89" s="108">
        <f t="shared" si="34"/>
        <v>133</v>
      </c>
      <c r="E89" s="114">
        <v>348</v>
      </c>
      <c r="F89" s="119">
        <f t="shared" si="32"/>
        <v>261.6541353383459</v>
      </c>
      <c r="G89" s="466">
        <v>389.28799999999995</v>
      </c>
      <c r="H89" s="639">
        <f t="shared" si="35"/>
        <v>129.76</v>
      </c>
      <c r="I89" s="466">
        <v>337.70734000000004</v>
      </c>
      <c r="J89" s="460">
        <f t="shared" si="31"/>
        <v>260.25534833538848</v>
      </c>
    </row>
    <row r="90" spans="1:10" s="36" customFormat="1" ht="15" customHeight="1" x14ac:dyDescent="0.25">
      <c r="A90" s="18">
        <v>1</v>
      </c>
      <c r="B90" s="12" t="s">
        <v>3</v>
      </c>
      <c r="C90" s="116"/>
      <c r="D90" s="116"/>
      <c r="E90" s="116"/>
      <c r="F90" s="123"/>
      <c r="G90" s="470">
        <f>G80+G84+G88</f>
        <v>18245.77866</v>
      </c>
      <c r="H90" s="470">
        <f>H80+H84+H88</f>
        <v>6081.9299999999994</v>
      </c>
      <c r="I90" s="470">
        <f>I80+I84+I88</f>
        <v>3791.2168200000001</v>
      </c>
      <c r="J90" s="470">
        <f t="shared" si="31"/>
        <v>62.335752302311946</v>
      </c>
    </row>
    <row r="91" spans="1:10" s="36" customFormat="1" ht="15.75" customHeight="1" x14ac:dyDescent="0.25">
      <c r="A91" s="18">
        <v>1</v>
      </c>
      <c r="C91" s="77"/>
      <c r="D91" s="77"/>
      <c r="E91" s="147"/>
      <c r="F91" s="77"/>
      <c r="G91" s="478"/>
      <c r="H91" s="478"/>
      <c r="I91" s="479"/>
      <c r="J91" s="478"/>
    </row>
    <row r="92" spans="1:10" ht="29.25" customHeight="1" x14ac:dyDescent="0.25">
      <c r="A92" s="18">
        <v>1</v>
      </c>
      <c r="B92" s="75" t="s">
        <v>93</v>
      </c>
      <c r="C92" s="48"/>
      <c r="D92" s="48"/>
      <c r="E92" s="159"/>
      <c r="F92" s="48"/>
      <c r="G92" s="456"/>
      <c r="H92" s="456"/>
      <c r="I92" s="457"/>
      <c r="J92" s="456"/>
    </row>
    <row r="93" spans="1:10" s="36" customFormat="1" ht="30" x14ac:dyDescent="0.25">
      <c r="A93" s="18">
        <v>1</v>
      </c>
      <c r="B93" s="199" t="s">
        <v>120</v>
      </c>
      <c r="C93" s="114">
        <f>SUM(C94:C95)</f>
        <v>1898</v>
      </c>
      <c r="D93" s="114">
        <f>SUM(D94:D95)</f>
        <v>633</v>
      </c>
      <c r="E93" s="114">
        <f>SUM(E94:E95)</f>
        <v>802</v>
      </c>
      <c r="F93" s="119">
        <f t="shared" ref="F93:F98" si="36">E93/D93*100</f>
        <v>126.69826224328592</v>
      </c>
      <c r="G93" s="466">
        <f>SUM(G94:G95)</f>
        <v>2766.6201500000002</v>
      </c>
      <c r="H93" s="466">
        <f>SUM(H94:H95)</f>
        <v>922.2</v>
      </c>
      <c r="I93" s="466">
        <f>SUM(I94:I95)</f>
        <v>1056.4749400000001</v>
      </c>
      <c r="J93" s="466">
        <f t="shared" ref="J93:J113" si="37">I93/H93*100</f>
        <v>114.5602841032314</v>
      </c>
    </row>
    <row r="94" spans="1:10" s="36" customFormat="1" ht="38.1" customHeight="1" x14ac:dyDescent="0.25">
      <c r="A94" s="18">
        <v>1</v>
      </c>
      <c r="B94" s="72" t="s">
        <v>79</v>
      </c>
      <c r="C94" s="114">
        <v>1460</v>
      </c>
      <c r="D94" s="108">
        <f>ROUND(C94/12*$B$3,0)</f>
        <v>487</v>
      </c>
      <c r="E94" s="114">
        <v>644</v>
      </c>
      <c r="F94" s="119">
        <f t="shared" si="36"/>
        <v>132.2381930184805</v>
      </c>
      <c r="G94" s="466">
        <v>1935.2242000000001</v>
      </c>
      <c r="H94" s="639">
        <f t="shared" ref="H94:H95" si="38">ROUND(G94/12*$B$3,2)</f>
        <v>645.07000000000005</v>
      </c>
      <c r="I94" s="466">
        <v>751.31432000000007</v>
      </c>
      <c r="J94" s="466">
        <f t="shared" si="37"/>
        <v>116.47020013331885</v>
      </c>
    </row>
    <row r="95" spans="1:10" s="36" customFormat="1" ht="38.1" customHeight="1" x14ac:dyDescent="0.25">
      <c r="A95" s="18">
        <v>1</v>
      </c>
      <c r="B95" s="72" t="s">
        <v>80</v>
      </c>
      <c r="C95" s="114">
        <v>438</v>
      </c>
      <c r="D95" s="108">
        <f>ROUND(C95/12*$B$3,0)</f>
        <v>146</v>
      </c>
      <c r="E95" s="114">
        <v>158</v>
      </c>
      <c r="F95" s="119">
        <f t="shared" si="36"/>
        <v>108.21917808219179</v>
      </c>
      <c r="G95" s="466">
        <v>831.39594999999997</v>
      </c>
      <c r="H95" s="639">
        <f t="shared" si="38"/>
        <v>277.13</v>
      </c>
      <c r="I95" s="466">
        <v>305.16061999999999</v>
      </c>
      <c r="J95" s="466">
        <f t="shared" si="37"/>
        <v>110.11461047161981</v>
      </c>
    </row>
    <row r="96" spans="1:10" s="36" customFormat="1" ht="30" x14ac:dyDescent="0.25">
      <c r="A96" s="18">
        <v>1</v>
      </c>
      <c r="B96" s="200" t="s">
        <v>112</v>
      </c>
      <c r="C96" s="114">
        <f>SUM(C97)</f>
        <v>400</v>
      </c>
      <c r="D96" s="114">
        <f t="shared" ref="D96:I96" si="39">SUM(D97)</f>
        <v>133</v>
      </c>
      <c r="E96" s="114">
        <f t="shared" si="39"/>
        <v>191</v>
      </c>
      <c r="F96" s="119">
        <f t="shared" si="36"/>
        <v>143.60902255639098</v>
      </c>
      <c r="G96" s="459">
        <f t="shared" si="39"/>
        <v>848.20399999999995</v>
      </c>
      <c r="H96" s="459">
        <f t="shared" si="39"/>
        <v>282.73</v>
      </c>
      <c r="I96" s="459">
        <f t="shared" si="39"/>
        <v>383.49165000000005</v>
      </c>
      <c r="J96" s="466">
        <f t="shared" si="37"/>
        <v>135.63882502741131</v>
      </c>
    </row>
    <row r="97" spans="1:10" s="36" customFormat="1" ht="30" x14ac:dyDescent="0.25">
      <c r="A97" s="18">
        <v>1</v>
      </c>
      <c r="B97" s="322" t="s">
        <v>108</v>
      </c>
      <c r="C97" s="114">
        <v>400</v>
      </c>
      <c r="D97" s="108">
        <f>ROUND(C97/12*$B$3,0)</f>
        <v>133</v>
      </c>
      <c r="E97" s="114">
        <v>191</v>
      </c>
      <c r="F97" s="119">
        <f t="shared" si="36"/>
        <v>143.60902255639098</v>
      </c>
      <c r="G97" s="639">
        <f>848204/1000</f>
        <v>848.20399999999995</v>
      </c>
      <c r="H97" s="639">
        <f t="shared" ref="H97:H98" si="40">ROUND(G97/12*$B$3,2)</f>
        <v>282.73</v>
      </c>
      <c r="I97" s="466">
        <v>383.49165000000005</v>
      </c>
      <c r="J97" s="466">
        <f t="shared" si="37"/>
        <v>135.63882502741131</v>
      </c>
    </row>
    <row r="98" spans="1:10" s="36" customFormat="1" ht="30" x14ac:dyDescent="0.25">
      <c r="A98" s="18">
        <v>1</v>
      </c>
      <c r="B98" s="659" t="s">
        <v>123</v>
      </c>
      <c r="C98" s="114">
        <v>800</v>
      </c>
      <c r="D98" s="108">
        <f>ROUND(C98/12*$B$3,0)</f>
        <v>267</v>
      </c>
      <c r="E98" s="114">
        <v>25</v>
      </c>
      <c r="F98" s="119">
        <f t="shared" si="36"/>
        <v>9.3632958801498134</v>
      </c>
      <c r="G98" s="466">
        <v>778.57600000000002</v>
      </c>
      <c r="H98" s="639">
        <f t="shared" si="40"/>
        <v>259.52999999999997</v>
      </c>
      <c r="I98" s="466">
        <v>23.521409999999999</v>
      </c>
      <c r="J98" s="460">
        <f t="shared" si="37"/>
        <v>9.0630794127846492</v>
      </c>
    </row>
    <row r="99" spans="1:10" s="36" customFormat="1" ht="23.25" customHeight="1" thickBot="1" x14ac:dyDescent="0.3">
      <c r="A99" s="18">
        <v>1</v>
      </c>
      <c r="B99" s="12" t="s">
        <v>3</v>
      </c>
      <c r="C99" s="116"/>
      <c r="D99" s="116"/>
      <c r="E99" s="116"/>
      <c r="F99" s="123"/>
      <c r="G99" s="475">
        <f>G93+G96+G98</f>
        <v>4393.4001500000004</v>
      </c>
      <c r="H99" s="475">
        <f>H93+H96+H98</f>
        <v>1464.46</v>
      </c>
      <c r="I99" s="475">
        <f>I93+I96+I98</f>
        <v>1463.4880000000001</v>
      </c>
      <c r="J99" s="470">
        <f t="shared" si="37"/>
        <v>99.933627412151921</v>
      </c>
    </row>
    <row r="100" spans="1:10" ht="15" customHeight="1" x14ac:dyDescent="0.25">
      <c r="A100" s="18">
        <v>1</v>
      </c>
      <c r="B100" s="230" t="s">
        <v>91</v>
      </c>
      <c r="C100" s="231"/>
      <c r="D100" s="231"/>
      <c r="E100" s="231"/>
      <c r="F100" s="231"/>
      <c r="G100" s="480"/>
      <c r="H100" s="480"/>
      <c r="I100" s="480"/>
      <c r="J100" s="480"/>
    </row>
    <row r="101" spans="1:10" ht="30" x14ac:dyDescent="0.25">
      <c r="A101" s="18">
        <v>1</v>
      </c>
      <c r="B101" s="209" t="s">
        <v>120</v>
      </c>
      <c r="C101" s="232">
        <f>SUM(C10,C24,C38,C48,C59,C71,C80,C93)</f>
        <v>62921</v>
      </c>
      <c r="D101" s="232">
        <f>SUM(D10,D24,D38,D48,D59,D71,D80,D93)</f>
        <v>20973</v>
      </c>
      <c r="E101" s="232">
        <f>SUM(E10,E24,E38,E48,E59,E71,E80,E93)</f>
        <v>22368</v>
      </c>
      <c r="F101" s="232">
        <f t="shared" ref="F101:F112" si="41">E101/D101*100</f>
        <v>106.65140895436991</v>
      </c>
      <c r="G101" s="481">
        <f>SUM(G10,G24,G38,G48,G59,G71,G80,G93)</f>
        <v>97857.466299999985</v>
      </c>
      <c r="H101" s="481">
        <f>SUM(H10,H24,H38,H48,H59,H71,H80,H93)</f>
        <v>32619.140000000003</v>
      </c>
      <c r="I101" s="481">
        <f>SUM(I10,I24,I38,I48,I59,I71,I80,I93)</f>
        <v>37700.407670000001</v>
      </c>
      <c r="J101" s="481">
        <f t="shared" si="37"/>
        <v>115.57756479784567</v>
      </c>
    </row>
    <row r="102" spans="1:10" ht="30" x14ac:dyDescent="0.25">
      <c r="A102" s="18">
        <v>1</v>
      </c>
      <c r="B102" s="208" t="s">
        <v>79</v>
      </c>
      <c r="C102" s="232">
        <f t="shared" ref="C102:E103" si="42">SUM(C94,C81,C72,C49,C39,C25,C11)</f>
        <v>47780</v>
      </c>
      <c r="D102" s="232">
        <f t="shared" si="42"/>
        <v>15926</v>
      </c>
      <c r="E102" s="232">
        <f t="shared" si="42"/>
        <v>17922</v>
      </c>
      <c r="F102" s="232">
        <f t="shared" si="41"/>
        <v>112.53296496295366</v>
      </c>
      <c r="G102" s="481">
        <f t="shared" ref="G102:I103" si="43">SUM(G94,G81,G72,G49,G39,G25,G11)</f>
        <v>66832.42839999999</v>
      </c>
      <c r="H102" s="481">
        <f t="shared" si="43"/>
        <v>22277.480000000003</v>
      </c>
      <c r="I102" s="481">
        <f t="shared" si="43"/>
        <v>26403.371990000003</v>
      </c>
      <c r="J102" s="481">
        <f t="shared" si="37"/>
        <v>118.52046097673525</v>
      </c>
    </row>
    <row r="103" spans="1:10" ht="30" x14ac:dyDescent="0.25">
      <c r="A103" s="18">
        <v>1</v>
      </c>
      <c r="B103" s="208" t="s">
        <v>80</v>
      </c>
      <c r="C103" s="232">
        <f t="shared" si="42"/>
        <v>14336</v>
      </c>
      <c r="D103" s="232">
        <f t="shared" si="42"/>
        <v>4779</v>
      </c>
      <c r="E103" s="232">
        <f t="shared" si="42"/>
        <v>3728</v>
      </c>
      <c r="F103" s="232">
        <f t="shared" si="41"/>
        <v>78.007951454279137</v>
      </c>
      <c r="G103" s="481">
        <f t="shared" si="43"/>
        <v>25742.563499999997</v>
      </c>
      <c r="H103" s="481">
        <f t="shared" si="43"/>
        <v>8580.8300000000017</v>
      </c>
      <c r="I103" s="481">
        <f t="shared" si="43"/>
        <v>6611.7112400000005</v>
      </c>
      <c r="J103" s="481">
        <f t="shared" si="37"/>
        <v>77.05211780212403</v>
      </c>
    </row>
    <row r="104" spans="1:10" ht="45" x14ac:dyDescent="0.25">
      <c r="A104" s="18">
        <v>1</v>
      </c>
      <c r="B104" s="208" t="s">
        <v>114</v>
      </c>
      <c r="C104" s="232">
        <f t="shared" ref="C104:E105" si="44">SUM(C60,C27,C13)</f>
        <v>185</v>
      </c>
      <c r="D104" s="232">
        <f t="shared" si="44"/>
        <v>62</v>
      </c>
      <c r="E104" s="232">
        <f t="shared" si="44"/>
        <v>135</v>
      </c>
      <c r="F104" s="232">
        <f t="shared" si="41"/>
        <v>217.74193548387095</v>
      </c>
      <c r="G104" s="481">
        <f t="shared" ref="G104:I105" si="45">SUM(G60,G27,G13)</f>
        <v>1213.9848000000002</v>
      </c>
      <c r="H104" s="481">
        <f t="shared" si="45"/>
        <v>404.66</v>
      </c>
      <c r="I104" s="481">
        <f t="shared" si="45"/>
        <v>885.88079999999991</v>
      </c>
      <c r="J104" s="481">
        <f t="shared" si="37"/>
        <v>218.91978451045318</v>
      </c>
    </row>
    <row r="105" spans="1:10" ht="30" x14ac:dyDescent="0.25">
      <c r="A105" s="18">
        <v>1</v>
      </c>
      <c r="B105" s="208" t="s">
        <v>115</v>
      </c>
      <c r="C105" s="232">
        <f t="shared" si="44"/>
        <v>620</v>
      </c>
      <c r="D105" s="232">
        <f t="shared" si="44"/>
        <v>206</v>
      </c>
      <c r="E105" s="232">
        <f t="shared" si="44"/>
        <v>583</v>
      </c>
      <c r="F105" s="232">
        <f t="shared" si="41"/>
        <v>283.00970873786406</v>
      </c>
      <c r="G105" s="481">
        <f t="shared" si="45"/>
        <v>4068.4896000000003</v>
      </c>
      <c r="H105" s="481">
        <f t="shared" si="45"/>
        <v>1356.17</v>
      </c>
      <c r="I105" s="481">
        <f t="shared" si="45"/>
        <v>3799.4436399999995</v>
      </c>
      <c r="J105" s="481">
        <f t="shared" si="37"/>
        <v>280.15983541886339</v>
      </c>
    </row>
    <row r="106" spans="1:10" ht="30" x14ac:dyDescent="0.25">
      <c r="A106" s="18">
        <v>1</v>
      </c>
      <c r="B106" s="209" t="s">
        <v>112</v>
      </c>
      <c r="C106" s="232">
        <f>SUM(C96,C84,C74,C62,C51,C41,C29,C15)</f>
        <v>82327</v>
      </c>
      <c r="D106" s="232">
        <f>SUM(D96,D84,D74,D62,D51,D41,D29,D15)</f>
        <v>27441</v>
      </c>
      <c r="E106" s="232">
        <f>SUM(E96,E84,E74,E62,E51,E41,E29,E15)</f>
        <v>27706</v>
      </c>
      <c r="F106" s="232">
        <f t="shared" si="41"/>
        <v>100.96570824678402</v>
      </c>
      <c r="G106" s="481">
        <f>SUM(G96,G84,G74,G62,G51,G41,G29,G15)</f>
        <v>173135.19366999998</v>
      </c>
      <c r="H106" s="481">
        <f>SUM(H96,H84,H74,H62,H51,H41,H29,H15)</f>
        <v>57711.72</v>
      </c>
      <c r="I106" s="481">
        <f>SUM(I96,I84,I74,I62,I51,I41,I29,I15)</f>
        <v>56176.394289999989</v>
      </c>
      <c r="J106" s="481">
        <f t="shared" si="37"/>
        <v>97.339663919217784</v>
      </c>
    </row>
    <row r="107" spans="1:10" ht="30" x14ac:dyDescent="0.25">
      <c r="A107" s="18">
        <v>1</v>
      </c>
      <c r="B107" s="208" t="s">
        <v>108</v>
      </c>
      <c r="C107" s="232">
        <f>SUM(C97,C85,C75,C52,C42,C30,C16)</f>
        <v>11370</v>
      </c>
      <c r="D107" s="232">
        <f>SUM(D97,D85,D75,D52,D42,D30,D16)</f>
        <v>3790</v>
      </c>
      <c r="E107" s="232">
        <f>SUM(E97,E85,E75,E52,E42,E30,E16)</f>
        <v>3851</v>
      </c>
      <c r="F107" s="232">
        <f t="shared" si="41"/>
        <v>101.60949868073878</v>
      </c>
      <c r="G107" s="481">
        <f>SUM(G97,G85,G75,G52,G42,G30,G16)</f>
        <v>24110.198700000004</v>
      </c>
      <c r="H107" s="481">
        <f>SUM(H97,H85,H75,H52,H42,H30,H16)</f>
        <v>8036.7199999999993</v>
      </c>
      <c r="I107" s="481">
        <f>SUM(I97,I85,I75,I52,I42,I30,I16)</f>
        <v>8094.9766799999998</v>
      </c>
      <c r="J107" s="481">
        <f t="shared" si="37"/>
        <v>100.72488129485662</v>
      </c>
    </row>
    <row r="108" spans="1:10" ht="60" x14ac:dyDescent="0.25">
      <c r="A108" s="18">
        <v>1</v>
      </c>
      <c r="B108" s="208" t="s">
        <v>81</v>
      </c>
      <c r="C108" s="232">
        <f t="shared" ref="C108:E109" si="46">SUM(C86,C63,C31,C17)</f>
        <v>46885</v>
      </c>
      <c r="D108" s="232">
        <f t="shared" si="46"/>
        <v>15627</v>
      </c>
      <c r="E108" s="232">
        <f t="shared" si="46"/>
        <v>16483</v>
      </c>
      <c r="F108" s="232">
        <f t="shared" si="41"/>
        <v>105.4776988545466</v>
      </c>
      <c r="G108" s="481">
        <f t="shared" ref="G108:I109" si="47">SUM(G86,G63,G31,G17)</f>
        <v>125430.58345000001</v>
      </c>
      <c r="H108" s="481">
        <f t="shared" si="47"/>
        <v>41810.199999999997</v>
      </c>
      <c r="I108" s="481">
        <f t="shared" si="47"/>
        <v>40086.397190000003</v>
      </c>
      <c r="J108" s="481">
        <f t="shared" si="37"/>
        <v>95.877075904922734</v>
      </c>
    </row>
    <row r="109" spans="1:10" ht="45" x14ac:dyDescent="0.25">
      <c r="A109" s="18">
        <v>1</v>
      </c>
      <c r="B109" s="208" t="s">
        <v>109</v>
      </c>
      <c r="C109" s="232">
        <f t="shared" si="46"/>
        <v>24072</v>
      </c>
      <c r="D109" s="232">
        <f t="shared" si="46"/>
        <v>8024</v>
      </c>
      <c r="E109" s="232">
        <f t="shared" si="46"/>
        <v>7372</v>
      </c>
      <c r="F109" s="232">
        <f t="shared" si="41"/>
        <v>91.874376869391824</v>
      </c>
      <c r="G109" s="232">
        <f t="shared" si="47"/>
        <v>23594.411520000001</v>
      </c>
      <c r="H109" s="232">
        <f t="shared" si="47"/>
        <v>7864.8</v>
      </c>
      <c r="I109" s="595">
        <f t="shared" si="47"/>
        <v>7995.0204199999998</v>
      </c>
      <c r="J109" s="481">
        <f t="shared" si="37"/>
        <v>101.65573720882921</v>
      </c>
    </row>
    <row r="110" spans="1:10" ht="30" x14ac:dyDescent="0.25">
      <c r="A110" s="18">
        <v>1</v>
      </c>
      <c r="B110" s="669" t="s">
        <v>123</v>
      </c>
      <c r="C110" s="675">
        <f>SUM(C98,C88,C76,C65,C53,C43,C33,C19)</f>
        <v>125063</v>
      </c>
      <c r="D110" s="675">
        <f>SUM(D98,D88,D76,D65,D53,D43,D33,D19)</f>
        <v>41689</v>
      </c>
      <c r="E110" s="675">
        <f>SUM(E98,E88,E76,E65,E53,E43,E33,E19)</f>
        <v>41436</v>
      </c>
      <c r="F110" s="232">
        <f t="shared" si="41"/>
        <v>99.393125284847315</v>
      </c>
      <c r="G110" s="675">
        <f>SUM(G98,G88,G76,G65,G53,G43,G33,G19)</f>
        <v>121713.81286000001</v>
      </c>
      <c r="H110" s="675">
        <f>SUM(H98,H88,H76,H65,H53,H43,H33,H19)</f>
        <v>40571.279999999999</v>
      </c>
      <c r="I110" s="675">
        <f>SUM(I98,I88,I76,I65,I53,I43,I33,I19)</f>
        <v>39830.570380000005</v>
      </c>
      <c r="J110" s="481">
        <f t="shared" si="37"/>
        <v>98.174300588988089</v>
      </c>
    </row>
    <row r="111" spans="1:10" ht="30" x14ac:dyDescent="0.25">
      <c r="A111" s="18">
        <v>1</v>
      </c>
      <c r="B111" s="669" t="s">
        <v>124</v>
      </c>
      <c r="C111" s="675">
        <f>SUM(C66,C54)</f>
        <v>20100</v>
      </c>
      <c r="D111" s="675">
        <f>SUM(D66,D54)</f>
        <v>6700</v>
      </c>
      <c r="E111" s="675">
        <f>SUM(E66,E54)</f>
        <v>7186</v>
      </c>
      <c r="F111" s="232">
        <f t="shared" si="41"/>
        <v>107.25373134328358</v>
      </c>
      <c r="G111" s="675">
        <f>SUM(G66,G54)</f>
        <v>19561.721999999998</v>
      </c>
      <c r="H111" s="675">
        <f>SUM(H66,H54)</f>
        <v>6520.5700000000006</v>
      </c>
      <c r="I111" s="675">
        <f>SUM(I66,I54)</f>
        <v>6834.3528200000001</v>
      </c>
      <c r="J111" s="481"/>
    </row>
    <row r="112" spans="1:10" x14ac:dyDescent="0.25">
      <c r="A112" s="18">
        <v>1</v>
      </c>
      <c r="B112" s="669" t="s">
        <v>125</v>
      </c>
      <c r="C112" s="675">
        <f t="shared" ref="C112:D112" si="48">SUM(C89,C55,C44,C34,C20,C67)</f>
        <v>13611</v>
      </c>
      <c r="D112" s="675">
        <f t="shared" si="48"/>
        <v>4538</v>
      </c>
      <c r="E112" s="675">
        <f>SUM(E89,E55,E44,E34,E20,E67)</f>
        <v>7935</v>
      </c>
      <c r="F112" s="232">
        <f t="shared" si="41"/>
        <v>174.85676509475542</v>
      </c>
      <c r="G112" s="675">
        <f t="shared" ref="G112:I112" si="49">SUM(G89,G55,G44,G34,G20,G67)</f>
        <v>13246.49742</v>
      </c>
      <c r="H112" s="675">
        <f t="shared" si="49"/>
        <v>4415.49</v>
      </c>
      <c r="I112" s="675">
        <f t="shared" si="49"/>
        <v>7691.6558299999997</v>
      </c>
      <c r="J112" s="481">
        <f t="shared" si="37"/>
        <v>174.19710677637136</v>
      </c>
    </row>
    <row r="113" spans="1:10" ht="15.75" thickBot="1" x14ac:dyDescent="0.3">
      <c r="A113" s="18">
        <v>1</v>
      </c>
      <c r="B113" s="524" t="s">
        <v>117</v>
      </c>
      <c r="C113" s="525">
        <f>SUM(C99,C90,C77,C68,C56,C45,C35,C21)</f>
        <v>0</v>
      </c>
      <c r="D113" s="525">
        <f>SUM(D99,D90,D77,D68,D56,D45,D35,D21)</f>
        <v>0</v>
      </c>
      <c r="E113" s="525">
        <f>SUM(E99,E90,E77,E68,E56,E45,E35,E21)</f>
        <v>0</v>
      </c>
      <c r="F113" s="525"/>
      <c r="G113" s="526">
        <f>SUM(G99,G90,G77,G68,G56,G45,G35,G21)</f>
        <v>392706.47283000004</v>
      </c>
      <c r="H113" s="526">
        <f>SUM(H99,H90,H77,H68,H56,H45,H35,H21)</f>
        <v>130902.13999999998</v>
      </c>
      <c r="I113" s="526">
        <f>SUM(I99,I90,I77,I68,I56,I45,I35,I21)</f>
        <v>133707.37234</v>
      </c>
      <c r="J113" s="526">
        <f t="shared" si="37"/>
        <v>102.14299960260391</v>
      </c>
    </row>
    <row r="114" spans="1:10" ht="15" customHeight="1" x14ac:dyDescent="0.25">
      <c r="A114" s="18">
        <v>1</v>
      </c>
      <c r="B114" s="7"/>
      <c r="C114" s="1"/>
      <c r="D114" s="1"/>
      <c r="E114" s="138"/>
      <c r="F114" s="1"/>
      <c r="G114" s="482"/>
      <c r="H114" s="482"/>
      <c r="I114" s="483"/>
      <c r="J114" s="482"/>
    </row>
    <row r="115" spans="1:10" ht="14.25" customHeight="1" thickBot="1" x14ac:dyDescent="0.3">
      <c r="A115" s="18">
        <v>1</v>
      </c>
      <c r="B115" s="93" t="s">
        <v>13</v>
      </c>
      <c r="C115" s="14"/>
      <c r="D115" s="14"/>
      <c r="E115" s="125"/>
      <c r="F115" s="14"/>
      <c r="G115" s="484"/>
      <c r="H115" s="484"/>
      <c r="I115" s="458"/>
      <c r="J115" s="484"/>
    </row>
    <row r="116" spans="1:10" ht="29.25" x14ac:dyDescent="0.25">
      <c r="A116" s="18">
        <v>1</v>
      </c>
      <c r="B116" s="127" t="s">
        <v>54</v>
      </c>
      <c r="C116" s="162"/>
      <c r="D116" s="162"/>
      <c r="E116" s="162"/>
      <c r="F116" s="162"/>
      <c r="G116" s="471"/>
      <c r="H116" s="471"/>
      <c r="I116" s="471"/>
      <c r="J116" s="466"/>
    </row>
    <row r="117" spans="1:10" s="36" customFormat="1" ht="30" x14ac:dyDescent="0.25">
      <c r="A117" s="18">
        <v>1</v>
      </c>
      <c r="B117" s="228" t="s">
        <v>120</v>
      </c>
      <c r="C117" s="114">
        <f>SUM(C118:C121)</f>
        <v>9871</v>
      </c>
      <c r="D117" s="114">
        <f>SUM(D118:D121)</f>
        <v>3291</v>
      </c>
      <c r="E117" s="114">
        <f>SUM(E118:E121)</f>
        <v>2780</v>
      </c>
      <c r="F117" s="114">
        <f t="shared" ref="F117:F125" si="50">E117/D117*100</f>
        <v>84.472804618656937</v>
      </c>
      <c r="G117" s="466">
        <f>SUM(G118:G121)</f>
        <v>16458.894070000002</v>
      </c>
      <c r="H117" s="466">
        <f>SUM(H118:H121)</f>
        <v>5486.3</v>
      </c>
      <c r="I117" s="466">
        <f>SUM(I118:I121)</f>
        <v>4711.64156</v>
      </c>
      <c r="J117" s="532">
        <f t="shared" ref="J117:J129" si="51">I117/H117*100</f>
        <v>85.880129777810183</v>
      </c>
    </row>
    <row r="118" spans="1:10" s="36" customFormat="1" ht="30" x14ac:dyDescent="0.25">
      <c r="A118" s="18">
        <v>1</v>
      </c>
      <c r="B118" s="72" t="s">
        <v>79</v>
      </c>
      <c r="C118" s="114">
        <v>7286</v>
      </c>
      <c r="D118" s="108">
        <f t="shared" ref="D118:D128" si="52">ROUND(C118/12*$B$3,0)</f>
        <v>2429</v>
      </c>
      <c r="E118" s="114">
        <v>2404</v>
      </c>
      <c r="F118" s="114">
        <f t="shared" si="50"/>
        <v>98.970769864141616</v>
      </c>
      <c r="G118" s="466">
        <v>9954.481600000001</v>
      </c>
      <c r="H118" s="639">
        <f t="shared" ref="H118:H121" si="53">ROUND(G118/12*$B$3,2)</f>
        <v>3318.16</v>
      </c>
      <c r="I118" s="466">
        <v>3375.1639299999997</v>
      </c>
      <c r="J118" s="532">
        <f t="shared" si="51"/>
        <v>101.71793795356463</v>
      </c>
    </row>
    <row r="119" spans="1:10" s="36" customFormat="1" ht="30" x14ac:dyDescent="0.25">
      <c r="A119" s="18">
        <v>1</v>
      </c>
      <c r="B119" s="72" t="s">
        <v>80</v>
      </c>
      <c r="C119" s="114">
        <v>2186</v>
      </c>
      <c r="D119" s="108">
        <f t="shared" si="52"/>
        <v>729</v>
      </c>
      <c r="E119" s="114">
        <v>233</v>
      </c>
      <c r="F119" s="114">
        <f t="shared" si="50"/>
        <v>31.961591220850483</v>
      </c>
      <c r="G119" s="466">
        <v>3886.14255</v>
      </c>
      <c r="H119" s="639">
        <f t="shared" si="53"/>
        <v>1295.3800000000001</v>
      </c>
      <c r="I119" s="466">
        <v>398.10018999999994</v>
      </c>
      <c r="J119" s="532">
        <f t="shared" si="51"/>
        <v>30.732309438157134</v>
      </c>
    </row>
    <row r="120" spans="1:10" s="36" customFormat="1" ht="45" x14ac:dyDescent="0.25">
      <c r="A120" s="18">
        <v>1</v>
      </c>
      <c r="B120" s="72" t="s">
        <v>114</v>
      </c>
      <c r="C120" s="114">
        <v>49</v>
      </c>
      <c r="D120" s="108">
        <f t="shared" si="52"/>
        <v>16</v>
      </c>
      <c r="E120" s="114">
        <v>43</v>
      </c>
      <c r="F120" s="114">
        <f t="shared" si="50"/>
        <v>268.75</v>
      </c>
      <c r="G120" s="466">
        <v>321.54192</v>
      </c>
      <c r="H120" s="639">
        <f t="shared" si="53"/>
        <v>107.18</v>
      </c>
      <c r="I120" s="466">
        <v>282.16944000000001</v>
      </c>
      <c r="J120" s="532">
        <f t="shared" si="51"/>
        <v>263.2668781489084</v>
      </c>
    </row>
    <row r="121" spans="1:10" s="36" customFormat="1" ht="30" x14ac:dyDescent="0.25">
      <c r="A121" s="18">
        <v>1</v>
      </c>
      <c r="B121" s="72" t="s">
        <v>115</v>
      </c>
      <c r="C121" s="114">
        <v>350</v>
      </c>
      <c r="D121" s="108">
        <f t="shared" si="52"/>
        <v>117</v>
      </c>
      <c r="E121" s="114">
        <v>100</v>
      </c>
      <c r="F121" s="114">
        <f t="shared" si="50"/>
        <v>85.470085470085465</v>
      </c>
      <c r="G121" s="466">
        <v>2296.7280000000001</v>
      </c>
      <c r="H121" s="639">
        <f t="shared" si="53"/>
        <v>765.58</v>
      </c>
      <c r="I121" s="466">
        <v>656.20799999999997</v>
      </c>
      <c r="J121" s="532">
        <f t="shared" si="51"/>
        <v>85.713837874552624</v>
      </c>
    </row>
    <row r="122" spans="1:10" s="36" customFormat="1" ht="30" x14ac:dyDescent="0.25">
      <c r="A122" s="18">
        <v>1</v>
      </c>
      <c r="B122" s="228" t="s">
        <v>112</v>
      </c>
      <c r="C122" s="114">
        <f>SUM(C123:C125)</f>
        <v>16426</v>
      </c>
      <c r="D122" s="114">
        <f>SUM(D123:D125)</f>
        <v>5475</v>
      </c>
      <c r="E122" s="114">
        <f>SUM(E123:E125)</f>
        <v>5826</v>
      </c>
      <c r="F122" s="114">
        <f t="shared" si="50"/>
        <v>106.41095890410959</v>
      </c>
      <c r="G122" s="459">
        <f>SUM(G123:G125)</f>
        <v>36959.141160000006</v>
      </c>
      <c r="H122" s="459">
        <f>SUM(H123:H125)</f>
        <v>12319.72</v>
      </c>
      <c r="I122" s="459">
        <f>SUM(I123:I125)</f>
        <v>11628.58743</v>
      </c>
      <c r="J122" s="532">
        <f t="shared" si="51"/>
        <v>94.390030211725602</v>
      </c>
    </row>
    <row r="123" spans="1:10" s="36" customFormat="1" ht="30" x14ac:dyDescent="0.25">
      <c r="A123" s="18">
        <v>1</v>
      </c>
      <c r="B123" s="72" t="s">
        <v>108</v>
      </c>
      <c r="C123" s="114">
        <v>1500</v>
      </c>
      <c r="D123" s="108">
        <f t="shared" si="52"/>
        <v>500</v>
      </c>
      <c r="E123" s="114">
        <v>199</v>
      </c>
      <c r="F123" s="114">
        <f t="shared" si="50"/>
        <v>39.800000000000004</v>
      </c>
      <c r="G123" s="466">
        <f>3180765/1000</f>
        <v>3180.7649999999999</v>
      </c>
      <c r="H123" s="639">
        <f t="shared" ref="H123:H128" si="54">ROUND(G123/12*$B$3,2)</f>
        <v>1060.26</v>
      </c>
      <c r="I123" s="466">
        <v>421.33565000000004</v>
      </c>
      <c r="J123" s="532">
        <f t="shared" si="51"/>
        <v>39.738898949314319</v>
      </c>
    </row>
    <row r="124" spans="1:10" s="36" customFormat="1" ht="60" x14ac:dyDescent="0.25">
      <c r="A124" s="18">
        <v>1</v>
      </c>
      <c r="B124" s="72" t="s">
        <v>119</v>
      </c>
      <c r="C124" s="114">
        <v>10800</v>
      </c>
      <c r="D124" s="108">
        <f t="shared" si="52"/>
        <v>3600</v>
      </c>
      <c r="E124" s="114">
        <v>4059</v>
      </c>
      <c r="F124" s="114">
        <f t="shared" si="50"/>
        <v>112.75</v>
      </c>
      <c r="G124" s="466">
        <f>29734236/1000</f>
        <v>29734.236000000001</v>
      </c>
      <c r="H124" s="639">
        <f t="shared" si="54"/>
        <v>9911.41</v>
      </c>
      <c r="I124" s="466">
        <v>9521.4869299999991</v>
      </c>
      <c r="J124" s="532">
        <f t="shared" si="51"/>
        <v>96.065917261015329</v>
      </c>
    </row>
    <row r="125" spans="1:10" s="36" customFormat="1" ht="45" x14ac:dyDescent="0.25">
      <c r="A125" s="18">
        <v>1</v>
      </c>
      <c r="B125" s="72" t="s">
        <v>109</v>
      </c>
      <c r="C125" s="114">
        <v>4126</v>
      </c>
      <c r="D125" s="108">
        <f t="shared" si="52"/>
        <v>1375</v>
      </c>
      <c r="E125" s="114">
        <v>1568</v>
      </c>
      <c r="F125" s="114">
        <f t="shared" si="50"/>
        <v>114.03636363636365</v>
      </c>
      <c r="G125" s="466">
        <f>4044140.16/1000</f>
        <v>4044.1401599999999</v>
      </c>
      <c r="H125" s="639">
        <f t="shared" si="54"/>
        <v>1348.05</v>
      </c>
      <c r="I125" s="466">
        <v>1685.76485</v>
      </c>
      <c r="J125" s="532">
        <f t="shared" si="51"/>
        <v>125.05210118319054</v>
      </c>
    </row>
    <row r="126" spans="1:10" s="36" customFormat="1" ht="30" x14ac:dyDescent="0.25">
      <c r="A126" s="18">
        <v>1</v>
      </c>
      <c r="B126" s="117" t="s">
        <v>123</v>
      </c>
      <c r="C126" s="114">
        <v>38095</v>
      </c>
      <c r="D126" s="108">
        <f t="shared" si="52"/>
        <v>12698</v>
      </c>
      <c r="E126" s="114">
        <v>14386</v>
      </c>
      <c r="F126" s="119">
        <f>E126/D126*100</f>
        <v>113.29343203654119</v>
      </c>
      <c r="G126" s="466">
        <v>37074.815900000001</v>
      </c>
      <c r="H126" s="639">
        <f t="shared" si="54"/>
        <v>12358.27</v>
      </c>
      <c r="I126" s="466">
        <v>13983.779739999998</v>
      </c>
      <c r="J126" s="460">
        <f>I126/H126*100</f>
        <v>113.15321432530602</v>
      </c>
    </row>
    <row r="127" spans="1:10" s="36" customFormat="1" ht="30" x14ac:dyDescent="0.25">
      <c r="A127" s="18">
        <v>1</v>
      </c>
      <c r="B127" s="117" t="s">
        <v>124</v>
      </c>
      <c r="C127" s="114">
        <v>2640</v>
      </c>
      <c r="D127" s="108">
        <f t="shared" si="52"/>
        <v>880</v>
      </c>
      <c r="E127" s="114">
        <v>844</v>
      </c>
      <c r="F127" s="119">
        <f>E127/D127*100</f>
        <v>95.909090909090907</v>
      </c>
      <c r="G127" s="466">
        <v>2569.3008000000004</v>
      </c>
      <c r="H127" s="639">
        <f t="shared" si="54"/>
        <v>856.43</v>
      </c>
      <c r="I127" s="466">
        <v>820.58858999999995</v>
      </c>
      <c r="J127" s="460">
        <f t="shared" ref="J127:J128" si="55">I127/H127*100</f>
        <v>95.815021659680298</v>
      </c>
    </row>
    <row r="128" spans="1:10" s="36" customFormat="1" ht="15.75" thickBot="1" x14ac:dyDescent="0.3">
      <c r="A128" s="18">
        <v>1</v>
      </c>
      <c r="B128" s="117" t="s">
        <v>125</v>
      </c>
      <c r="C128" s="114">
        <v>3143</v>
      </c>
      <c r="D128" s="108">
        <f t="shared" si="52"/>
        <v>1048</v>
      </c>
      <c r="E128" s="114">
        <v>583</v>
      </c>
      <c r="F128" s="119">
        <f>E128/D128*100</f>
        <v>55.62977099236641</v>
      </c>
      <c r="G128" s="466">
        <v>3058.8304600000001</v>
      </c>
      <c r="H128" s="639">
        <f t="shared" si="54"/>
        <v>1019.61</v>
      </c>
      <c r="I128" s="466">
        <v>566.89487000000008</v>
      </c>
      <c r="J128" s="460">
        <f t="shared" si="55"/>
        <v>55.599186944027622</v>
      </c>
    </row>
    <row r="129" spans="1:247" s="13" customFormat="1" ht="15.75" thickBot="1" x14ac:dyDescent="0.3">
      <c r="A129" s="18">
        <v>1</v>
      </c>
      <c r="B129" s="527" t="s">
        <v>3</v>
      </c>
      <c r="C129" s="340"/>
      <c r="D129" s="340"/>
      <c r="E129" s="340"/>
      <c r="F129" s="339"/>
      <c r="G129" s="528">
        <f>G122+G117+G126</f>
        <v>90492.85113000001</v>
      </c>
      <c r="H129" s="528">
        <f>H122+H117+H126</f>
        <v>30164.29</v>
      </c>
      <c r="I129" s="528">
        <f>I122+I117+I126</f>
        <v>30324.008729999998</v>
      </c>
      <c r="J129" s="472">
        <f t="shared" si="51"/>
        <v>100.52949606969035</v>
      </c>
    </row>
    <row r="130" spans="1:247" ht="15" customHeight="1" x14ac:dyDescent="0.25">
      <c r="A130" s="18">
        <v>1</v>
      </c>
      <c r="B130" s="233" t="s">
        <v>94</v>
      </c>
      <c r="C130" s="234"/>
      <c r="D130" s="234"/>
      <c r="E130" s="234"/>
      <c r="F130" s="234"/>
      <c r="G130" s="486"/>
      <c r="H130" s="486"/>
      <c r="I130" s="486"/>
      <c r="J130" s="486"/>
    </row>
    <row r="131" spans="1:247" s="10" customFormat="1" ht="43.5" customHeight="1" x14ac:dyDescent="0.25">
      <c r="A131" s="18">
        <v>1</v>
      </c>
      <c r="B131" s="235" t="s">
        <v>120</v>
      </c>
      <c r="C131" s="236">
        <f t="shared" ref="C131:E139" si="56">C117</f>
        <v>9871</v>
      </c>
      <c r="D131" s="236">
        <f t="shared" si="56"/>
        <v>3291</v>
      </c>
      <c r="E131" s="236">
        <f t="shared" si="56"/>
        <v>2780</v>
      </c>
      <c r="F131" s="323">
        <f>E131/D131*100</f>
        <v>84.472804618656937</v>
      </c>
      <c r="G131" s="487">
        <f t="shared" ref="G131:J139" si="57">G117</f>
        <v>16458.894070000002</v>
      </c>
      <c r="H131" s="487">
        <f t="shared" si="57"/>
        <v>5486.3</v>
      </c>
      <c r="I131" s="487">
        <f t="shared" si="57"/>
        <v>4711.64156</v>
      </c>
      <c r="J131" s="487">
        <f t="shared" si="57"/>
        <v>85.880129777810183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1" t="s">
        <v>79</v>
      </c>
      <c r="C132" s="236">
        <f t="shared" si="56"/>
        <v>7286</v>
      </c>
      <c r="D132" s="236">
        <f t="shared" si="56"/>
        <v>2429</v>
      </c>
      <c r="E132" s="236">
        <f t="shared" si="56"/>
        <v>2404</v>
      </c>
      <c r="F132" s="323">
        <f>E132/D132*100</f>
        <v>98.970769864141616</v>
      </c>
      <c r="G132" s="487">
        <f t="shared" si="57"/>
        <v>9954.481600000001</v>
      </c>
      <c r="H132" s="487">
        <f t="shared" si="57"/>
        <v>3318.16</v>
      </c>
      <c r="I132" s="487">
        <f t="shared" si="57"/>
        <v>3375.1639299999997</v>
      </c>
      <c r="J132" s="487">
        <f t="shared" si="57"/>
        <v>101.71793795356463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1" t="s">
        <v>80</v>
      </c>
      <c r="C133" s="236">
        <f t="shared" si="56"/>
        <v>2186</v>
      </c>
      <c r="D133" s="236">
        <f t="shared" si="56"/>
        <v>729</v>
      </c>
      <c r="E133" s="236">
        <f t="shared" si="56"/>
        <v>233</v>
      </c>
      <c r="F133" s="323">
        <f>E133/D133*100</f>
        <v>31.961591220850483</v>
      </c>
      <c r="G133" s="487">
        <f t="shared" si="57"/>
        <v>3886.14255</v>
      </c>
      <c r="H133" s="487">
        <f t="shared" si="57"/>
        <v>1295.3800000000001</v>
      </c>
      <c r="I133" s="487">
        <f t="shared" si="57"/>
        <v>398.10018999999994</v>
      </c>
      <c r="J133" s="487">
        <f t="shared" si="57"/>
        <v>30.732309438157134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1" t="s">
        <v>114</v>
      </c>
      <c r="C134" s="236">
        <f t="shared" si="56"/>
        <v>49</v>
      </c>
      <c r="D134" s="236">
        <f t="shared" si="56"/>
        <v>16</v>
      </c>
      <c r="E134" s="236">
        <f t="shared" si="56"/>
        <v>43</v>
      </c>
      <c r="F134" s="323">
        <f>E134/D134*100</f>
        <v>268.75</v>
      </c>
      <c r="G134" s="487">
        <f t="shared" si="57"/>
        <v>321.54192</v>
      </c>
      <c r="H134" s="487">
        <f t="shared" si="57"/>
        <v>107.18</v>
      </c>
      <c r="I134" s="487">
        <f t="shared" si="57"/>
        <v>282.16944000000001</v>
      </c>
      <c r="J134" s="487">
        <f t="shared" si="57"/>
        <v>263.2668781489084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1" t="s">
        <v>115</v>
      </c>
      <c r="C135" s="236">
        <f t="shared" si="56"/>
        <v>350</v>
      </c>
      <c r="D135" s="236">
        <f t="shared" si="56"/>
        <v>117</v>
      </c>
      <c r="E135" s="236">
        <f t="shared" si="56"/>
        <v>100</v>
      </c>
      <c r="F135" s="323"/>
      <c r="G135" s="487">
        <f t="shared" si="57"/>
        <v>2296.7280000000001</v>
      </c>
      <c r="H135" s="487">
        <f t="shared" si="57"/>
        <v>765.58</v>
      </c>
      <c r="I135" s="487">
        <f t="shared" si="57"/>
        <v>656.20799999999997</v>
      </c>
      <c r="J135" s="487">
        <f t="shared" si="57"/>
        <v>85.713837874552624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5" t="s">
        <v>112</v>
      </c>
      <c r="C136" s="324">
        <f t="shared" si="56"/>
        <v>16426</v>
      </c>
      <c r="D136" s="324">
        <f t="shared" si="56"/>
        <v>5475</v>
      </c>
      <c r="E136" s="324">
        <f t="shared" si="56"/>
        <v>5826</v>
      </c>
      <c r="F136" s="324">
        <f t="shared" ref="F136:F143" si="58">F122</f>
        <v>106.41095890410959</v>
      </c>
      <c r="G136" s="487">
        <f t="shared" si="57"/>
        <v>36959.141160000006</v>
      </c>
      <c r="H136" s="487">
        <f t="shared" si="57"/>
        <v>12319.72</v>
      </c>
      <c r="I136" s="487">
        <f t="shared" si="57"/>
        <v>11628.58743</v>
      </c>
      <c r="J136" s="487">
        <f t="shared" si="57"/>
        <v>94.390030211725602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1" t="s">
        <v>108</v>
      </c>
      <c r="C137" s="324">
        <f t="shared" si="56"/>
        <v>1500</v>
      </c>
      <c r="D137" s="324">
        <f t="shared" si="56"/>
        <v>500</v>
      </c>
      <c r="E137" s="324">
        <f t="shared" si="56"/>
        <v>199</v>
      </c>
      <c r="F137" s="324">
        <f t="shared" si="58"/>
        <v>39.800000000000004</v>
      </c>
      <c r="G137" s="487">
        <f t="shared" si="57"/>
        <v>3180.7649999999999</v>
      </c>
      <c r="H137" s="487">
        <f t="shared" si="57"/>
        <v>1060.26</v>
      </c>
      <c r="I137" s="487">
        <f t="shared" si="57"/>
        <v>421.33565000000004</v>
      </c>
      <c r="J137" s="487">
        <f t="shared" si="57"/>
        <v>39.738898949314319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1" t="s">
        <v>81</v>
      </c>
      <c r="C138" s="324">
        <f t="shared" si="56"/>
        <v>10800</v>
      </c>
      <c r="D138" s="324">
        <f t="shared" si="56"/>
        <v>3600</v>
      </c>
      <c r="E138" s="324">
        <f t="shared" si="56"/>
        <v>4059</v>
      </c>
      <c r="F138" s="324">
        <f t="shared" si="58"/>
        <v>112.75</v>
      </c>
      <c r="G138" s="487">
        <f t="shared" si="57"/>
        <v>29734.236000000001</v>
      </c>
      <c r="H138" s="487">
        <f t="shared" si="57"/>
        <v>9911.41</v>
      </c>
      <c r="I138" s="487">
        <f t="shared" si="57"/>
        <v>9521.4869299999991</v>
      </c>
      <c r="J138" s="487">
        <f t="shared" si="57"/>
        <v>96.065917261015329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1" t="s">
        <v>109</v>
      </c>
      <c r="C139" s="324">
        <f t="shared" si="56"/>
        <v>4126</v>
      </c>
      <c r="D139" s="324">
        <f t="shared" si="56"/>
        <v>1375</v>
      </c>
      <c r="E139" s="324">
        <f t="shared" si="56"/>
        <v>1568</v>
      </c>
      <c r="F139" s="324">
        <f t="shared" si="58"/>
        <v>114.03636363636365</v>
      </c>
      <c r="G139" s="487">
        <f t="shared" si="57"/>
        <v>4044.1401599999999</v>
      </c>
      <c r="H139" s="487">
        <f t="shared" si="57"/>
        <v>1348.05</v>
      </c>
      <c r="I139" s="487">
        <f t="shared" si="57"/>
        <v>1685.76485</v>
      </c>
      <c r="J139" s="487">
        <f t="shared" si="57"/>
        <v>125.05210118319054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6" t="s">
        <v>123</v>
      </c>
      <c r="C140" s="677">
        <f t="shared" ref="C140:E142" si="59">SUM(C126)</f>
        <v>38095</v>
      </c>
      <c r="D140" s="677">
        <f t="shared" si="59"/>
        <v>12698</v>
      </c>
      <c r="E140" s="677">
        <f t="shared" si="59"/>
        <v>14386</v>
      </c>
      <c r="F140" s="324">
        <f t="shared" si="58"/>
        <v>113.29343203654119</v>
      </c>
      <c r="G140" s="677">
        <f t="shared" ref="G140:I142" si="60">SUM(G126)</f>
        <v>37074.815900000001</v>
      </c>
      <c r="H140" s="677">
        <f t="shared" si="60"/>
        <v>12358.27</v>
      </c>
      <c r="I140" s="677">
        <f t="shared" si="60"/>
        <v>13983.779739999998</v>
      </c>
      <c r="J140" s="487">
        <f>J126</f>
        <v>113.15321432530602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6" t="s">
        <v>124</v>
      </c>
      <c r="C141" s="677">
        <f t="shared" si="59"/>
        <v>2640</v>
      </c>
      <c r="D141" s="677">
        <f t="shared" si="59"/>
        <v>880</v>
      </c>
      <c r="E141" s="677">
        <f t="shared" si="59"/>
        <v>844</v>
      </c>
      <c r="F141" s="324">
        <f t="shared" si="58"/>
        <v>95.909090909090907</v>
      </c>
      <c r="G141" s="677">
        <f t="shared" si="60"/>
        <v>2569.3008000000004</v>
      </c>
      <c r="H141" s="677">
        <f t="shared" si="60"/>
        <v>856.43</v>
      </c>
      <c r="I141" s="677">
        <f t="shared" si="60"/>
        <v>820.58858999999995</v>
      </c>
      <c r="J141" s="487">
        <f>J127</f>
        <v>95.815021659680298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6" t="s">
        <v>125</v>
      </c>
      <c r="C142" s="677">
        <f t="shared" si="59"/>
        <v>3143</v>
      </c>
      <c r="D142" s="677">
        <f t="shared" si="59"/>
        <v>1048</v>
      </c>
      <c r="E142" s="677">
        <f t="shared" si="59"/>
        <v>583</v>
      </c>
      <c r="F142" s="324">
        <f t="shared" si="58"/>
        <v>55.62977099236641</v>
      </c>
      <c r="G142" s="677">
        <f t="shared" si="60"/>
        <v>3058.8304600000001</v>
      </c>
      <c r="H142" s="677">
        <f t="shared" si="60"/>
        <v>1019.61</v>
      </c>
      <c r="I142" s="677">
        <f t="shared" si="60"/>
        <v>566.89487000000008</v>
      </c>
      <c r="J142" s="487">
        <f>J128</f>
        <v>55.599186944027622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9" t="s">
        <v>117</v>
      </c>
      <c r="C143" s="530">
        <f>C129</f>
        <v>0</v>
      </c>
      <c r="D143" s="530">
        <f>D129</f>
        <v>0</v>
      </c>
      <c r="E143" s="530">
        <f>E129</f>
        <v>0</v>
      </c>
      <c r="F143" s="530">
        <f t="shared" si="58"/>
        <v>0</v>
      </c>
      <c r="G143" s="531">
        <f>G129</f>
        <v>90492.85113000001</v>
      </c>
      <c r="H143" s="531">
        <f>H129</f>
        <v>30164.29</v>
      </c>
      <c r="I143" s="531">
        <f>I129</f>
        <v>30324.008729999998</v>
      </c>
      <c r="J143" s="531">
        <f>J129</f>
        <v>100.52949606969035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6" t="s">
        <v>5</v>
      </c>
      <c r="C144" s="3"/>
      <c r="D144" s="3"/>
      <c r="E144" s="163"/>
      <c r="F144" s="3"/>
      <c r="G144" s="489"/>
      <c r="H144" s="489"/>
      <c r="I144" s="490"/>
      <c r="J144" s="489"/>
    </row>
    <row r="145" spans="1:10" ht="31.5" customHeight="1" x14ac:dyDescent="0.25">
      <c r="A145" s="18">
        <v>1</v>
      </c>
      <c r="B145" s="128" t="s">
        <v>50</v>
      </c>
      <c r="C145" s="130"/>
      <c r="D145" s="130"/>
      <c r="E145" s="130"/>
      <c r="F145" s="130"/>
      <c r="G145" s="491"/>
      <c r="H145" s="491"/>
      <c r="I145" s="491"/>
      <c r="J145" s="491"/>
    </row>
    <row r="146" spans="1:10" s="36" customFormat="1" ht="27.95" customHeight="1" x14ac:dyDescent="0.25">
      <c r="A146" s="18">
        <v>1</v>
      </c>
      <c r="B146" s="73" t="s">
        <v>120</v>
      </c>
      <c r="C146" s="114">
        <f>SUM(C147:C150)</f>
        <v>4526</v>
      </c>
      <c r="D146" s="114">
        <f>SUM(D147:D150)</f>
        <v>1508</v>
      </c>
      <c r="E146" s="114">
        <f>SUM(E147:E150)</f>
        <v>1098</v>
      </c>
      <c r="F146" s="114">
        <f>E146/D146*100</f>
        <v>72.811671087533156</v>
      </c>
      <c r="G146" s="466">
        <f>SUM(G147:G150)</f>
        <v>6987.4005500000003</v>
      </c>
      <c r="H146" s="466">
        <f>SUM(H147:H150)</f>
        <v>2329.13</v>
      </c>
      <c r="I146" s="466">
        <f>SUM(I147:I150)</f>
        <v>1690.8433400000004</v>
      </c>
      <c r="J146" s="466">
        <f t="shared" ref="J146:J158" si="61">I146/H146*100</f>
        <v>72.595490161562481</v>
      </c>
    </row>
    <row r="147" spans="1:10" s="36" customFormat="1" ht="27.95" customHeight="1" x14ac:dyDescent="0.25">
      <c r="A147" s="18">
        <v>1</v>
      </c>
      <c r="B147" s="72" t="s">
        <v>79</v>
      </c>
      <c r="C147" s="114">
        <v>3301</v>
      </c>
      <c r="D147" s="108">
        <f>ROUND(C147/12*$B$3,0)</f>
        <v>1100</v>
      </c>
      <c r="E147" s="114">
        <v>857</v>
      </c>
      <c r="F147" s="114">
        <f>E147/D147*100</f>
        <v>77.909090909090907</v>
      </c>
      <c r="G147" s="730">
        <v>3896.5010000000002</v>
      </c>
      <c r="H147" s="639">
        <f t="shared" ref="H147:H150" si="62">ROUND(G147/12*$B$3,2)</f>
        <v>1298.83</v>
      </c>
      <c r="I147" s="466">
        <v>1037.0048200000001</v>
      </c>
      <c r="J147" s="466">
        <f t="shared" si="61"/>
        <v>79.841458851427831</v>
      </c>
    </row>
    <row r="148" spans="1:10" s="36" customFormat="1" ht="27.95" customHeight="1" x14ac:dyDescent="0.25">
      <c r="A148" s="18">
        <v>1</v>
      </c>
      <c r="B148" s="72" t="s">
        <v>80</v>
      </c>
      <c r="C148" s="114">
        <v>991</v>
      </c>
      <c r="D148" s="108">
        <f>ROUND(C148/12*$B$3,0)</f>
        <v>330</v>
      </c>
      <c r="E148" s="114">
        <v>171</v>
      </c>
      <c r="F148" s="114">
        <f>E148/D148*100</f>
        <v>51.81818181818182</v>
      </c>
      <c r="G148" s="730">
        <v>1555.3728299999998</v>
      </c>
      <c r="H148" s="639">
        <f t="shared" si="62"/>
        <v>518.46</v>
      </c>
      <c r="I148" s="466">
        <v>231.89793</v>
      </c>
      <c r="J148" s="466">
        <f t="shared" si="61"/>
        <v>44.728220113412796</v>
      </c>
    </row>
    <row r="149" spans="1:10" s="36" customFormat="1" ht="27.95" customHeight="1" x14ac:dyDescent="0.25">
      <c r="A149" s="18">
        <v>1</v>
      </c>
      <c r="B149" s="72" t="s">
        <v>114</v>
      </c>
      <c r="C149" s="114">
        <v>54</v>
      </c>
      <c r="D149" s="108">
        <f>ROUND(C149/12*$B$3,0)</f>
        <v>18</v>
      </c>
      <c r="E149" s="114">
        <v>46</v>
      </c>
      <c r="F149" s="114">
        <f>E149/D149*100</f>
        <v>255.55555555555554</v>
      </c>
      <c r="G149" s="466">
        <v>354.35232000000002</v>
      </c>
      <c r="H149" s="639">
        <f t="shared" si="62"/>
        <v>118.12</v>
      </c>
      <c r="I149" s="466">
        <v>301.85568000000001</v>
      </c>
      <c r="J149" s="466">
        <f t="shared" si="61"/>
        <v>255.55001693193361</v>
      </c>
    </row>
    <row r="150" spans="1:10" s="36" customFormat="1" ht="27.95" customHeight="1" x14ac:dyDescent="0.25">
      <c r="A150" s="18">
        <v>1</v>
      </c>
      <c r="B150" s="72" t="s">
        <v>115</v>
      </c>
      <c r="C150" s="114">
        <v>180</v>
      </c>
      <c r="D150" s="108">
        <f>ROUND(C150/12*$B$3,0)</f>
        <v>60</v>
      </c>
      <c r="E150" s="114">
        <v>24</v>
      </c>
      <c r="F150" s="114">
        <f t="shared" ref="F150:F154" si="63">E150/D150*100</f>
        <v>40</v>
      </c>
      <c r="G150" s="466">
        <v>1181.1743999999999</v>
      </c>
      <c r="H150" s="639">
        <f t="shared" si="62"/>
        <v>393.72</v>
      </c>
      <c r="I150" s="466">
        <v>120.08490999999998</v>
      </c>
      <c r="J150" s="466">
        <f t="shared" si="61"/>
        <v>30.500078736157672</v>
      </c>
    </row>
    <row r="151" spans="1:10" s="36" customFormat="1" ht="27.95" customHeight="1" x14ac:dyDescent="0.25">
      <c r="A151" s="18">
        <v>1</v>
      </c>
      <c r="B151" s="73" t="s">
        <v>112</v>
      </c>
      <c r="C151" s="114">
        <f>SUM(C152:C154)</f>
        <v>6794</v>
      </c>
      <c r="D151" s="114">
        <f>SUM(D152:D154)</f>
        <v>2265</v>
      </c>
      <c r="E151" s="114">
        <f>SUM(E152:E154)</f>
        <v>1377</v>
      </c>
      <c r="F151" s="114">
        <f t="shared" si="63"/>
        <v>60.794701986754959</v>
      </c>
      <c r="G151" s="459">
        <f>SUM(G152:G154)</f>
        <v>14743.89975</v>
      </c>
      <c r="H151" s="459">
        <f>SUM(H152:H154)</f>
        <v>4914.63</v>
      </c>
      <c r="I151" s="459">
        <f>SUM(I152:I154)</f>
        <v>2976.1432599999998</v>
      </c>
      <c r="J151" s="466">
        <f t="shared" si="61"/>
        <v>60.556812211702606</v>
      </c>
    </row>
    <row r="152" spans="1:10" s="36" customFormat="1" ht="27.95" customHeight="1" x14ac:dyDescent="0.25">
      <c r="A152" s="18">
        <v>1</v>
      </c>
      <c r="B152" s="72" t="s">
        <v>108</v>
      </c>
      <c r="C152" s="114">
        <v>938</v>
      </c>
      <c r="D152" s="108">
        <f t="shared" ref="D152:D157" si="64">ROUND(C152/12*$B$3,0)</f>
        <v>313</v>
      </c>
      <c r="E152" s="114">
        <v>226</v>
      </c>
      <c r="F152" s="114">
        <f t="shared" si="63"/>
        <v>72.204472843450489</v>
      </c>
      <c r="G152" s="466">
        <f>1989038.38/1000</f>
        <v>1989.03838</v>
      </c>
      <c r="H152" s="639">
        <f t="shared" ref="H152:H157" si="65">ROUND(G152/12*$B$3,2)</f>
        <v>663.01</v>
      </c>
      <c r="I152" s="466">
        <v>482.12410000000006</v>
      </c>
      <c r="J152" s="466">
        <f t="shared" si="61"/>
        <v>72.717470324731153</v>
      </c>
    </row>
    <row r="153" spans="1:10" s="36" customFormat="1" ht="55.5" customHeight="1" x14ac:dyDescent="0.25">
      <c r="A153" s="18">
        <v>1</v>
      </c>
      <c r="B153" s="72" t="s">
        <v>119</v>
      </c>
      <c r="C153" s="114">
        <v>5141</v>
      </c>
      <c r="D153" s="108">
        <f t="shared" si="64"/>
        <v>1714</v>
      </c>
      <c r="E153" s="114">
        <v>768</v>
      </c>
      <c r="F153" s="114">
        <f t="shared" si="63"/>
        <v>44.807467911318554</v>
      </c>
      <c r="G153" s="466">
        <f>12054046.97/1000</f>
        <v>12054.046970000001</v>
      </c>
      <c r="H153" s="639">
        <f t="shared" si="65"/>
        <v>4018.02</v>
      </c>
      <c r="I153" s="466">
        <v>2096.5528100000001</v>
      </c>
      <c r="J153" s="466">
        <f t="shared" si="61"/>
        <v>52.178754958910112</v>
      </c>
    </row>
    <row r="154" spans="1:10" s="36" customFormat="1" ht="48" customHeight="1" x14ac:dyDescent="0.25">
      <c r="A154" s="18">
        <v>1</v>
      </c>
      <c r="B154" s="72" t="s">
        <v>109</v>
      </c>
      <c r="C154" s="114">
        <v>715</v>
      </c>
      <c r="D154" s="108">
        <f t="shared" si="64"/>
        <v>238</v>
      </c>
      <c r="E154" s="114">
        <v>383</v>
      </c>
      <c r="F154" s="114">
        <f t="shared" si="63"/>
        <v>160.92436974789916</v>
      </c>
      <c r="G154" s="466">
        <f>700814.4/1000</f>
        <v>700.81439999999998</v>
      </c>
      <c r="H154" s="639">
        <f t="shared" si="65"/>
        <v>233.6</v>
      </c>
      <c r="I154" s="466">
        <v>397.46634999999992</v>
      </c>
      <c r="J154" s="466">
        <f t="shared" si="61"/>
        <v>170.14826626712326</v>
      </c>
    </row>
    <row r="155" spans="1:10" s="36" customFormat="1" ht="27.95" customHeight="1" x14ac:dyDescent="0.25">
      <c r="A155" s="18"/>
      <c r="B155" s="668" t="s">
        <v>123</v>
      </c>
      <c r="C155" s="114">
        <v>13487</v>
      </c>
      <c r="D155" s="108">
        <f t="shared" si="64"/>
        <v>4496</v>
      </c>
      <c r="E155" s="114">
        <v>1684</v>
      </c>
      <c r="F155" s="114">
        <f>E155/D155*100</f>
        <v>37.455516014234874</v>
      </c>
      <c r="G155" s="466">
        <v>13125.818140000001</v>
      </c>
      <c r="H155" s="639">
        <f t="shared" si="65"/>
        <v>4375.2700000000004</v>
      </c>
      <c r="I155" s="466">
        <v>1566.8460600000003</v>
      </c>
      <c r="J155" s="466">
        <f>I155/H155*100</f>
        <v>35.811414152726577</v>
      </c>
    </row>
    <row r="156" spans="1:10" s="36" customFormat="1" ht="27.95" customHeight="1" x14ac:dyDescent="0.25">
      <c r="A156" s="18"/>
      <c r="B156" s="668" t="s">
        <v>124</v>
      </c>
      <c r="C156" s="114">
        <v>700</v>
      </c>
      <c r="D156" s="108">
        <f t="shared" si="64"/>
        <v>233</v>
      </c>
      <c r="E156" s="114">
        <v>181</v>
      </c>
      <c r="F156" s="114">
        <f>E156/D156*100</f>
        <v>77.682403433476395</v>
      </c>
      <c r="G156" s="466">
        <f>$G$155/$C$155*C156</f>
        <v>681.25400000000002</v>
      </c>
      <c r="H156" s="639">
        <f t="shared" si="65"/>
        <v>227.08</v>
      </c>
      <c r="I156" s="466">
        <v>173.86654999999999</v>
      </c>
      <c r="J156" s="466">
        <f t="shared" ref="J156:J157" si="66">I156/H156*100</f>
        <v>76.566210146203971</v>
      </c>
    </row>
    <row r="157" spans="1:10" s="36" customFormat="1" ht="21.75" customHeight="1" thickBot="1" x14ac:dyDescent="0.3">
      <c r="A157" s="18"/>
      <c r="B157" s="668" t="s">
        <v>125</v>
      </c>
      <c r="C157" s="114">
        <v>300</v>
      </c>
      <c r="D157" s="108">
        <f t="shared" si="64"/>
        <v>100</v>
      </c>
      <c r="E157" s="114">
        <v>41</v>
      </c>
      <c r="F157" s="114">
        <f>E157/D157*100</f>
        <v>41</v>
      </c>
      <c r="G157" s="466">
        <f>$G$155/$C$155*C157</f>
        <v>291.96600000000001</v>
      </c>
      <c r="H157" s="639">
        <f t="shared" si="65"/>
        <v>97.32</v>
      </c>
      <c r="I157" s="466">
        <v>39.57376</v>
      </c>
      <c r="J157" s="466">
        <f t="shared" si="66"/>
        <v>40.663542951089191</v>
      </c>
    </row>
    <row r="158" spans="1:10" s="36" customFormat="1" ht="15" customHeight="1" thickBot="1" x14ac:dyDescent="0.3">
      <c r="A158" s="18">
        <v>1</v>
      </c>
      <c r="B158" s="205" t="s">
        <v>3</v>
      </c>
      <c r="C158" s="24"/>
      <c r="D158" s="24"/>
      <c r="E158" s="24"/>
      <c r="F158" s="22"/>
      <c r="G158" s="470">
        <f>G151+G146+G155</f>
        <v>34857.118440000006</v>
      </c>
      <c r="H158" s="470">
        <f>H151+H146+H155</f>
        <v>11619.03</v>
      </c>
      <c r="I158" s="470">
        <f>I151+I146+I155</f>
        <v>6233.83266</v>
      </c>
      <c r="J158" s="470">
        <f t="shared" si="61"/>
        <v>53.651919824632522</v>
      </c>
    </row>
    <row r="159" spans="1:10" s="36" customFormat="1" ht="15" customHeight="1" thickBot="1" x14ac:dyDescent="0.3">
      <c r="A159" s="18">
        <v>1</v>
      </c>
      <c r="C159" s="238"/>
      <c r="D159" s="238"/>
      <c r="E159" s="239"/>
      <c r="F159" s="533"/>
      <c r="G159" s="492"/>
      <c r="H159" s="492"/>
      <c r="I159" s="493"/>
      <c r="J159" s="492"/>
    </row>
    <row r="160" spans="1:10" ht="43.5" x14ac:dyDescent="0.25">
      <c r="A160" s="18">
        <v>1</v>
      </c>
      <c r="B160" s="315" t="s">
        <v>58</v>
      </c>
      <c r="C160" s="237"/>
      <c r="D160" s="237"/>
      <c r="E160" s="237"/>
      <c r="F160" s="237"/>
      <c r="G160" s="494"/>
      <c r="H160" s="494"/>
      <c r="I160" s="494"/>
      <c r="J160" s="494"/>
    </row>
    <row r="161" spans="1:10" s="36" customFormat="1" ht="30" customHeight="1" x14ac:dyDescent="0.25">
      <c r="A161" s="18">
        <v>1</v>
      </c>
      <c r="B161" s="73" t="s">
        <v>120</v>
      </c>
      <c r="C161" s="114">
        <f>SUM(C162:C163)</f>
        <v>1167</v>
      </c>
      <c r="D161" s="114">
        <f>SUM(D162:D163)</f>
        <v>389</v>
      </c>
      <c r="E161" s="114">
        <f>SUM(E162:E163)</f>
        <v>274</v>
      </c>
      <c r="F161" s="114">
        <f t="shared" ref="F161:F167" si="67">E161/D161*100</f>
        <v>70.437017994858607</v>
      </c>
      <c r="G161" s="466">
        <f>SUM(G162:G163)</f>
        <v>1768.9442899999999</v>
      </c>
      <c r="H161" s="466">
        <f>SUM(H162:H163)</f>
        <v>589.65000000000009</v>
      </c>
      <c r="I161" s="466">
        <f>SUM(I162:I163)</f>
        <v>429.38947000000007</v>
      </c>
      <c r="J161" s="466">
        <f t="shared" ref="J161:J168" si="68">I161/H161*100</f>
        <v>72.821075214110067</v>
      </c>
    </row>
    <row r="162" spans="1:10" s="36" customFormat="1" ht="30" customHeight="1" x14ac:dyDescent="0.25">
      <c r="A162" s="18">
        <v>1</v>
      </c>
      <c r="B162" s="72" t="s">
        <v>79</v>
      </c>
      <c r="C162" s="114">
        <v>898</v>
      </c>
      <c r="D162" s="108">
        <f>ROUND(C162/12*$B$3,0)</f>
        <v>299</v>
      </c>
      <c r="E162" s="114">
        <v>265</v>
      </c>
      <c r="F162" s="114">
        <f t="shared" si="67"/>
        <v>88.628762541806012</v>
      </c>
      <c r="G162" s="466">
        <v>1253.1483999999998</v>
      </c>
      <c r="H162" s="639">
        <f t="shared" ref="H162:H163" si="69">ROUND(G162/12*$B$3,2)</f>
        <v>417.72</v>
      </c>
      <c r="I162" s="466">
        <v>411.36003000000005</v>
      </c>
      <c r="J162" s="466">
        <f t="shared" si="68"/>
        <v>98.477456190749791</v>
      </c>
    </row>
    <row r="163" spans="1:10" s="36" customFormat="1" ht="30" customHeight="1" x14ac:dyDescent="0.25">
      <c r="A163" s="18">
        <v>1</v>
      </c>
      <c r="B163" s="72" t="s">
        <v>80</v>
      </c>
      <c r="C163" s="114">
        <v>269</v>
      </c>
      <c r="D163" s="108">
        <f>ROUND(C163/12*$B$3,0)</f>
        <v>90</v>
      </c>
      <c r="E163" s="114">
        <v>9</v>
      </c>
      <c r="F163" s="114">
        <f t="shared" si="67"/>
        <v>10</v>
      </c>
      <c r="G163" s="466">
        <v>515.79588999999999</v>
      </c>
      <c r="H163" s="639">
        <f t="shared" si="69"/>
        <v>171.93</v>
      </c>
      <c r="I163" s="466">
        <v>18.029440000000001</v>
      </c>
      <c r="J163" s="466">
        <f t="shared" si="68"/>
        <v>10.486500319897633</v>
      </c>
    </row>
    <row r="164" spans="1:10" s="36" customFormat="1" ht="30" customHeight="1" x14ac:dyDescent="0.25">
      <c r="A164" s="18">
        <v>1</v>
      </c>
      <c r="B164" s="73" t="s">
        <v>112</v>
      </c>
      <c r="C164" s="114">
        <f>SUM(C165)</f>
        <v>200</v>
      </c>
      <c r="D164" s="114">
        <f t="shared" ref="D164:I164" si="70">SUM(D165)</f>
        <v>67</v>
      </c>
      <c r="E164" s="114">
        <f t="shared" si="70"/>
        <v>19</v>
      </c>
      <c r="F164" s="114">
        <f t="shared" si="67"/>
        <v>28.35820895522388</v>
      </c>
      <c r="G164" s="459">
        <f t="shared" si="70"/>
        <v>424.10199999999998</v>
      </c>
      <c r="H164" s="459">
        <f t="shared" si="70"/>
        <v>141.37</v>
      </c>
      <c r="I164" s="459">
        <f t="shared" si="70"/>
        <v>39.71499</v>
      </c>
      <c r="J164" s="466">
        <f t="shared" si="68"/>
        <v>28.092940510716559</v>
      </c>
    </row>
    <row r="165" spans="1:10" s="36" customFormat="1" ht="30" customHeight="1" x14ac:dyDescent="0.25">
      <c r="A165" s="18">
        <v>1</v>
      </c>
      <c r="B165" s="72" t="s">
        <v>108</v>
      </c>
      <c r="C165" s="114">
        <v>200</v>
      </c>
      <c r="D165" s="108">
        <f>ROUND(C165/12*$B$3,0)</f>
        <v>67</v>
      </c>
      <c r="E165" s="114">
        <v>19</v>
      </c>
      <c r="F165" s="114">
        <f t="shared" si="67"/>
        <v>28.35820895522388</v>
      </c>
      <c r="G165" s="466">
        <f>424102/1000</f>
        <v>424.10199999999998</v>
      </c>
      <c r="H165" s="639">
        <f t="shared" ref="H165:H167" si="71">ROUND(G165/12*$B$3,2)</f>
        <v>141.37</v>
      </c>
      <c r="I165" s="466">
        <v>39.71499</v>
      </c>
      <c r="J165" s="466">
        <f t="shared" si="68"/>
        <v>28.092940510716559</v>
      </c>
    </row>
    <row r="166" spans="1:10" s="36" customFormat="1" ht="30" customHeight="1" x14ac:dyDescent="0.25">
      <c r="A166" s="18"/>
      <c r="B166" s="659" t="s">
        <v>123</v>
      </c>
      <c r="C166" s="114">
        <v>1000</v>
      </c>
      <c r="D166" s="108">
        <f>ROUND(C166/12*$B$3,0)</f>
        <v>333</v>
      </c>
      <c r="E166" s="114">
        <v>292</v>
      </c>
      <c r="F166" s="114">
        <f t="shared" si="67"/>
        <v>87.687687687687685</v>
      </c>
      <c r="G166" s="466">
        <v>973.22</v>
      </c>
      <c r="H166" s="639">
        <f t="shared" si="71"/>
        <v>324.41000000000003</v>
      </c>
      <c r="I166" s="466">
        <v>273.20896000000005</v>
      </c>
      <c r="J166" s="466">
        <f>I166/H166*100</f>
        <v>84.217181961098618</v>
      </c>
    </row>
    <row r="167" spans="1:10" s="36" customFormat="1" ht="30" customHeight="1" x14ac:dyDescent="0.25">
      <c r="A167" s="18"/>
      <c r="B167" s="659" t="s">
        <v>125</v>
      </c>
      <c r="C167" s="114">
        <v>300</v>
      </c>
      <c r="D167" s="108">
        <f>ROUND(C167/12*$B$3,0)</f>
        <v>100</v>
      </c>
      <c r="E167" s="114">
        <v>100</v>
      </c>
      <c r="F167" s="114">
        <f t="shared" si="67"/>
        <v>100</v>
      </c>
      <c r="G167" s="466">
        <v>291.96600000000001</v>
      </c>
      <c r="H167" s="639">
        <f t="shared" si="71"/>
        <v>97.32</v>
      </c>
      <c r="I167" s="466">
        <v>91.730030000000014</v>
      </c>
      <c r="J167" s="466">
        <f>I167/H167*100</f>
        <v>94.256093300452136</v>
      </c>
    </row>
    <row r="168" spans="1:10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485">
        <f>G161+G164+G166</f>
        <v>3166.2662899999996</v>
      </c>
      <c r="H168" s="485">
        <f>H161+H164+H166</f>
        <v>1055.43</v>
      </c>
      <c r="I168" s="485">
        <f>I161+I164+I166</f>
        <v>742.31342000000018</v>
      </c>
      <c r="J168" s="470">
        <f t="shared" si="68"/>
        <v>70.332795164056378</v>
      </c>
    </row>
    <row r="169" spans="1:10" x14ac:dyDescent="0.25">
      <c r="A169" s="18">
        <v>1</v>
      </c>
      <c r="B169" s="241" t="s">
        <v>95</v>
      </c>
      <c r="C169" s="242"/>
      <c r="D169" s="242"/>
      <c r="E169" s="242"/>
      <c r="F169" s="242"/>
      <c r="G169" s="495"/>
      <c r="H169" s="495"/>
      <c r="I169" s="495"/>
      <c r="J169" s="495"/>
    </row>
    <row r="170" spans="1:10" ht="27.95" customHeight="1" x14ac:dyDescent="0.25">
      <c r="A170" s="18">
        <v>1</v>
      </c>
      <c r="B170" s="245" t="s">
        <v>120</v>
      </c>
      <c r="C170" s="243">
        <f t="shared" ref="C170:E172" si="72">C161+C146</f>
        <v>5693</v>
      </c>
      <c r="D170" s="243">
        <f t="shared" si="72"/>
        <v>1897</v>
      </c>
      <c r="E170" s="243">
        <f t="shared" si="72"/>
        <v>1372</v>
      </c>
      <c r="F170" s="243">
        <f>E170/D170*100</f>
        <v>72.32472324723247</v>
      </c>
      <c r="G170" s="496">
        <f t="shared" ref="G170:I172" si="73">SUM(G161,G146)</f>
        <v>8756.3448399999997</v>
      </c>
      <c r="H170" s="496">
        <f t="shared" si="73"/>
        <v>2918.78</v>
      </c>
      <c r="I170" s="496">
        <f t="shared" si="73"/>
        <v>2120.2328100000004</v>
      </c>
      <c r="J170" s="496">
        <f>I170/H170*100</f>
        <v>72.641062704280571</v>
      </c>
    </row>
    <row r="171" spans="1:10" ht="27.95" customHeight="1" x14ac:dyDescent="0.25">
      <c r="A171" s="18">
        <v>1</v>
      </c>
      <c r="B171" s="246" t="s">
        <v>79</v>
      </c>
      <c r="C171" s="243">
        <f t="shared" si="72"/>
        <v>4199</v>
      </c>
      <c r="D171" s="243">
        <f t="shared" si="72"/>
        <v>1399</v>
      </c>
      <c r="E171" s="243">
        <f t="shared" si="72"/>
        <v>1122</v>
      </c>
      <c r="F171" s="243">
        <f>E171/D171*100</f>
        <v>80.20014295925661</v>
      </c>
      <c r="G171" s="496">
        <f t="shared" si="73"/>
        <v>5149.6494000000002</v>
      </c>
      <c r="H171" s="496">
        <f t="shared" si="73"/>
        <v>1716.55</v>
      </c>
      <c r="I171" s="496">
        <f t="shared" si="73"/>
        <v>1448.3648500000002</v>
      </c>
      <c r="J171" s="496">
        <f t="shared" ref="J171:J182" si="74">I171/H171*100</f>
        <v>84.376502286563166</v>
      </c>
    </row>
    <row r="172" spans="1:10" ht="27.95" customHeight="1" x14ac:dyDescent="0.25">
      <c r="A172" s="18">
        <v>1</v>
      </c>
      <c r="B172" s="246" t="s">
        <v>80</v>
      </c>
      <c r="C172" s="243">
        <f t="shared" si="72"/>
        <v>1260</v>
      </c>
      <c r="D172" s="243">
        <f t="shared" si="72"/>
        <v>420</v>
      </c>
      <c r="E172" s="243">
        <f t="shared" si="72"/>
        <v>180</v>
      </c>
      <c r="F172" s="243">
        <f>E172/D172*100</f>
        <v>42.857142857142854</v>
      </c>
      <c r="G172" s="496">
        <f t="shared" si="73"/>
        <v>2071.1687199999997</v>
      </c>
      <c r="H172" s="496">
        <f t="shared" si="73"/>
        <v>690.3900000000001</v>
      </c>
      <c r="I172" s="496">
        <f t="shared" si="73"/>
        <v>249.92737</v>
      </c>
      <c r="J172" s="496">
        <f t="shared" si="74"/>
        <v>36.200896594678369</v>
      </c>
    </row>
    <row r="173" spans="1:10" ht="27.95" customHeight="1" x14ac:dyDescent="0.25">
      <c r="A173" s="18">
        <v>1</v>
      </c>
      <c r="B173" s="246" t="s">
        <v>114</v>
      </c>
      <c r="C173" s="243">
        <f t="shared" ref="C173:E174" si="75">C149</f>
        <v>54</v>
      </c>
      <c r="D173" s="243">
        <f t="shared" si="75"/>
        <v>18</v>
      </c>
      <c r="E173" s="243">
        <f t="shared" si="75"/>
        <v>46</v>
      </c>
      <c r="F173" s="243">
        <f>E173/D173*100</f>
        <v>255.55555555555554</v>
      </c>
      <c r="G173" s="496">
        <f t="shared" ref="G173:I174" si="76">G149</f>
        <v>354.35232000000002</v>
      </c>
      <c r="H173" s="496">
        <f t="shared" si="76"/>
        <v>118.12</v>
      </c>
      <c r="I173" s="496">
        <f t="shared" si="76"/>
        <v>301.85568000000001</v>
      </c>
      <c r="J173" s="496">
        <f t="shared" si="74"/>
        <v>255.55001693193361</v>
      </c>
    </row>
    <row r="174" spans="1:10" ht="27.95" customHeight="1" x14ac:dyDescent="0.25">
      <c r="A174" s="18">
        <v>1</v>
      </c>
      <c r="B174" s="246" t="s">
        <v>115</v>
      </c>
      <c r="C174" s="243">
        <f t="shared" si="75"/>
        <v>180</v>
      </c>
      <c r="D174" s="243">
        <f t="shared" si="75"/>
        <v>60</v>
      </c>
      <c r="E174" s="243">
        <f t="shared" si="75"/>
        <v>24</v>
      </c>
      <c r="F174" s="243">
        <f>E174/D174*100</f>
        <v>40</v>
      </c>
      <c r="G174" s="496">
        <f t="shared" si="76"/>
        <v>1181.1743999999999</v>
      </c>
      <c r="H174" s="496">
        <f t="shared" si="76"/>
        <v>393.72</v>
      </c>
      <c r="I174" s="496">
        <f t="shared" si="76"/>
        <v>120.08490999999998</v>
      </c>
      <c r="J174" s="496">
        <f t="shared" si="74"/>
        <v>30.500078736157672</v>
      </c>
    </row>
    <row r="175" spans="1:10" ht="27.95" customHeight="1" x14ac:dyDescent="0.25">
      <c r="A175" s="18">
        <v>1</v>
      </c>
      <c r="B175" s="245" t="s">
        <v>112</v>
      </c>
      <c r="C175" s="243">
        <f t="shared" ref="C175:I176" si="77">SUM(C164,C151)</f>
        <v>6994</v>
      </c>
      <c r="D175" s="243">
        <f t="shared" si="77"/>
        <v>2332</v>
      </c>
      <c r="E175" s="243">
        <f t="shared" si="77"/>
        <v>1396</v>
      </c>
      <c r="F175" s="243">
        <f t="shared" si="77"/>
        <v>89.152910941978831</v>
      </c>
      <c r="G175" s="496">
        <f t="shared" si="77"/>
        <v>15168.001750000001</v>
      </c>
      <c r="H175" s="496">
        <f t="shared" si="77"/>
        <v>5056</v>
      </c>
      <c r="I175" s="496">
        <f t="shared" si="77"/>
        <v>3015.8582499999998</v>
      </c>
      <c r="J175" s="496">
        <f t="shared" si="74"/>
        <v>59.64909513449367</v>
      </c>
    </row>
    <row r="176" spans="1:10" ht="27.95" customHeight="1" x14ac:dyDescent="0.25">
      <c r="A176" s="18">
        <v>1</v>
      </c>
      <c r="B176" s="246" t="s">
        <v>108</v>
      </c>
      <c r="C176" s="243">
        <f t="shared" si="77"/>
        <v>1138</v>
      </c>
      <c r="D176" s="243">
        <f t="shared" si="77"/>
        <v>380</v>
      </c>
      <c r="E176" s="243">
        <f t="shared" si="77"/>
        <v>245</v>
      </c>
      <c r="F176" s="243">
        <f t="shared" si="77"/>
        <v>100.56268179867436</v>
      </c>
      <c r="G176" s="496">
        <f t="shared" si="77"/>
        <v>2413.1403799999998</v>
      </c>
      <c r="H176" s="496">
        <f t="shared" si="77"/>
        <v>804.38</v>
      </c>
      <c r="I176" s="496">
        <f t="shared" si="77"/>
        <v>521.83909000000006</v>
      </c>
      <c r="J176" s="496">
        <f t="shared" si="74"/>
        <v>64.874697282378975</v>
      </c>
    </row>
    <row r="177" spans="1:10" ht="60" x14ac:dyDescent="0.25">
      <c r="A177" s="18">
        <v>1</v>
      </c>
      <c r="B177" s="246" t="s">
        <v>81</v>
      </c>
      <c r="C177" s="243">
        <f t="shared" ref="C177:I178" si="78">C153</f>
        <v>5141</v>
      </c>
      <c r="D177" s="243">
        <f t="shared" si="78"/>
        <v>1714</v>
      </c>
      <c r="E177" s="243">
        <f t="shared" si="78"/>
        <v>768</v>
      </c>
      <c r="F177" s="243">
        <f t="shared" si="78"/>
        <v>44.807467911318554</v>
      </c>
      <c r="G177" s="496">
        <f t="shared" si="78"/>
        <v>12054.046970000001</v>
      </c>
      <c r="H177" s="496">
        <f t="shared" si="78"/>
        <v>4018.02</v>
      </c>
      <c r="I177" s="496">
        <f t="shared" si="78"/>
        <v>2096.5528100000001</v>
      </c>
      <c r="J177" s="496">
        <f t="shared" si="74"/>
        <v>52.178754958910112</v>
      </c>
    </row>
    <row r="178" spans="1:10" ht="45" x14ac:dyDescent="0.25">
      <c r="A178" s="18">
        <v>1</v>
      </c>
      <c r="B178" s="246" t="s">
        <v>109</v>
      </c>
      <c r="C178" s="243">
        <f t="shared" si="78"/>
        <v>715</v>
      </c>
      <c r="D178" s="243">
        <f t="shared" si="78"/>
        <v>238</v>
      </c>
      <c r="E178" s="243">
        <f t="shared" si="78"/>
        <v>383</v>
      </c>
      <c r="F178" s="243">
        <f t="shared" si="78"/>
        <v>160.92436974789916</v>
      </c>
      <c r="G178" s="496">
        <f t="shared" si="78"/>
        <v>700.81439999999998</v>
      </c>
      <c r="H178" s="496">
        <f t="shared" si="78"/>
        <v>233.6</v>
      </c>
      <c r="I178" s="496">
        <f t="shared" si="78"/>
        <v>397.46634999999992</v>
      </c>
      <c r="J178" s="496">
        <f t="shared" si="74"/>
        <v>170.14826626712326</v>
      </c>
    </row>
    <row r="179" spans="1:10" ht="35.25" customHeight="1" x14ac:dyDescent="0.25">
      <c r="A179" s="18"/>
      <c r="B179" s="678" t="s">
        <v>123</v>
      </c>
      <c r="C179" s="679">
        <f>SUM(C166,C155)</f>
        <v>14487</v>
      </c>
      <c r="D179" s="679">
        <f>SUM(D166,D155)</f>
        <v>4829</v>
      </c>
      <c r="E179" s="679">
        <f>SUM(E166,E155)</f>
        <v>1976</v>
      </c>
      <c r="F179" s="308">
        <f>F155</f>
        <v>37.455516014234874</v>
      </c>
      <c r="G179" s="679">
        <f>SUM(G166,G155)</f>
        <v>14099.038140000001</v>
      </c>
      <c r="H179" s="679">
        <f>SUM(H166,H155)</f>
        <v>4699.68</v>
      </c>
      <c r="I179" s="679">
        <f>SUM(I166,I155)</f>
        <v>1840.0550200000002</v>
      </c>
      <c r="J179" s="497">
        <f t="shared" si="74"/>
        <v>39.152772529193477</v>
      </c>
    </row>
    <row r="180" spans="1:10" ht="35.25" customHeight="1" x14ac:dyDescent="0.25">
      <c r="A180" s="18"/>
      <c r="B180" s="678" t="s">
        <v>124</v>
      </c>
      <c r="C180" s="679">
        <f>SUM(C156)</f>
        <v>700</v>
      </c>
      <c r="D180" s="679">
        <f>SUM(D156)</f>
        <v>233</v>
      </c>
      <c r="E180" s="679">
        <f>SUM(E156)</f>
        <v>181</v>
      </c>
      <c r="F180" s="308">
        <f>F156</f>
        <v>77.682403433476395</v>
      </c>
      <c r="G180" s="679">
        <f>SUM(G156)</f>
        <v>681.25400000000002</v>
      </c>
      <c r="H180" s="679">
        <f>SUM(H156)</f>
        <v>227.08</v>
      </c>
      <c r="I180" s="679">
        <f>SUM(I156)</f>
        <v>173.86654999999999</v>
      </c>
      <c r="J180" s="497"/>
    </row>
    <row r="181" spans="1:10" ht="35.25" customHeight="1" x14ac:dyDescent="0.25">
      <c r="A181" s="18"/>
      <c r="B181" s="678" t="s">
        <v>125</v>
      </c>
      <c r="C181" s="679">
        <f t="shared" ref="C181:D181" si="79">SUM(C167,C157)</f>
        <v>600</v>
      </c>
      <c r="D181" s="679">
        <f t="shared" si="79"/>
        <v>200</v>
      </c>
      <c r="E181" s="679">
        <f>SUM(E167,E157)</f>
        <v>141</v>
      </c>
      <c r="F181" s="308">
        <f>F157</f>
        <v>41</v>
      </c>
      <c r="G181" s="679">
        <f t="shared" ref="G181:I181" si="80">SUM(G167,G157)</f>
        <v>583.93200000000002</v>
      </c>
      <c r="H181" s="679">
        <f t="shared" si="80"/>
        <v>194.64</v>
      </c>
      <c r="I181" s="679">
        <f t="shared" si="80"/>
        <v>131.30379000000002</v>
      </c>
      <c r="J181" s="497"/>
    </row>
    <row r="182" spans="1:10" x14ac:dyDescent="0.25">
      <c r="A182" s="18">
        <v>1</v>
      </c>
      <c r="B182" s="309" t="s">
        <v>106</v>
      </c>
      <c r="C182" s="310">
        <f t="shared" ref="C182:I182" si="81">SUM(C168,C158)</f>
        <v>0</v>
      </c>
      <c r="D182" s="310">
        <f t="shared" si="81"/>
        <v>0</v>
      </c>
      <c r="E182" s="310">
        <f t="shared" si="81"/>
        <v>0</v>
      </c>
      <c r="F182" s="310">
        <f t="shared" si="81"/>
        <v>0</v>
      </c>
      <c r="G182" s="498">
        <f t="shared" si="81"/>
        <v>38023.384730000005</v>
      </c>
      <c r="H182" s="498">
        <f t="shared" si="81"/>
        <v>12674.460000000001</v>
      </c>
      <c r="I182" s="498">
        <f t="shared" si="81"/>
        <v>6976.1460800000004</v>
      </c>
      <c r="J182" s="498">
        <f t="shared" si="74"/>
        <v>55.040972790951251</v>
      </c>
    </row>
    <row r="183" spans="1:10" ht="15.75" thickBot="1" x14ac:dyDescent="0.3">
      <c r="A183" s="18">
        <v>1</v>
      </c>
      <c r="B183" s="240" t="s">
        <v>6</v>
      </c>
      <c r="C183" s="37"/>
      <c r="D183" s="37"/>
      <c r="E183" s="164"/>
      <c r="F183" s="37"/>
      <c r="G183" s="499"/>
      <c r="H183" s="499"/>
      <c r="I183" s="500"/>
      <c r="J183" s="499"/>
    </row>
    <row r="184" spans="1:10" ht="36.75" customHeight="1" x14ac:dyDescent="0.25">
      <c r="A184" s="18">
        <v>1</v>
      </c>
      <c r="B184" s="129" t="s">
        <v>53</v>
      </c>
      <c r="C184" s="165"/>
      <c r="D184" s="165"/>
      <c r="E184" s="165"/>
      <c r="F184" s="165"/>
      <c r="G184" s="458"/>
      <c r="H184" s="458"/>
      <c r="I184" s="458"/>
      <c r="J184" s="458"/>
    </row>
    <row r="185" spans="1:10" s="36" customFormat="1" ht="30" x14ac:dyDescent="0.25">
      <c r="A185" s="18">
        <v>1</v>
      </c>
      <c r="B185" s="73" t="s">
        <v>120</v>
      </c>
      <c r="C185" s="114">
        <f>SUM(C186:C189)</f>
        <v>4185</v>
      </c>
      <c r="D185" s="114">
        <f>SUM(D186:D189)</f>
        <v>1396</v>
      </c>
      <c r="E185" s="114">
        <f>SUM(E186:E189)</f>
        <v>666</v>
      </c>
      <c r="F185" s="114">
        <f>E185/D185*100</f>
        <v>47.707736389684811</v>
      </c>
      <c r="G185" s="466">
        <f>SUM(G186:G189)</f>
        <v>7005.2602500000003</v>
      </c>
      <c r="H185" s="466">
        <f>SUM(H186:H189)</f>
        <v>2335.08</v>
      </c>
      <c r="I185" s="466">
        <f>SUM(I186:I189)</f>
        <v>991.72753999999998</v>
      </c>
      <c r="J185" s="466">
        <f t="shared" ref="J185:J196" si="82">I185/H185*100</f>
        <v>42.470816417424672</v>
      </c>
    </row>
    <row r="186" spans="1:10" s="36" customFormat="1" ht="30" x14ac:dyDescent="0.25">
      <c r="A186" s="18">
        <v>1</v>
      </c>
      <c r="B186" s="72" t="s">
        <v>79</v>
      </c>
      <c r="C186" s="114">
        <v>3071</v>
      </c>
      <c r="D186" s="108">
        <f t="shared" ref="D186:D193" si="83">ROUND(C186/12*$B$3,0)</f>
        <v>1024</v>
      </c>
      <c r="E186" s="114">
        <v>666</v>
      </c>
      <c r="F186" s="114">
        <f>E186/D186*100</f>
        <v>65.0390625</v>
      </c>
      <c r="G186" s="466">
        <v>4181.0510000000004</v>
      </c>
      <c r="H186" s="639">
        <f t="shared" ref="H186:H189" si="84">ROUND(G186/12*$B$3,2)</f>
        <v>1393.68</v>
      </c>
      <c r="I186" s="466">
        <v>1061.8716899999999</v>
      </c>
      <c r="J186" s="466">
        <f t="shared" si="82"/>
        <v>76.191929998277928</v>
      </c>
    </row>
    <row r="187" spans="1:10" s="36" customFormat="1" ht="35.1" customHeight="1" x14ac:dyDescent="0.25">
      <c r="A187" s="18">
        <v>1</v>
      </c>
      <c r="B187" s="72" t="s">
        <v>80</v>
      </c>
      <c r="C187" s="114">
        <v>921</v>
      </c>
      <c r="D187" s="108">
        <f t="shared" si="83"/>
        <v>307</v>
      </c>
      <c r="E187" s="114">
        <v>0</v>
      </c>
      <c r="F187" s="114">
        <f>E187/D187*100</f>
        <v>0</v>
      </c>
      <c r="G187" s="466">
        <v>1557.7278099999999</v>
      </c>
      <c r="H187" s="639">
        <f t="shared" si="84"/>
        <v>519.24</v>
      </c>
      <c r="I187" s="466">
        <v>-63.581899999999997</v>
      </c>
      <c r="J187" s="466">
        <f t="shared" si="82"/>
        <v>-12.24518527078037</v>
      </c>
    </row>
    <row r="188" spans="1:10" s="36" customFormat="1" ht="45" x14ac:dyDescent="0.25">
      <c r="A188" s="18">
        <v>1</v>
      </c>
      <c r="B188" s="72" t="s">
        <v>114</v>
      </c>
      <c r="C188" s="114">
        <v>20</v>
      </c>
      <c r="D188" s="108">
        <f t="shared" si="83"/>
        <v>7</v>
      </c>
      <c r="E188" s="114">
        <v>0</v>
      </c>
      <c r="F188" s="114">
        <f>E188/D188*100</f>
        <v>0</v>
      </c>
      <c r="G188" s="466">
        <v>131.24160000000001</v>
      </c>
      <c r="H188" s="639">
        <f t="shared" si="84"/>
        <v>43.75</v>
      </c>
      <c r="I188" s="466">
        <v>0</v>
      </c>
      <c r="J188" s="466">
        <f t="shared" si="82"/>
        <v>0</v>
      </c>
    </row>
    <row r="189" spans="1:10" s="36" customFormat="1" ht="30" x14ac:dyDescent="0.25">
      <c r="A189" s="18">
        <v>1</v>
      </c>
      <c r="B189" s="72" t="s">
        <v>115</v>
      </c>
      <c r="C189" s="114">
        <v>173</v>
      </c>
      <c r="D189" s="108">
        <f t="shared" si="83"/>
        <v>58</v>
      </c>
      <c r="E189" s="114">
        <v>0</v>
      </c>
      <c r="F189" s="114">
        <f>E189/D189*100</f>
        <v>0</v>
      </c>
      <c r="G189" s="466">
        <v>1135.2398400000002</v>
      </c>
      <c r="H189" s="639">
        <f t="shared" si="84"/>
        <v>378.41</v>
      </c>
      <c r="I189" s="466">
        <v>-6.5622499999999997</v>
      </c>
      <c r="J189" s="466">
        <f>I189/H189*100</f>
        <v>-1.7341640020084033</v>
      </c>
    </row>
    <row r="190" spans="1:10" s="36" customFormat="1" ht="30" x14ac:dyDescent="0.25">
      <c r="A190" s="18">
        <v>1</v>
      </c>
      <c r="B190" s="73" t="s">
        <v>112</v>
      </c>
      <c r="C190" s="114">
        <f>SUM(C191:C193)</f>
        <v>4350</v>
      </c>
      <c r="D190" s="114">
        <f>SUM(D191:D193)</f>
        <v>1450</v>
      </c>
      <c r="E190" s="114">
        <f>SUM(E191:E193)</f>
        <v>439</v>
      </c>
      <c r="F190" s="114">
        <f t="shared" ref="F190:F193" si="85">E190/D190*100</f>
        <v>30.27586206896552</v>
      </c>
      <c r="G190" s="459">
        <f>SUM(G191:G193)</f>
        <v>10640.283499999998</v>
      </c>
      <c r="H190" s="459">
        <f>SUM(H191:H193)</f>
        <v>3546.76</v>
      </c>
      <c r="I190" s="459">
        <f>SUM(I191:I193)</f>
        <v>458.01679999999993</v>
      </c>
      <c r="J190" s="466">
        <f t="shared" si="82"/>
        <v>12.913667685436847</v>
      </c>
    </row>
    <row r="191" spans="1:10" s="36" customFormat="1" ht="30" x14ac:dyDescent="0.25">
      <c r="A191" s="18">
        <v>1</v>
      </c>
      <c r="B191" s="72" t="s">
        <v>108</v>
      </c>
      <c r="C191" s="114">
        <v>150</v>
      </c>
      <c r="D191" s="108">
        <f t="shared" si="83"/>
        <v>50</v>
      </c>
      <c r="E191" s="114">
        <v>17</v>
      </c>
      <c r="F191" s="114">
        <f t="shared" si="85"/>
        <v>34</v>
      </c>
      <c r="G191" s="466">
        <f>318076.5/1000</f>
        <v>318.07650000000001</v>
      </c>
      <c r="H191" s="639">
        <f t="shared" ref="H191:H195" si="86">ROUND(G191/12*$B$3,2)</f>
        <v>106.03</v>
      </c>
      <c r="I191" s="466">
        <v>35.777940000000001</v>
      </c>
      <c r="J191" s="466">
        <f t="shared" si="82"/>
        <v>33.743223615957746</v>
      </c>
    </row>
    <row r="192" spans="1:10" s="36" customFormat="1" ht="64.5" customHeight="1" x14ac:dyDescent="0.25">
      <c r="A192" s="18">
        <v>1</v>
      </c>
      <c r="B192" s="72" t="s">
        <v>119</v>
      </c>
      <c r="C192" s="114">
        <v>3500</v>
      </c>
      <c r="D192" s="108">
        <f t="shared" si="83"/>
        <v>1167</v>
      </c>
      <c r="E192" s="114">
        <v>109</v>
      </c>
      <c r="F192" s="114">
        <f t="shared" si="85"/>
        <v>9.3401885175664106</v>
      </c>
      <c r="G192" s="466">
        <f>9636095/1000</f>
        <v>9636.0949999999993</v>
      </c>
      <c r="H192" s="639">
        <f t="shared" si="86"/>
        <v>3212.03</v>
      </c>
      <c r="I192" s="466">
        <v>140.46066999999999</v>
      </c>
      <c r="J192" s="466">
        <f t="shared" si="82"/>
        <v>4.3729563547040344</v>
      </c>
    </row>
    <row r="193" spans="1:247" s="36" customFormat="1" ht="45" x14ac:dyDescent="0.25">
      <c r="A193" s="18">
        <v>1</v>
      </c>
      <c r="B193" s="72" t="s">
        <v>109</v>
      </c>
      <c r="C193" s="114">
        <v>700</v>
      </c>
      <c r="D193" s="108">
        <f t="shared" si="83"/>
        <v>233</v>
      </c>
      <c r="E193" s="114">
        <v>313</v>
      </c>
      <c r="F193" s="114">
        <f t="shared" si="85"/>
        <v>134.33476394849785</v>
      </c>
      <c r="G193" s="466">
        <f>686112/1000</f>
        <v>686.11199999999997</v>
      </c>
      <c r="H193" s="639">
        <f t="shared" si="86"/>
        <v>228.7</v>
      </c>
      <c r="I193" s="466">
        <v>281.77818999999994</v>
      </c>
      <c r="J193" s="466">
        <f t="shared" si="82"/>
        <v>123.20865325754262</v>
      </c>
    </row>
    <row r="194" spans="1:247" s="36" customFormat="1" ht="35.1" customHeight="1" x14ac:dyDescent="0.25">
      <c r="A194" s="18"/>
      <c r="B194" s="659" t="s">
        <v>123</v>
      </c>
      <c r="C194" s="114">
        <v>6950</v>
      </c>
      <c r="D194" s="108">
        <f>ROUND(C194/12*$B$3,0)</f>
        <v>2317</v>
      </c>
      <c r="E194" s="114">
        <v>2712</v>
      </c>
      <c r="F194" s="114">
        <f>E194/D194*100</f>
        <v>117.04790677600346</v>
      </c>
      <c r="G194" s="466">
        <v>6763.8789999999999</v>
      </c>
      <c r="H194" s="639">
        <f t="shared" si="86"/>
        <v>2254.63</v>
      </c>
      <c r="I194" s="466">
        <v>2614.0018499999996</v>
      </c>
      <c r="J194" s="466">
        <f>I194/H194*100</f>
        <v>115.93928272044636</v>
      </c>
    </row>
    <row r="195" spans="1:247" s="36" customFormat="1" ht="21" customHeight="1" x14ac:dyDescent="0.25">
      <c r="A195" s="18"/>
      <c r="B195" s="659" t="s">
        <v>125</v>
      </c>
      <c r="C195" s="114">
        <v>1850</v>
      </c>
      <c r="D195" s="108">
        <f>ROUND(C195/12*$B$3,0)</f>
        <v>617</v>
      </c>
      <c r="E195" s="114">
        <v>634</v>
      </c>
      <c r="F195" s="116">
        <f>E195/D195*100</f>
        <v>102.7552674230146</v>
      </c>
      <c r="G195" s="466">
        <v>1800.4569999999999</v>
      </c>
      <c r="H195" s="639">
        <f t="shared" si="86"/>
        <v>600.15</v>
      </c>
      <c r="I195" s="466">
        <v>609.01379000000009</v>
      </c>
      <c r="J195" s="466">
        <f>I195/H195*100</f>
        <v>101.47692910105808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70">
        <f>G190+G185+G194</f>
        <v>24409.422749999998</v>
      </c>
      <c r="H196" s="470">
        <f>H190+H185+H194</f>
        <v>8136.47</v>
      </c>
      <c r="I196" s="470">
        <f>I190+I185+I194</f>
        <v>4063.7461899999998</v>
      </c>
      <c r="J196" s="470">
        <f t="shared" si="82"/>
        <v>49.944830989360241</v>
      </c>
    </row>
    <row r="197" spans="1:247" ht="15" customHeight="1" x14ac:dyDescent="0.25">
      <c r="A197" s="18">
        <v>1</v>
      </c>
      <c r="B197" s="255" t="s">
        <v>96</v>
      </c>
      <c r="C197" s="256"/>
      <c r="D197" s="256"/>
      <c r="E197" s="256"/>
      <c r="F197" s="256"/>
      <c r="G197" s="501"/>
      <c r="H197" s="501"/>
      <c r="I197" s="501"/>
      <c r="J197" s="501"/>
    </row>
    <row r="198" spans="1:247" s="10" customFormat="1" ht="30" x14ac:dyDescent="0.25">
      <c r="A198" s="18">
        <v>1</v>
      </c>
      <c r="B198" s="209" t="s">
        <v>120</v>
      </c>
      <c r="C198" s="325">
        <f t="shared" ref="C198:J206" si="87">C185</f>
        <v>4185</v>
      </c>
      <c r="D198" s="325">
        <f t="shared" si="87"/>
        <v>1396</v>
      </c>
      <c r="E198" s="325">
        <f t="shared" si="87"/>
        <v>666</v>
      </c>
      <c r="F198" s="325">
        <f t="shared" si="87"/>
        <v>47.707736389684811</v>
      </c>
      <c r="G198" s="502">
        <f t="shared" si="87"/>
        <v>7005.2602500000003</v>
      </c>
      <c r="H198" s="502">
        <f t="shared" si="87"/>
        <v>2335.08</v>
      </c>
      <c r="I198" s="502">
        <f t="shared" si="87"/>
        <v>991.72753999999998</v>
      </c>
      <c r="J198" s="502">
        <f t="shared" si="87"/>
        <v>42.470816417424672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8" t="s">
        <v>79</v>
      </c>
      <c r="C199" s="325">
        <f t="shared" si="87"/>
        <v>3071</v>
      </c>
      <c r="D199" s="325">
        <f t="shared" si="87"/>
        <v>1024</v>
      </c>
      <c r="E199" s="325">
        <f t="shared" si="87"/>
        <v>666</v>
      </c>
      <c r="F199" s="325">
        <f t="shared" si="87"/>
        <v>65.0390625</v>
      </c>
      <c r="G199" s="502">
        <f t="shared" si="87"/>
        <v>4181.0510000000004</v>
      </c>
      <c r="H199" s="502">
        <f t="shared" si="87"/>
        <v>1393.68</v>
      </c>
      <c r="I199" s="502">
        <f t="shared" si="87"/>
        <v>1061.8716899999999</v>
      </c>
      <c r="J199" s="502">
        <f t="shared" si="87"/>
        <v>76.191929998277928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8" t="s">
        <v>80</v>
      </c>
      <c r="C200" s="325">
        <f t="shared" si="87"/>
        <v>921</v>
      </c>
      <c r="D200" s="325">
        <f t="shared" si="87"/>
        <v>307</v>
      </c>
      <c r="E200" s="325">
        <f t="shared" si="87"/>
        <v>0</v>
      </c>
      <c r="F200" s="325">
        <f t="shared" si="87"/>
        <v>0</v>
      </c>
      <c r="G200" s="502">
        <f t="shared" si="87"/>
        <v>1557.7278099999999</v>
      </c>
      <c r="H200" s="502">
        <f t="shared" si="87"/>
        <v>519.24</v>
      </c>
      <c r="I200" s="502">
        <f t="shared" si="87"/>
        <v>-63.581899999999997</v>
      </c>
      <c r="J200" s="502">
        <f t="shared" si="87"/>
        <v>-12.24518527078037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8" t="s">
        <v>114</v>
      </c>
      <c r="C201" s="325">
        <f t="shared" si="87"/>
        <v>20</v>
      </c>
      <c r="D201" s="325">
        <f t="shared" si="87"/>
        <v>7</v>
      </c>
      <c r="E201" s="325">
        <f t="shared" si="87"/>
        <v>0</v>
      </c>
      <c r="F201" s="325">
        <f t="shared" si="87"/>
        <v>0</v>
      </c>
      <c r="G201" s="502">
        <f t="shared" si="87"/>
        <v>131.24160000000001</v>
      </c>
      <c r="H201" s="502">
        <f t="shared" si="87"/>
        <v>43.75</v>
      </c>
      <c r="I201" s="502">
        <f t="shared" si="87"/>
        <v>0</v>
      </c>
      <c r="J201" s="502">
        <f t="shared" si="87"/>
        <v>0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8" t="s">
        <v>115</v>
      </c>
      <c r="C202" s="325">
        <f t="shared" si="87"/>
        <v>173</v>
      </c>
      <c r="D202" s="325">
        <f t="shared" si="87"/>
        <v>58</v>
      </c>
      <c r="E202" s="325">
        <f t="shared" si="87"/>
        <v>0</v>
      </c>
      <c r="F202" s="325">
        <f t="shared" si="87"/>
        <v>0</v>
      </c>
      <c r="G202" s="502">
        <f t="shared" si="87"/>
        <v>1135.2398400000002</v>
      </c>
      <c r="H202" s="502">
        <f t="shared" si="87"/>
        <v>378.41</v>
      </c>
      <c r="I202" s="502">
        <f t="shared" si="87"/>
        <v>-6.5622499999999997</v>
      </c>
      <c r="J202" s="502">
        <f t="shared" si="87"/>
        <v>-1.7341640020084033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9" t="s">
        <v>112</v>
      </c>
      <c r="C203" s="325">
        <f t="shared" si="87"/>
        <v>4350</v>
      </c>
      <c r="D203" s="325">
        <f t="shared" si="87"/>
        <v>1450</v>
      </c>
      <c r="E203" s="325">
        <f t="shared" si="87"/>
        <v>439</v>
      </c>
      <c r="F203" s="325">
        <f t="shared" si="87"/>
        <v>30.27586206896552</v>
      </c>
      <c r="G203" s="502">
        <f t="shared" si="87"/>
        <v>10640.283499999998</v>
      </c>
      <c r="H203" s="502">
        <f t="shared" si="87"/>
        <v>3546.76</v>
      </c>
      <c r="I203" s="502">
        <f t="shared" si="87"/>
        <v>458.01679999999993</v>
      </c>
      <c r="J203" s="502">
        <f t="shared" si="87"/>
        <v>12.913667685436847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8" t="s">
        <v>108</v>
      </c>
      <c r="C204" s="325">
        <f t="shared" si="87"/>
        <v>150</v>
      </c>
      <c r="D204" s="325">
        <f t="shared" si="87"/>
        <v>50</v>
      </c>
      <c r="E204" s="325">
        <f t="shared" si="87"/>
        <v>17</v>
      </c>
      <c r="F204" s="325">
        <f t="shared" si="87"/>
        <v>34</v>
      </c>
      <c r="G204" s="502">
        <f t="shared" si="87"/>
        <v>318.07650000000001</v>
      </c>
      <c r="H204" s="502">
        <f t="shared" si="87"/>
        <v>106.03</v>
      </c>
      <c r="I204" s="502">
        <f t="shared" si="87"/>
        <v>35.777940000000001</v>
      </c>
      <c r="J204" s="502">
        <f t="shared" si="87"/>
        <v>33.743223615957746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8" t="s">
        <v>81</v>
      </c>
      <c r="C205" s="325">
        <f t="shared" si="87"/>
        <v>3500</v>
      </c>
      <c r="D205" s="325">
        <f t="shared" si="87"/>
        <v>1167</v>
      </c>
      <c r="E205" s="325">
        <f t="shared" si="87"/>
        <v>109</v>
      </c>
      <c r="F205" s="325">
        <f t="shared" si="87"/>
        <v>9.3401885175664106</v>
      </c>
      <c r="G205" s="502">
        <f t="shared" si="87"/>
        <v>9636.0949999999993</v>
      </c>
      <c r="H205" s="502">
        <f t="shared" si="87"/>
        <v>3212.03</v>
      </c>
      <c r="I205" s="502">
        <f t="shared" si="87"/>
        <v>140.46066999999999</v>
      </c>
      <c r="J205" s="502">
        <f t="shared" si="87"/>
        <v>4.3729563547040344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8" t="s">
        <v>109</v>
      </c>
      <c r="C206" s="325">
        <f t="shared" si="87"/>
        <v>700</v>
      </c>
      <c r="D206" s="325">
        <f t="shared" si="87"/>
        <v>233</v>
      </c>
      <c r="E206" s="325">
        <f t="shared" si="87"/>
        <v>313</v>
      </c>
      <c r="F206" s="325">
        <f t="shared" si="87"/>
        <v>134.33476394849785</v>
      </c>
      <c r="G206" s="502">
        <f t="shared" si="87"/>
        <v>686.11199999999997</v>
      </c>
      <c r="H206" s="502">
        <f t="shared" si="87"/>
        <v>228.7</v>
      </c>
      <c r="I206" s="502">
        <f t="shared" si="87"/>
        <v>281.77818999999994</v>
      </c>
      <c r="J206" s="502">
        <f t="shared" si="87"/>
        <v>123.20865325754262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7" t="s">
        <v>123</v>
      </c>
      <c r="C207" s="680">
        <f t="shared" ref="C207:J208" si="88">SUM(C194)</f>
        <v>6950</v>
      </c>
      <c r="D207" s="680">
        <f t="shared" si="88"/>
        <v>2317</v>
      </c>
      <c r="E207" s="680">
        <f t="shared" si="88"/>
        <v>2712</v>
      </c>
      <c r="F207" s="680">
        <f t="shared" si="88"/>
        <v>117.04790677600346</v>
      </c>
      <c r="G207" s="680">
        <f t="shared" si="88"/>
        <v>6763.8789999999999</v>
      </c>
      <c r="H207" s="680">
        <f t="shared" si="88"/>
        <v>2254.63</v>
      </c>
      <c r="I207" s="680">
        <f t="shared" si="88"/>
        <v>2614.0018499999996</v>
      </c>
      <c r="J207" s="680">
        <f t="shared" si="88"/>
        <v>115.93928272044636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7" t="s">
        <v>125</v>
      </c>
      <c r="C208" s="680">
        <f t="shared" si="88"/>
        <v>1850</v>
      </c>
      <c r="D208" s="680">
        <f t="shared" si="88"/>
        <v>617</v>
      </c>
      <c r="E208" s="680">
        <f t="shared" si="88"/>
        <v>634</v>
      </c>
      <c r="F208" s="680">
        <f t="shared" si="88"/>
        <v>102.7552674230146</v>
      </c>
      <c r="G208" s="680">
        <f t="shared" si="88"/>
        <v>1800.4569999999999</v>
      </c>
      <c r="H208" s="680">
        <f t="shared" si="88"/>
        <v>600.15</v>
      </c>
      <c r="I208" s="680">
        <f t="shared" si="88"/>
        <v>609.01379000000009</v>
      </c>
      <c r="J208" s="680">
        <f t="shared" si="88"/>
        <v>101.47692910105808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4" t="s">
        <v>107</v>
      </c>
      <c r="C209" s="535">
        <f t="shared" ref="C209:J209" si="89">C196</f>
        <v>0</v>
      </c>
      <c r="D209" s="535">
        <f t="shared" si="89"/>
        <v>0</v>
      </c>
      <c r="E209" s="535">
        <f t="shared" si="89"/>
        <v>0</v>
      </c>
      <c r="F209" s="535">
        <f t="shared" si="89"/>
        <v>0</v>
      </c>
      <c r="G209" s="536">
        <f t="shared" si="89"/>
        <v>24409.422749999998</v>
      </c>
      <c r="H209" s="536">
        <f t="shared" si="89"/>
        <v>8136.47</v>
      </c>
      <c r="I209" s="536">
        <f t="shared" si="89"/>
        <v>4063.7461899999998</v>
      </c>
      <c r="J209" s="536">
        <f t="shared" si="89"/>
        <v>49.944830989360241</v>
      </c>
    </row>
    <row r="210" spans="1:10" ht="15.75" thickBot="1" x14ac:dyDescent="0.3">
      <c r="A210" s="18">
        <v>1</v>
      </c>
      <c r="B210" s="86" t="s">
        <v>7</v>
      </c>
      <c r="C210" s="11"/>
      <c r="D210" s="11"/>
      <c r="E210" s="254"/>
      <c r="F210" s="11"/>
      <c r="G210" s="503"/>
      <c r="H210" s="503"/>
      <c r="I210" s="504"/>
      <c r="J210" s="503"/>
    </row>
    <row r="211" spans="1:10" ht="34.5" customHeight="1" x14ac:dyDescent="0.25">
      <c r="A211" s="18">
        <v>1</v>
      </c>
      <c r="B211" s="127" t="s">
        <v>126</v>
      </c>
      <c r="C211" s="14"/>
      <c r="D211" s="14"/>
      <c r="E211" s="125"/>
      <c r="F211" s="14"/>
      <c r="G211" s="484"/>
      <c r="H211" s="484"/>
      <c r="I211" s="458"/>
      <c r="J211" s="484"/>
    </row>
    <row r="212" spans="1:10" s="36" customFormat="1" ht="30" x14ac:dyDescent="0.25">
      <c r="A212" s="18">
        <v>1</v>
      </c>
      <c r="B212" s="73" t="s">
        <v>120</v>
      </c>
      <c r="C212" s="114">
        <f>SUM(C213:C216)</f>
        <v>5336</v>
      </c>
      <c r="D212" s="114">
        <f>SUM(D213:D216)</f>
        <v>1779</v>
      </c>
      <c r="E212" s="114">
        <f>SUM(E213:E216)</f>
        <v>2267</v>
      </c>
      <c r="F212" s="114">
        <f>E212/D212*100</f>
        <v>127.43114109050029</v>
      </c>
      <c r="G212" s="466">
        <f>SUM(G213:G216)</f>
        <v>10257.084710000001</v>
      </c>
      <c r="H212" s="466">
        <f>SUM(H213:H216)</f>
        <v>3419.0299999999997</v>
      </c>
      <c r="I212" s="466">
        <f>SUM(I213:I216)</f>
        <v>4852.6366799999996</v>
      </c>
      <c r="J212" s="466">
        <f>I212/H212*100</f>
        <v>141.93021646490379</v>
      </c>
    </row>
    <row r="213" spans="1:10" s="36" customFormat="1" ht="30" x14ac:dyDescent="0.25">
      <c r="A213" s="18">
        <v>1</v>
      </c>
      <c r="B213" s="72" t="s">
        <v>79</v>
      </c>
      <c r="C213" s="114">
        <v>3917</v>
      </c>
      <c r="D213" s="108">
        <f t="shared" ref="D213:D220" si="90">ROUND(C213/12*$B$3,0)</f>
        <v>1306</v>
      </c>
      <c r="E213" s="114">
        <v>1805</v>
      </c>
      <c r="F213" s="114">
        <f>E213/D213*100</f>
        <v>138.20826952526798</v>
      </c>
      <c r="G213" s="730">
        <v>6449.5396000000001</v>
      </c>
      <c r="H213" s="639">
        <f t="shared" ref="H213:H216" si="91">ROUND(G213/12*$B$3,2)</f>
        <v>2149.85</v>
      </c>
      <c r="I213" s="466">
        <v>2902.73279</v>
      </c>
      <c r="J213" s="466">
        <f t="shared" ref="J213:J222" si="92">I213/H213*100</f>
        <v>135.02024745912507</v>
      </c>
    </row>
    <row r="214" spans="1:10" s="36" customFormat="1" ht="30" x14ac:dyDescent="0.25">
      <c r="A214" s="18">
        <v>1</v>
      </c>
      <c r="B214" s="72" t="s">
        <v>80</v>
      </c>
      <c r="C214" s="114">
        <v>1175</v>
      </c>
      <c r="D214" s="108">
        <f t="shared" si="90"/>
        <v>392</v>
      </c>
      <c r="E214" s="114">
        <v>228</v>
      </c>
      <c r="F214" s="114">
        <f>E214/D214*100</f>
        <v>58.163265306122447</v>
      </c>
      <c r="G214" s="466">
        <v>2206.39759</v>
      </c>
      <c r="H214" s="639">
        <f t="shared" si="91"/>
        <v>735.47</v>
      </c>
      <c r="I214" s="466">
        <v>414.37716999999992</v>
      </c>
      <c r="J214" s="466">
        <f t="shared" si="92"/>
        <v>56.34181815709681</v>
      </c>
    </row>
    <row r="215" spans="1:10" s="36" customFormat="1" ht="45" x14ac:dyDescent="0.25">
      <c r="A215" s="18">
        <v>1</v>
      </c>
      <c r="B215" s="72" t="s">
        <v>114</v>
      </c>
      <c r="C215" s="114">
        <v>52</v>
      </c>
      <c r="D215" s="108">
        <f t="shared" si="90"/>
        <v>17</v>
      </c>
      <c r="E215" s="114">
        <v>56</v>
      </c>
      <c r="F215" s="114">
        <f>E215/D215*100</f>
        <v>329.41176470588232</v>
      </c>
      <c r="G215" s="466">
        <v>341.22816</v>
      </c>
      <c r="H215" s="639">
        <f t="shared" si="91"/>
        <v>113.74</v>
      </c>
      <c r="I215" s="466">
        <v>367.47647999999998</v>
      </c>
      <c r="J215" s="466">
        <f t="shared" si="92"/>
        <v>323.08464919992963</v>
      </c>
    </row>
    <row r="216" spans="1:10" s="36" customFormat="1" ht="30" x14ac:dyDescent="0.25">
      <c r="A216" s="18">
        <v>1</v>
      </c>
      <c r="B216" s="72" t="s">
        <v>115</v>
      </c>
      <c r="C216" s="114">
        <v>192</v>
      </c>
      <c r="D216" s="108">
        <f t="shared" si="90"/>
        <v>64</v>
      </c>
      <c r="E216" s="114">
        <v>178</v>
      </c>
      <c r="F216" s="114">
        <f t="shared" ref="F216:F220" si="93">E216/D216*100</f>
        <v>278.125</v>
      </c>
      <c r="G216" s="466">
        <v>1259.9193599999999</v>
      </c>
      <c r="H216" s="639">
        <f t="shared" si="91"/>
        <v>419.97</v>
      </c>
      <c r="I216" s="466">
        <v>1168.05024</v>
      </c>
      <c r="J216" s="466">
        <f t="shared" si="92"/>
        <v>278.1270662190156</v>
      </c>
    </row>
    <row r="217" spans="1:10" s="36" customFormat="1" ht="30" x14ac:dyDescent="0.25">
      <c r="A217" s="18">
        <v>1</v>
      </c>
      <c r="B217" s="73" t="s">
        <v>112</v>
      </c>
      <c r="C217" s="114">
        <f>SUM(C218:C220)</f>
        <v>8769</v>
      </c>
      <c r="D217" s="114">
        <f>SUM(D218:D220)</f>
        <v>2923</v>
      </c>
      <c r="E217" s="114">
        <f>SUM(E218:E220)</f>
        <v>2364</v>
      </c>
      <c r="F217" s="114">
        <f t="shared" si="93"/>
        <v>80.875812521382144</v>
      </c>
      <c r="G217" s="459">
        <f>SUM(G218:G220)</f>
        <v>22940.131579999997</v>
      </c>
      <c r="H217" s="459">
        <f>SUM(H218:H220)</f>
        <v>7646.71</v>
      </c>
      <c r="I217" s="459">
        <f>SUM(I218:I220)</f>
        <v>5811.65038</v>
      </c>
      <c r="J217" s="466">
        <f t="shared" si="92"/>
        <v>76.00197182840725</v>
      </c>
    </row>
    <row r="218" spans="1:10" s="36" customFormat="1" ht="30" x14ac:dyDescent="0.25">
      <c r="A218" s="18">
        <v>1</v>
      </c>
      <c r="B218" s="72" t="s">
        <v>108</v>
      </c>
      <c r="C218" s="114">
        <v>2900</v>
      </c>
      <c r="D218" s="108">
        <f t="shared" si="90"/>
        <v>967</v>
      </c>
      <c r="E218" s="114">
        <v>911</v>
      </c>
      <c r="F218" s="114">
        <f t="shared" si="93"/>
        <v>94.208893485005177</v>
      </c>
      <c r="G218" s="466">
        <f>6149479/1000</f>
        <v>6149.4790000000003</v>
      </c>
      <c r="H218" s="639">
        <f t="shared" ref="H218:H221" si="94">ROUND(G218/12*$B$3,2)</f>
        <v>2049.83</v>
      </c>
      <c r="I218" s="466">
        <v>1931.1581299999998</v>
      </c>
      <c r="J218" s="466">
        <f t="shared" si="92"/>
        <v>94.210648200094639</v>
      </c>
    </row>
    <row r="219" spans="1:10" s="36" customFormat="1" ht="60" x14ac:dyDescent="0.25">
      <c r="A219" s="18">
        <v>1</v>
      </c>
      <c r="B219" s="72" t="s">
        <v>119</v>
      </c>
      <c r="C219" s="114">
        <v>5154</v>
      </c>
      <c r="D219" s="108">
        <f t="shared" si="90"/>
        <v>1718</v>
      </c>
      <c r="E219" s="114">
        <v>1262</v>
      </c>
      <c r="F219" s="114">
        <f t="shared" si="93"/>
        <v>73.457508731082655</v>
      </c>
      <c r="G219" s="466">
        <f>16089838.18/1000</f>
        <v>16089.838179999999</v>
      </c>
      <c r="H219" s="639">
        <f t="shared" si="94"/>
        <v>5363.28</v>
      </c>
      <c r="I219" s="466">
        <v>3724.9646400000001</v>
      </c>
      <c r="J219" s="466">
        <f t="shared" si="92"/>
        <v>69.453107799704668</v>
      </c>
    </row>
    <row r="220" spans="1:10" s="36" customFormat="1" ht="45" x14ac:dyDescent="0.25">
      <c r="A220" s="18">
        <v>1</v>
      </c>
      <c r="B220" s="72" t="s">
        <v>109</v>
      </c>
      <c r="C220" s="114">
        <v>715</v>
      </c>
      <c r="D220" s="108">
        <f t="shared" si="90"/>
        <v>238</v>
      </c>
      <c r="E220" s="114">
        <v>191</v>
      </c>
      <c r="F220" s="114">
        <f t="shared" si="93"/>
        <v>80.252100840336141</v>
      </c>
      <c r="G220" s="466">
        <f>700814.4/1000</f>
        <v>700.81439999999998</v>
      </c>
      <c r="H220" s="639">
        <f t="shared" si="94"/>
        <v>233.6</v>
      </c>
      <c r="I220" s="466">
        <v>155.52760999999998</v>
      </c>
      <c r="J220" s="466">
        <f t="shared" si="92"/>
        <v>66.578600171232864</v>
      </c>
    </row>
    <row r="221" spans="1:10" s="36" customFormat="1" ht="30" x14ac:dyDescent="0.25">
      <c r="A221" s="18"/>
      <c r="B221" s="659" t="s">
        <v>123</v>
      </c>
      <c r="C221" s="114">
        <v>12000</v>
      </c>
      <c r="D221" s="108">
        <f>ROUND(C221/12*$B$3,0)</f>
        <v>4000</v>
      </c>
      <c r="E221" s="114">
        <v>4317</v>
      </c>
      <c r="F221" s="114">
        <f>E221/D221*100</f>
        <v>107.92500000000001</v>
      </c>
      <c r="G221" s="466">
        <v>11678.64</v>
      </c>
      <c r="H221" s="639">
        <f t="shared" si="94"/>
        <v>3892.88</v>
      </c>
      <c r="I221" s="466">
        <v>4168.1000599999998</v>
      </c>
      <c r="J221" s="466">
        <f>I221/H221*100</f>
        <v>107.06983158997964</v>
      </c>
    </row>
    <row r="222" spans="1:10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70">
        <f>G217+G212+G221</f>
        <v>44875.856289999996</v>
      </c>
      <c r="H222" s="470">
        <f>H217+H212+H221</f>
        <v>14958.619999999999</v>
      </c>
      <c r="I222" s="470">
        <f>I217+I212+I221</f>
        <v>14832.387119999999</v>
      </c>
      <c r="J222" s="470">
        <f t="shared" si="92"/>
        <v>99.156119481609934</v>
      </c>
    </row>
    <row r="223" spans="1:10" ht="29.25" x14ac:dyDescent="0.25">
      <c r="A223" s="18">
        <v>1</v>
      </c>
      <c r="B223" s="259" t="s">
        <v>97</v>
      </c>
      <c r="C223" s="257"/>
      <c r="D223" s="257"/>
      <c r="E223" s="257"/>
      <c r="F223" s="257"/>
      <c r="G223" s="505"/>
      <c r="H223" s="505"/>
      <c r="I223" s="505"/>
      <c r="J223" s="505"/>
    </row>
    <row r="224" spans="1:10" ht="30" x14ac:dyDescent="0.25">
      <c r="A224" s="18">
        <v>1</v>
      </c>
      <c r="B224" s="258" t="s">
        <v>120</v>
      </c>
      <c r="C224" s="326">
        <f t="shared" ref="C224:J232" si="95">C212</f>
        <v>5336</v>
      </c>
      <c r="D224" s="326">
        <f t="shared" si="95"/>
        <v>1779</v>
      </c>
      <c r="E224" s="326">
        <f t="shared" si="95"/>
        <v>2267</v>
      </c>
      <c r="F224" s="326">
        <f t="shared" si="95"/>
        <v>127.43114109050029</v>
      </c>
      <c r="G224" s="506">
        <f t="shared" si="95"/>
        <v>10257.084710000001</v>
      </c>
      <c r="H224" s="506">
        <f t="shared" si="95"/>
        <v>3419.0299999999997</v>
      </c>
      <c r="I224" s="506">
        <f t="shared" si="95"/>
        <v>4852.6366799999996</v>
      </c>
      <c r="J224" s="506">
        <f t="shared" si="95"/>
        <v>141.93021646490379</v>
      </c>
    </row>
    <row r="225" spans="1:10" ht="30" x14ac:dyDescent="0.25">
      <c r="A225" s="18">
        <v>1</v>
      </c>
      <c r="B225" s="132" t="s">
        <v>79</v>
      </c>
      <c r="C225" s="326">
        <f t="shared" si="95"/>
        <v>3917</v>
      </c>
      <c r="D225" s="326">
        <f t="shared" si="95"/>
        <v>1306</v>
      </c>
      <c r="E225" s="326">
        <f t="shared" si="95"/>
        <v>1805</v>
      </c>
      <c r="F225" s="326">
        <f t="shared" si="95"/>
        <v>138.20826952526798</v>
      </c>
      <c r="G225" s="506">
        <f t="shared" si="95"/>
        <v>6449.5396000000001</v>
      </c>
      <c r="H225" s="506">
        <f t="shared" si="95"/>
        <v>2149.85</v>
      </c>
      <c r="I225" s="506">
        <f t="shared" si="95"/>
        <v>2902.73279</v>
      </c>
      <c r="J225" s="506">
        <f t="shared" si="95"/>
        <v>135.02024745912507</v>
      </c>
    </row>
    <row r="226" spans="1:10" ht="30" x14ac:dyDescent="0.25">
      <c r="A226" s="18">
        <v>1</v>
      </c>
      <c r="B226" s="132" t="s">
        <v>80</v>
      </c>
      <c r="C226" s="326">
        <f t="shared" si="95"/>
        <v>1175</v>
      </c>
      <c r="D226" s="326">
        <f t="shared" si="95"/>
        <v>392</v>
      </c>
      <c r="E226" s="326">
        <f t="shared" si="95"/>
        <v>228</v>
      </c>
      <c r="F226" s="326">
        <f t="shared" si="95"/>
        <v>58.163265306122447</v>
      </c>
      <c r="G226" s="506">
        <f t="shared" si="95"/>
        <v>2206.39759</v>
      </c>
      <c r="H226" s="506">
        <f t="shared" si="95"/>
        <v>735.47</v>
      </c>
      <c r="I226" s="506">
        <f t="shared" si="95"/>
        <v>414.37716999999992</v>
      </c>
      <c r="J226" s="506">
        <f t="shared" si="95"/>
        <v>56.34181815709681</v>
      </c>
    </row>
    <row r="227" spans="1:10" ht="45" x14ac:dyDescent="0.25">
      <c r="A227" s="18">
        <v>1</v>
      </c>
      <c r="B227" s="132" t="s">
        <v>114</v>
      </c>
      <c r="C227" s="326">
        <f t="shared" si="95"/>
        <v>52</v>
      </c>
      <c r="D227" s="326">
        <f t="shared" si="95"/>
        <v>17</v>
      </c>
      <c r="E227" s="326">
        <f t="shared" si="95"/>
        <v>56</v>
      </c>
      <c r="F227" s="326">
        <f t="shared" si="95"/>
        <v>329.41176470588232</v>
      </c>
      <c r="G227" s="506">
        <f t="shared" si="95"/>
        <v>341.22816</v>
      </c>
      <c r="H227" s="506">
        <f t="shared" si="95"/>
        <v>113.74</v>
      </c>
      <c r="I227" s="506">
        <f t="shared" si="95"/>
        <v>367.47647999999998</v>
      </c>
      <c r="J227" s="506">
        <f t="shared" si="95"/>
        <v>323.08464919992963</v>
      </c>
    </row>
    <row r="228" spans="1:10" ht="30" x14ac:dyDescent="0.25">
      <c r="A228" s="18">
        <v>1</v>
      </c>
      <c r="B228" s="132" t="s">
        <v>115</v>
      </c>
      <c r="C228" s="326">
        <f t="shared" si="95"/>
        <v>192</v>
      </c>
      <c r="D228" s="326">
        <f t="shared" si="95"/>
        <v>64</v>
      </c>
      <c r="E228" s="326">
        <f t="shared" si="95"/>
        <v>178</v>
      </c>
      <c r="F228" s="326">
        <f t="shared" si="95"/>
        <v>278.125</v>
      </c>
      <c r="G228" s="506">
        <f t="shared" si="95"/>
        <v>1259.9193599999999</v>
      </c>
      <c r="H228" s="506">
        <f t="shared" si="95"/>
        <v>419.97</v>
      </c>
      <c r="I228" s="506">
        <f t="shared" si="95"/>
        <v>1168.05024</v>
      </c>
      <c r="J228" s="506">
        <f t="shared" si="95"/>
        <v>278.1270662190156</v>
      </c>
    </row>
    <row r="229" spans="1:10" ht="30" x14ac:dyDescent="0.25">
      <c r="A229" s="18">
        <v>1</v>
      </c>
      <c r="B229" s="258" t="s">
        <v>112</v>
      </c>
      <c r="C229" s="326">
        <f t="shared" si="95"/>
        <v>8769</v>
      </c>
      <c r="D229" s="326">
        <f t="shared" si="95"/>
        <v>2923</v>
      </c>
      <c r="E229" s="326">
        <f t="shared" si="95"/>
        <v>2364</v>
      </c>
      <c r="F229" s="326">
        <f t="shared" si="95"/>
        <v>80.875812521382144</v>
      </c>
      <c r="G229" s="506">
        <f t="shared" si="95"/>
        <v>22940.131579999997</v>
      </c>
      <c r="H229" s="506">
        <f t="shared" si="95"/>
        <v>7646.71</v>
      </c>
      <c r="I229" s="506">
        <f t="shared" si="95"/>
        <v>5811.65038</v>
      </c>
      <c r="J229" s="506">
        <f t="shared" si="95"/>
        <v>76.00197182840725</v>
      </c>
    </row>
    <row r="230" spans="1:10" ht="30" x14ac:dyDescent="0.25">
      <c r="A230" s="18">
        <v>1</v>
      </c>
      <c r="B230" s="132" t="s">
        <v>108</v>
      </c>
      <c r="C230" s="326">
        <f t="shared" si="95"/>
        <v>2900</v>
      </c>
      <c r="D230" s="326">
        <f t="shared" si="95"/>
        <v>967</v>
      </c>
      <c r="E230" s="326">
        <f t="shared" si="95"/>
        <v>911</v>
      </c>
      <c r="F230" s="326">
        <f t="shared" si="95"/>
        <v>94.208893485005177</v>
      </c>
      <c r="G230" s="506">
        <f t="shared" si="95"/>
        <v>6149.4790000000003</v>
      </c>
      <c r="H230" s="506">
        <f t="shared" si="95"/>
        <v>2049.83</v>
      </c>
      <c r="I230" s="506">
        <f t="shared" si="95"/>
        <v>1931.1581299999998</v>
      </c>
      <c r="J230" s="506">
        <f t="shared" si="95"/>
        <v>94.210648200094639</v>
      </c>
    </row>
    <row r="231" spans="1:10" ht="60" x14ac:dyDescent="0.25">
      <c r="A231" s="18">
        <v>1</v>
      </c>
      <c r="B231" s="132" t="s">
        <v>81</v>
      </c>
      <c r="C231" s="326">
        <f t="shared" si="95"/>
        <v>5154</v>
      </c>
      <c r="D231" s="326">
        <f t="shared" si="95"/>
        <v>1718</v>
      </c>
      <c r="E231" s="326">
        <f t="shared" si="95"/>
        <v>1262</v>
      </c>
      <c r="F231" s="326">
        <f t="shared" si="95"/>
        <v>73.457508731082655</v>
      </c>
      <c r="G231" s="506">
        <f t="shared" si="95"/>
        <v>16089.838179999999</v>
      </c>
      <c r="H231" s="506">
        <f t="shared" si="95"/>
        <v>5363.28</v>
      </c>
      <c r="I231" s="506">
        <f t="shared" si="95"/>
        <v>3724.9646400000001</v>
      </c>
      <c r="J231" s="506">
        <f t="shared" si="95"/>
        <v>69.453107799704668</v>
      </c>
    </row>
    <row r="232" spans="1:10" ht="45" x14ac:dyDescent="0.25">
      <c r="A232" s="18">
        <v>1</v>
      </c>
      <c r="B232" s="132" t="s">
        <v>109</v>
      </c>
      <c r="C232" s="326">
        <f t="shared" si="95"/>
        <v>715</v>
      </c>
      <c r="D232" s="326">
        <f t="shared" si="95"/>
        <v>238</v>
      </c>
      <c r="E232" s="326">
        <f t="shared" si="95"/>
        <v>191</v>
      </c>
      <c r="F232" s="326">
        <f t="shared" si="95"/>
        <v>80.252100840336141</v>
      </c>
      <c r="G232" s="506">
        <f t="shared" si="95"/>
        <v>700.81439999999998</v>
      </c>
      <c r="H232" s="506">
        <f t="shared" si="95"/>
        <v>233.6</v>
      </c>
      <c r="I232" s="506">
        <f t="shared" si="95"/>
        <v>155.52760999999998</v>
      </c>
      <c r="J232" s="506">
        <f t="shared" si="95"/>
        <v>66.578600171232864</v>
      </c>
    </row>
    <row r="233" spans="1:10" ht="30" x14ac:dyDescent="0.25">
      <c r="A233" s="18"/>
      <c r="B233" s="132" t="s">
        <v>123</v>
      </c>
      <c r="C233" s="326">
        <f t="shared" ref="C233:J233" si="96">SUM(C221)</f>
        <v>12000</v>
      </c>
      <c r="D233" s="326">
        <f t="shared" si="96"/>
        <v>4000</v>
      </c>
      <c r="E233" s="326">
        <f t="shared" si="96"/>
        <v>4317</v>
      </c>
      <c r="F233" s="326">
        <f t="shared" si="96"/>
        <v>107.92500000000001</v>
      </c>
      <c r="G233" s="326">
        <f t="shared" si="96"/>
        <v>11678.64</v>
      </c>
      <c r="H233" s="326">
        <f t="shared" si="96"/>
        <v>3892.88</v>
      </c>
      <c r="I233" s="326">
        <f t="shared" si="96"/>
        <v>4168.1000599999998</v>
      </c>
      <c r="J233" s="326">
        <f t="shared" si="96"/>
        <v>107.06983158997964</v>
      </c>
    </row>
    <row r="234" spans="1:10" x14ac:dyDescent="0.25">
      <c r="A234" s="18">
        <v>1</v>
      </c>
      <c r="B234" s="133" t="s">
        <v>4</v>
      </c>
      <c r="C234" s="131">
        <f t="shared" ref="C234:J234" si="97">C222</f>
        <v>0</v>
      </c>
      <c r="D234" s="131">
        <f t="shared" si="97"/>
        <v>0</v>
      </c>
      <c r="E234" s="131">
        <f t="shared" si="97"/>
        <v>0</v>
      </c>
      <c r="F234" s="131">
        <f t="shared" si="97"/>
        <v>0</v>
      </c>
      <c r="G234" s="507">
        <f t="shared" si="97"/>
        <v>44875.856289999996</v>
      </c>
      <c r="H234" s="507">
        <f t="shared" si="97"/>
        <v>14958.619999999999</v>
      </c>
      <c r="I234" s="507">
        <f t="shared" si="97"/>
        <v>14832.387119999999</v>
      </c>
      <c r="J234" s="507">
        <f t="shared" si="97"/>
        <v>99.156119481609934</v>
      </c>
    </row>
    <row r="235" spans="1:10" ht="15.75" thickBot="1" x14ac:dyDescent="0.3">
      <c r="A235" s="18">
        <v>1</v>
      </c>
      <c r="B235" s="86" t="s">
        <v>8</v>
      </c>
      <c r="C235" s="11"/>
      <c r="D235" s="11"/>
      <c r="E235" s="254"/>
      <c r="F235" s="11"/>
      <c r="G235" s="503"/>
      <c r="H235" s="503"/>
      <c r="I235" s="504"/>
      <c r="J235" s="503"/>
    </row>
    <row r="236" spans="1:10" ht="45.75" customHeight="1" x14ac:dyDescent="0.25">
      <c r="A236" s="18">
        <v>1</v>
      </c>
      <c r="B236" s="127" t="s">
        <v>52</v>
      </c>
      <c r="C236" s="167"/>
      <c r="D236" s="167"/>
      <c r="E236" s="167"/>
      <c r="F236" s="167"/>
      <c r="G236" s="508"/>
      <c r="H236" s="508"/>
      <c r="I236" s="508"/>
      <c r="J236" s="508"/>
    </row>
    <row r="237" spans="1:10" s="36" customFormat="1" ht="30" x14ac:dyDescent="0.25">
      <c r="A237" s="18">
        <v>1</v>
      </c>
      <c r="B237" s="73" t="s">
        <v>120</v>
      </c>
      <c r="C237" s="114">
        <f>SUM(C238:C241)</f>
        <v>4546</v>
      </c>
      <c r="D237" s="114">
        <f>SUM(D238:D241)</f>
        <v>1516</v>
      </c>
      <c r="E237" s="114">
        <f>SUM(E238:E241)</f>
        <v>1820</v>
      </c>
      <c r="F237" s="114">
        <f t="shared" ref="F237:F247" si="98">E237/D237*100</f>
        <v>120.05277044854881</v>
      </c>
      <c r="G237" s="508">
        <f>SUM(G238:G241)</f>
        <v>7810.0555000000004</v>
      </c>
      <c r="H237" s="508">
        <f>SUM(H238:H241)</f>
        <v>2603.34</v>
      </c>
      <c r="I237" s="508">
        <f>SUM(I238:I241)</f>
        <v>3269.8073700000004</v>
      </c>
      <c r="J237" s="466">
        <f t="shared" ref="J237:J249" si="99">I237/H237*100</f>
        <v>125.6004736223467</v>
      </c>
    </row>
    <row r="238" spans="1:10" s="36" customFormat="1" ht="30" x14ac:dyDescent="0.25">
      <c r="A238" s="18">
        <v>1</v>
      </c>
      <c r="B238" s="72" t="s">
        <v>79</v>
      </c>
      <c r="C238" s="114">
        <v>3338</v>
      </c>
      <c r="D238" s="108">
        <f t="shared" ref="D238:D245" si="100">ROUND(C238/12*$B$3,0)</f>
        <v>1113</v>
      </c>
      <c r="E238" s="114">
        <v>1273</v>
      </c>
      <c r="F238" s="114">
        <f t="shared" si="98"/>
        <v>114.37556154537288</v>
      </c>
      <c r="G238" s="508">
        <v>4656.8214000000007</v>
      </c>
      <c r="H238" s="639">
        <f t="shared" ref="H238:H241" si="101">ROUND(G238/12*$B$3,2)</f>
        <v>1552.27</v>
      </c>
      <c r="I238" s="508">
        <v>1857.7019500000001</v>
      </c>
      <c r="J238" s="466">
        <f t="shared" si="99"/>
        <v>119.67647058823529</v>
      </c>
    </row>
    <row r="239" spans="1:10" s="36" customFormat="1" ht="30" x14ac:dyDescent="0.25">
      <c r="A239" s="18">
        <v>1</v>
      </c>
      <c r="B239" s="72" t="s">
        <v>80</v>
      </c>
      <c r="C239" s="114">
        <v>1001</v>
      </c>
      <c r="D239" s="108">
        <f t="shared" si="100"/>
        <v>334</v>
      </c>
      <c r="E239" s="114">
        <v>445</v>
      </c>
      <c r="F239" s="114">
        <f t="shared" si="98"/>
        <v>133.23353293413174</v>
      </c>
      <c r="G239" s="508">
        <v>1794.88354</v>
      </c>
      <c r="H239" s="639">
        <f t="shared" si="101"/>
        <v>598.29</v>
      </c>
      <c r="I239" s="508">
        <v>742.77326000000016</v>
      </c>
      <c r="J239" s="466">
        <f t="shared" si="99"/>
        <v>124.14936903508335</v>
      </c>
    </row>
    <row r="240" spans="1:10" s="36" customFormat="1" ht="45" x14ac:dyDescent="0.25">
      <c r="A240" s="18">
        <v>1</v>
      </c>
      <c r="B240" s="72" t="s">
        <v>114</v>
      </c>
      <c r="C240" s="114">
        <v>67</v>
      </c>
      <c r="D240" s="108">
        <f t="shared" si="100"/>
        <v>22</v>
      </c>
      <c r="E240" s="114">
        <v>0</v>
      </c>
      <c r="F240" s="114">
        <f t="shared" si="98"/>
        <v>0</v>
      </c>
      <c r="G240" s="508">
        <v>439.65935999999999</v>
      </c>
      <c r="H240" s="639">
        <f t="shared" si="101"/>
        <v>146.55000000000001</v>
      </c>
      <c r="I240" s="508">
        <v>0</v>
      </c>
      <c r="J240" s="466">
        <f t="shared" si="99"/>
        <v>0</v>
      </c>
    </row>
    <row r="241" spans="1:247" s="36" customFormat="1" ht="30" x14ac:dyDescent="0.25">
      <c r="A241" s="18">
        <v>1</v>
      </c>
      <c r="B241" s="72" t="s">
        <v>115</v>
      </c>
      <c r="C241" s="114">
        <v>140</v>
      </c>
      <c r="D241" s="108">
        <f t="shared" si="100"/>
        <v>47</v>
      </c>
      <c r="E241" s="114">
        <v>102</v>
      </c>
      <c r="F241" s="114">
        <f t="shared" si="98"/>
        <v>217.02127659574467</v>
      </c>
      <c r="G241" s="508">
        <v>918.69119999999998</v>
      </c>
      <c r="H241" s="639">
        <f t="shared" si="101"/>
        <v>306.23</v>
      </c>
      <c r="I241" s="508">
        <v>669.33216000000004</v>
      </c>
      <c r="J241" s="466">
        <f t="shared" si="99"/>
        <v>218.57171407112301</v>
      </c>
    </row>
    <row r="242" spans="1:247" s="36" customFormat="1" ht="30" x14ac:dyDescent="0.25">
      <c r="A242" s="18">
        <v>1</v>
      </c>
      <c r="B242" s="73" t="s">
        <v>112</v>
      </c>
      <c r="C242" s="114">
        <f>SUM(C243:C245)</f>
        <v>8964</v>
      </c>
      <c r="D242" s="114">
        <f>SUM(D243:D245)</f>
        <v>2987</v>
      </c>
      <c r="E242" s="114">
        <f>SUM(E243:E245)</f>
        <v>3053</v>
      </c>
      <c r="F242" s="114">
        <f t="shared" si="98"/>
        <v>102.20957482423836</v>
      </c>
      <c r="G242" s="459">
        <f>SUM(G243:G245)</f>
        <v>20554.01211</v>
      </c>
      <c r="H242" s="459">
        <f>SUM(H243:H245)</f>
        <v>6851.34</v>
      </c>
      <c r="I242" s="459">
        <f>SUM(I243:I245)</f>
        <v>9502.4985800000013</v>
      </c>
      <c r="J242" s="466">
        <f t="shared" si="99"/>
        <v>138.69547533767118</v>
      </c>
    </row>
    <row r="243" spans="1:247" s="36" customFormat="1" ht="30" x14ac:dyDescent="0.25">
      <c r="A243" s="18">
        <v>1</v>
      </c>
      <c r="B243" s="72" t="s">
        <v>108</v>
      </c>
      <c r="C243" s="114">
        <v>700</v>
      </c>
      <c r="D243" s="108">
        <f t="shared" si="100"/>
        <v>233</v>
      </c>
      <c r="E243" s="114">
        <v>339</v>
      </c>
      <c r="F243" s="114">
        <f t="shared" si="98"/>
        <v>145.49356223175965</v>
      </c>
      <c r="G243" s="508">
        <f>1484357/1000</f>
        <v>1484.357</v>
      </c>
      <c r="H243" s="639">
        <f t="shared" ref="H243:H248" si="102">ROUND(G243/12*$B$3,2)</f>
        <v>494.79</v>
      </c>
      <c r="I243" s="508">
        <v>712.15985000000001</v>
      </c>
      <c r="J243" s="466">
        <f t="shared" si="99"/>
        <v>143.93173871743568</v>
      </c>
    </row>
    <row r="244" spans="1:247" s="36" customFormat="1" ht="60" x14ac:dyDescent="0.25">
      <c r="A244" s="18">
        <v>1</v>
      </c>
      <c r="B244" s="72" t="s">
        <v>119</v>
      </c>
      <c r="C244" s="114">
        <v>6187</v>
      </c>
      <c r="D244" s="108">
        <f t="shared" si="100"/>
        <v>2062</v>
      </c>
      <c r="E244" s="114">
        <v>1878</v>
      </c>
      <c r="F244" s="114">
        <f t="shared" si="98"/>
        <v>91.076624636275454</v>
      </c>
      <c r="G244" s="508">
        <f>17033862.79/1000</f>
        <v>17033.862789999999</v>
      </c>
      <c r="H244" s="639">
        <f t="shared" si="102"/>
        <v>5677.95</v>
      </c>
      <c r="I244" s="508">
        <v>7902.6480900000006</v>
      </c>
      <c r="J244" s="466">
        <f t="shared" si="99"/>
        <v>139.18136105460599</v>
      </c>
    </row>
    <row r="245" spans="1:247" s="36" customFormat="1" ht="45" x14ac:dyDescent="0.25">
      <c r="A245" s="18">
        <v>1</v>
      </c>
      <c r="B245" s="72" t="s">
        <v>109</v>
      </c>
      <c r="C245" s="114">
        <v>2077</v>
      </c>
      <c r="D245" s="108">
        <f t="shared" si="100"/>
        <v>692</v>
      </c>
      <c r="E245" s="114">
        <v>836</v>
      </c>
      <c r="F245" s="114">
        <f t="shared" si="98"/>
        <v>120.80924855491328</v>
      </c>
      <c r="G245" s="508">
        <f>2035792.32/1000</f>
        <v>2035.79232</v>
      </c>
      <c r="H245" s="639">
        <f t="shared" si="102"/>
        <v>678.6</v>
      </c>
      <c r="I245" s="508">
        <v>887.69063999999992</v>
      </c>
      <c r="J245" s="466">
        <f t="shared" si="99"/>
        <v>130.81206012378425</v>
      </c>
    </row>
    <row r="246" spans="1:247" s="36" customFormat="1" ht="30" x14ac:dyDescent="0.25">
      <c r="A246" s="18"/>
      <c r="B246" s="659" t="s">
        <v>123</v>
      </c>
      <c r="C246" s="114">
        <v>9234</v>
      </c>
      <c r="D246" s="108">
        <f>ROUND(C246/12*$B$3,0)</f>
        <v>3078</v>
      </c>
      <c r="E246" s="114">
        <v>3056</v>
      </c>
      <c r="F246" s="114">
        <f t="shared" si="98"/>
        <v>99.285250162443134</v>
      </c>
      <c r="G246" s="508">
        <v>8986.7134800000003</v>
      </c>
      <c r="H246" s="639">
        <f t="shared" si="102"/>
        <v>2995.57</v>
      </c>
      <c r="I246" s="508">
        <v>2935.4725400000007</v>
      </c>
      <c r="J246" s="466">
        <f>I246/H246*100</f>
        <v>97.993788828169613</v>
      </c>
    </row>
    <row r="247" spans="1:247" s="36" customFormat="1" ht="30" x14ac:dyDescent="0.25">
      <c r="A247" s="18"/>
      <c r="B247" s="681" t="s">
        <v>124</v>
      </c>
      <c r="C247" s="114">
        <v>910</v>
      </c>
      <c r="D247" s="108">
        <f>ROUND(C247/12*$B$3,0)</f>
        <v>303</v>
      </c>
      <c r="E247" s="114">
        <v>611</v>
      </c>
      <c r="F247" s="114">
        <f t="shared" si="98"/>
        <v>201.65016501650163</v>
      </c>
      <c r="G247" s="508">
        <v>885.63020000000006</v>
      </c>
      <c r="H247" s="639">
        <f t="shared" si="102"/>
        <v>295.20999999999998</v>
      </c>
      <c r="I247" s="508">
        <v>583.19751000000008</v>
      </c>
      <c r="J247" s="466">
        <f>I247/H247*100</f>
        <v>197.55343992412185</v>
      </c>
    </row>
    <row r="248" spans="1:247" s="36" customFormat="1" ht="18.75" customHeight="1" thickBot="1" x14ac:dyDescent="0.3">
      <c r="A248" s="18"/>
      <c r="B248" s="704" t="s">
        <v>125</v>
      </c>
      <c r="C248" s="175"/>
      <c r="D248" s="301">
        <f>ROUND(C248/12*$B$3,0)</f>
        <v>0</v>
      </c>
      <c r="E248" s="175"/>
      <c r="F248" s="175"/>
      <c r="G248" s="705"/>
      <c r="H248" s="640">
        <f t="shared" si="102"/>
        <v>0</v>
      </c>
      <c r="I248" s="705"/>
      <c r="J248" s="647"/>
    </row>
    <row r="249" spans="1:247" s="36" customFormat="1" ht="16.5" customHeight="1" thickBot="1" x14ac:dyDescent="0.3">
      <c r="A249" s="18">
        <v>1</v>
      </c>
      <c r="B249" s="205" t="s">
        <v>3</v>
      </c>
      <c r="C249" s="340"/>
      <c r="D249" s="340"/>
      <c r="E249" s="340"/>
      <c r="F249" s="340"/>
      <c r="G249" s="528">
        <f>G242+G237+G246</f>
        <v>37350.781089999997</v>
      </c>
      <c r="H249" s="528">
        <f>H242+H237+H246</f>
        <v>12450.25</v>
      </c>
      <c r="I249" s="528">
        <f>I242+I237+I246</f>
        <v>15707.778490000002</v>
      </c>
      <c r="J249" s="472">
        <f t="shared" si="99"/>
        <v>126.16436208108273</v>
      </c>
    </row>
    <row r="250" spans="1:247" x14ac:dyDescent="0.25">
      <c r="A250" s="18">
        <v>1</v>
      </c>
      <c r="B250" s="261" t="s">
        <v>98</v>
      </c>
      <c r="C250" s="262"/>
      <c r="D250" s="262"/>
      <c r="E250" s="262"/>
      <c r="F250" s="262"/>
      <c r="G250" s="509"/>
      <c r="H250" s="509"/>
      <c r="I250" s="509"/>
      <c r="J250" s="509"/>
    </row>
    <row r="251" spans="1:247" s="10" customFormat="1" ht="30" x14ac:dyDescent="0.25">
      <c r="A251" s="18">
        <v>1</v>
      </c>
      <c r="B251" s="229" t="s">
        <v>120</v>
      </c>
      <c r="C251" s="327">
        <f t="shared" ref="C251:J259" si="103">C237</f>
        <v>4546</v>
      </c>
      <c r="D251" s="327">
        <f t="shared" si="103"/>
        <v>1516</v>
      </c>
      <c r="E251" s="327">
        <f t="shared" si="103"/>
        <v>1820</v>
      </c>
      <c r="F251" s="327">
        <f t="shared" si="103"/>
        <v>120.05277044854881</v>
      </c>
      <c r="G251" s="510">
        <f t="shared" si="103"/>
        <v>7810.0555000000004</v>
      </c>
      <c r="H251" s="510">
        <f t="shared" si="103"/>
        <v>2603.34</v>
      </c>
      <c r="I251" s="510">
        <f t="shared" si="103"/>
        <v>3269.8073700000004</v>
      </c>
      <c r="J251" s="510">
        <f t="shared" si="103"/>
        <v>125.6004736223467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7" t="s">
        <v>79</v>
      </c>
      <c r="C252" s="327">
        <f t="shared" si="103"/>
        <v>3338</v>
      </c>
      <c r="D252" s="327">
        <f t="shared" si="103"/>
        <v>1113</v>
      </c>
      <c r="E252" s="327">
        <f t="shared" si="103"/>
        <v>1273</v>
      </c>
      <c r="F252" s="327">
        <f t="shared" si="103"/>
        <v>114.37556154537288</v>
      </c>
      <c r="G252" s="510">
        <f t="shared" si="103"/>
        <v>4656.8214000000007</v>
      </c>
      <c r="H252" s="510">
        <f t="shared" si="103"/>
        <v>1552.27</v>
      </c>
      <c r="I252" s="510">
        <f t="shared" si="103"/>
        <v>1857.7019500000001</v>
      </c>
      <c r="J252" s="510">
        <f t="shared" si="103"/>
        <v>119.67647058823529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7" t="s">
        <v>80</v>
      </c>
      <c r="C253" s="327">
        <f t="shared" si="103"/>
        <v>1001</v>
      </c>
      <c r="D253" s="327">
        <f t="shared" si="103"/>
        <v>334</v>
      </c>
      <c r="E253" s="327">
        <f t="shared" si="103"/>
        <v>445</v>
      </c>
      <c r="F253" s="327">
        <f t="shared" si="103"/>
        <v>133.23353293413174</v>
      </c>
      <c r="G253" s="510">
        <f t="shared" si="103"/>
        <v>1794.88354</v>
      </c>
      <c r="H253" s="510">
        <f t="shared" si="103"/>
        <v>598.29</v>
      </c>
      <c r="I253" s="510">
        <f t="shared" si="103"/>
        <v>742.77326000000016</v>
      </c>
      <c r="J253" s="510">
        <f t="shared" si="103"/>
        <v>124.14936903508335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7" t="s">
        <v>114</v>
      </c>
      <c r="C254" s="327">
        <f t="shared" si="103"/>
        <v>67</v>
      </c>
      <c r="D254" s="327">
        <f t="shared" si="103"/>
        <v>22</v>
      </c>
      <c r="E254" s="327">
        <f t="shared" si="103"/>
        <v>0</v>
      </c>
      <c r="F254" s="327">
        <f t="shared" si="103"/>
        <v>0</v>
      </c>
      <c r="G254" s="510">
        <f t="shared" si="103"/>
        <v>439.65935999999999</v>
      </c>
      <c r="H254" s="510">
        <f t="shared" si="103"/>
        <v>146.55000000000001</v>
      </c>
      <c r="I254" s="510">
        <f t="shared" si="103"/>
        <v>0</v>
      </c>
      <c r="J254" s="510">
        <f t="shared" si="103"/>
        <v>0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7" t="s">
        <v>115</v>
      </c>
      <c r="C255" s="327">
        <f t="shared" si="103"/>
        <v>140</v>
      </c>
      <c r="D255" s="327">
        <f t="shared" si="103"/>
        <v>47</v>
      </c>
      <c r="E255" s="327">
        <f t="shared" si="103"/>
        <v>102</v>
      </c>
      <c r="F255" s="327">
        <f t="shared" si="103"/>
        <v>217.02127659574467</v>
      </c>
      <c r="G255" s="510">
        <f t="shared" si="103"/>
        <v>918.69119999999998</v>
      </c>
      <c r="H255" s="510">
        <f t="shared" si="103"/>
        <v>306.23</v>
      </c>
      <c r="I255" s="510">
        <f t="shared" si="103"/>
        <v>669.33216000000004</v>
      </c>
      <c r="J255" s="510">
        <f t="shared" si="103"/>
        <v>218.57171407112301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9" t="s">
        <v>112</v>
      </c>
      <c r="C256" s="327">
        <f t="shared" si="103"/>
        <v>8964</v>
      </c>
      <c r="D256" s="327">
        <f t="shared" si="103"/>
        <v>2987</v>
      </c>
      <c r="E256" s="327">
        <f t="shared" si="103"/>
        <v>3053</v>
      </c>
      <c r="F256" s="327">
        <f t="shared" si="103"/>
        <v>102.20957482423836</v>
      </c>
      <c r="G256" s="510">
        <f t="shared" si="103"/>
        <v>20554.01211</v>
      </c>
      <c r="H256" s="510">
        <f t="shared" si="103"/>
        <v>6851.34</v>
      </c>
      <c r="I256" s="510">
        <f t="shared" si="103"/>
        <v>9502.4985800000013</v>
      </c>
      <c r="J256" s="510">
        <f t="shared" si="103"/>
        <v>138.69547533767118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7" t="s">
        <v>108</v>
      </c>
      <c r="C257" s="327">
        <f t="shared" si="103"/>
        <v>700</v>
      </c>
      <c r="D257" s="327">
        <f t="shared" si="103"/>
        <v>233</v>
      </c>
      <c r="E257" s="327">
        <f t="shared" si="103"/>
        <v>339</v>
      </c>
      <c r="F257" s="327">
        <f t="shared" si="103"/>
        <v>145.49356223175965</v>
      </c>
      <c r="G257" s="510">
        <f t="shared" si="103"/>
        <v>1484.357</v>
      </c>
      <c r="H257" s="510">
        <f t="shared" si="103"/>
        <v>494.79</v>
      </c>
      <c r="I257" s="510">
        <f t="shared" si="103"/>
        <v>712.15985000000001</v>
      </c>
      <c r="J257" s="510">
        <f t="shared" si="103"/>
        <v>143.93173871743568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7" t="s">
        <v>81</v>
      </c>
      <c r="C258" s="327">
        <f t="shared" si="103"/>
        <v>6187</v>
      </c>
      <c r="D258" s="327">
        <f t="shared" si="103"/>
        <v>2062</v>
      </c>
      <c r="E258" s="327">
        <f t="shared" si="103"/>
        <v>1878</v>
      </c>
      <c r="F258" s="327">
        <f t="shared" si="103"/>
        <v>91.076624636275454</v>
      </c>
      <c r="G258" s="510">
        <f t="shared" si="103"/>
        <v>17033.862789999999</v>
      </c>
      <c r="H258" s="510">
        <f t="shared" si="103"/>
        <v>5677.95</v>
      </c>
      <c r="I258" s="510">
        <f t="shared" si="103"/>
        <v>7902.6480900000006</v>
      </c>
      <c r="J258" s="510">
        <f t="shared" si="103"/>
        <v>139.18136105460599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7" t="s">
        <v>109</v>
      </c>
      <c r="C259" s="327">
        <f t="shared" si="103"/>
        <v>2077</v>
      </c>
      <c r="D259" s="327">
        <f t="shared" si="103"/>
        <v>692</v>
      </c>
      <c r="E259" s="327">
        <f t="shared" si="103"/>
        <v>836</v>
      </c>
      <c r="F259" s="327">
        <f t="shared" si="103"/>
        <v>120.80924855491328</v>
      </c>
      <c r="G259" s="510">
        <f t="shared" si="103"/>
        <v>2035.79232</v>
      </c>
      <c r="H259" s="510">
        <f t="shared" si="103"/>
        <v>678.6</v>
      </c>
      <c r="I259" s="510">
        <f t="shared" si="103"/>
        <v>887.69063999999992</v>
      </c>
      <c r="J259" s="510">
        <f t="shared" si="103"/>
        <v>130.81206012378425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7" t="s">
        <v>123</v>
      </c>
      <c r="C260" s="327">
        <f t="shared" ref="C260:J262" si="104">SUM(C246)</f>
        <v>9234</v>
      </c>
      <c r="D260" s="327">
        <f t="shared" si="104"/>
        <v>3078</v>
      </c>
      <c r="E260" s="327">
        <f t="shared" si="104"/>
        <v>3056</v>
      </c>
      <c r="F260" s="327">
        <f t="shared" si="104"/>
        <v>99.285250162443134</v>
      </c>
      <c r="G260" s="327">
        <f t="shared" si="104"/>
        <v>8986.7134800000003</v>
      </c>
      <c r="H260" s="327">
        <f t="shared" si="104"/>
        <v>2995.57</v>
      </c>
      <c r="I260" s="327">
        <f t="shared" si="104"/>
        <v>2935.4725400000007</v>
      </c>
      <c r="J260" s="327">
        <f t="shared" si="104"/>
        <v>97.993788828169613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7" t="s">
        <v>124</v>
      </c>
      <c r="C261" s="327">
        <f t="shared" si="104"/>
        <v>910</v>
      </c>
      <c r="D261" s="327">
        <f t="shared" si="104"/>
        <v>303</v>
      </c>
      <c r="E261" s="327">
        <f t="shared" si="104"/>
        <v>611</v>
      </c>
      <c r="F261" s="327">
        <f t="shared" si="104"/>
        <v>201.65016501650163</v>
      </c>
      <c r="G261" s="327">
        <f t="shared" si="104"/>
        <v>885.63020000000006</v>
      </c>
      <c r="H261" s="327">
        <f t="shared" si="104"/>
        <v>295.20999999999998</v>
      </c>
      <c r="I261" s="327">
        <f t="shared" si="104"/>
        <v>583.19751000000008</v>
      </c>
      <c r="J261" s="327">
        <f t="shared" si="104"/>
        <v>197.55343992412185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7" t="s">
        <v>125</v>
      </c>
      <c r="C262" s="327">
        <f t="shared" si="104"/>
        <v>0</v>
      </c>
      <c r="D262" s="327">
        <f t="shared" si="104"/>
        <v>0</v>
      </c>
      <c r="E262" s="327">
        <f t="shared" si="104"/>
        <v>0</v>
      </c>
      <c r="F262" s="327">
        <f t="shared" si="104"/>
        <v>0</v>
      </c>
      <c r="G262" s="327">
        <f t="shared" si="104"/>
        <v>0</v>
      </c>
      <c r="H262" s="327">
        <f t="shared" si="104"/>
        <v>0</v>
      </c>
      <c r="I262" s="327">
        <f t="shared" si="104"/>
        <v>0</v>
      </c>
      <c r="J262" s="327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4" t="s">
        <v>107</v>
      </c>
      <c r="C263" s="263">
        <f t="shared" ref="C263:J263" si="105">C249</f>
        <v>0</v>
      </c>
      <c r="D263" s="263">
        <f t="shared" si="105"/>
        <v>0</v>
      </c>
      <c r="E263" s="263">
        <f t="shared" si="105"/>
        <v>0</v>
      </c>
      <c r="F263" s="263">
        <f t="shared" si="105"/>
        <v>0</v>
      </c>
      <c r="G263" s="511">
        <f t="shared" si="105"/>
        <v>37350.781089999997</v>
      </c>
      <c r="H263" s="511">
        <f t="shared" si="105"/>
        <v>12450.25</v>
      </c>
      <c r="I263" s="511">
        <f t="shared" si="105"/>
        <v>15707.778490000002</v>
      </c>
      <c r="J263" s="511">
        <f t="shared" si="105"/>
        <v>126.16436208108273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5" t="s">
        <v>14</v>
      </c>
      <c r="C264" s="5"/>
      <c r="D264" s="5"/>
      <c r="E264" s="168"/>
      <c r="F264" s="5"/>
      <c r="G264" s="503"/>
      <c r="H264" s="503"/>
      <c r="I264" s="504"/>
      <c r="J264" s="503"/>
    </row>
    <row r="265" spans="1:247" ht="29.25" x14ac:dyDescent="0.25">
      <c r="A265" s="18">
        <v>1</v>
      </c>
      <c r="B265" s="127" t="s">
        <v>51</v>
      </c>
      <c r="C265" s="125"/>
      <c r="D265" s="125"/>
      <c r="E265" s="125"/>
      <c r="F265" s="125"/>
      <c r="G265" s="512"/>
      <c r="H265" s="512"/>
      <c r="I265" s="512"/>
      <c r="J265" s="512"/>
    </row>
    <row r="266" spans="1:247" s="36" customFormat="1" ht="30" x14ac:dyDescent="0.25">
      <c r="A266" s="18">
        <v>1</v>
      </c>
      <c r="B266" s="73" t="s">
        <v>120</v>
      </c>
      <c r="C266" s="114">
        <f>SUM(C267:C270)</f>
        <v>7401</v>
      </c>
      <c r="D266" s="114">
        <f>SUM(D267:D270)</f>
        <v>2467</v>
      </c>
      <c r="E266" s="114">
        <f>SUM(E267:E270)</f>
        <v>2851</v>
      </c>
      <c r="F266" s="114">
        <f>E266/D266*100</f>
        <v>115.56546412646939</v>
      </c>
      <c r="G266" s="466">
        <f>SUM(G267:G270)</f>
        <v>12361.96379</v>
      </c>
      <c r="H266" s="466">
        <f>SUM(H267:H270)</f>
        <v>4120.6500000000005</v>
      </c>
      <c r="I266" s="466">
        <f>SUM(I267:I270)</f>
        <v>5191.5599999999995</v>
      </c>
      <c r="J266" s="466">
        <f t="shared" ref="J266:J278" si="106">I266/H266*100</f>
        <v>125.98886098067051</v>
      </c>
    </row>
    <row r="267" spans="1:247" s="36" customFormat="1" ht="30" x14ac:dyDescent="0.25">
      <c r="A267" s="18">
        <v>1</v>
      </c>
      <c r="B267" s="72" t="s">
        <v>79</v>
      </c>
      <c r="C267" s="114">
        <v>5485</v>
      </c>
      <c r="D267" s="108">
        <f t="shared" ref="D267:D274" si="107">ROUND(C267/12*$B$3,0)</f>
        <v>1828</v>
      </c>
      <c r="E267" s="114">
        <v>2273</v>
      </c>
      <c r="F267" s="114">
        <f>E267/D267*100</f>
        <v>124.34354485776807</v>
      </c>
      <c r="G267" s="466">
        <v>7514.5098000000007</v>
      </c>
      <c r="H267" s="639">
        <f t="shared" ref="H267:H270" si="108">ROUND(G267/12*$B$3,2)</f>
        <v>2504.84</v>
      </c>
      <c r="I267" s="508">
        <v>2898.4552899999999</v>
      </c>
      <c r="J267" s="466">
        <f t="shared" si="106"/>
        <v>115.71418893023106</v>
      </c>
    </row>
    <row r="268" spans="1:247" s="36" customFormat="1" ht="30" x14ac:dyDescent="0.25">
      <c r="A268" s="18">
        <v>1</v>
      </c>
      <c r="B268" s="72" t="s">
        <v>80</v>
      </c>
      <c r="C268" s="114">
        <v>1646</v>
      </c>
      <c r="D268" s="108">
        <f t="shared" si="107"/>
        <v>549</v>
      </c>
      <c r="E268" s="114">
        <v>320</v>
      </c>
      <c r="F268" s="114">
        <f>E268/D268*100</f>
        <v>58.287795992714031</v>
      </c>
      <c r="G268" s="466">
        <v>3075.6923900000002</v>
      </c>
      <c r="H268" s="639">
        <f t="shared" si="108"/>
        <v>1025.23</v>
      </c>
      <c r="I268" s="508">
        <v>600.0880699999999</v>
      </c>
      <c r="J268" s="466">
        <f t="shared" si="106"/>
        <v>58.532043541449227</v>
      </c>
    </row>
    <row r="269" spans="1:247" s="36" customFormat="1" ht="45" x14ac:dyDescent="0.25">
      <c r="A269" s="18">
        <v>1</v>
      </c>
      <c r="B269" s="72" t="s">
        <v>114</v>
      </c>
      <c r="C269" s="114">
        <v>120</v>
      </c>
      <c r="D269" s="108">
        <f t="shared" si="107"/>
        <v>40</v>
      </c>
      <c r="E269" s="114">
        <v>134</v>
      </c>
      <c r="F269" s="114">
        <f>E269/D269*100</f>
        <v>335</v>
      </c>
      <c r="G269" s="466">
        <v>787.44960000000003</v>
      </c>
      <c r="H269" s="639">
        <f t="shared" si="108"/>
        <v>262.48</v>
      </c>
      <c r="I269" s="508">
        <v>879.31871999999998</v>
      </c>
      <c r="J269" s="466">
        <f t="shared" si="106"/>
        <v>335.00408412069487</v>
      </c>
    </row>
    <row r="270" spans="1:247" s="36" customFormat="1" ht="30" x14ac:dyDescent="0.25">
      <c r="A270" s="18">
        <v>1</v>
      </c>
      <c r="B270" s="72" t="s">
        <v>115</v>
      </c>
      <c r="C270" s="114">
        <v>150</v>
      </c>
      <c r="D270" s="108">
        <f t="shared" si="107"/>
        <v>50</v>
      </c>
      <c r="E270" s="114">
        <v>124</v>
      </c>
      <c r="F270" s="114">
        <f t="shared" ref="F270:F274" si="109">E270/D270*100</f>
        <v>248</v>
      </c>
      <c r="G270" s="466">
        <v>984.31200000000001</v>
      </c>
      <c r="H270" s="639">
        <f t="shared" si="108"/>
        <v>328.1</v>
      </c>
      <c r="I270" s="508">
        <v>813.69792000000007</v>
      </c>
      <c r="J270" s="466">
        <f t="shared" si="106"/>
        <v>248.00302346845476</v>
      </c>
    </row>
    <row r="271" spans="1:247" s="36" customFormat="1" ht="30" x14ac:dyDescent="0.25">
      <c r="A271" s="18">
        <v>1</v>
      </c>
      <c r="B271" s="73" t="s">
        <v>112</v>
      </c>
      <c r="C271" s="114">
        <f>SUM(C272:C274)</f>
        <v>12174</v>
      </c>
      <c r="D271" s="114">
        <f>SUM(D272:D274)</f>
        <v>4058</v>
      </c>
      <c r="E271" s="114">
        <f>SUM(E272:E274)</f>
        <v>3599</v>
      </c>
      <c r="F271" s="114">
        <f t="shared" si="109"/>
        <v>88.689009364218833</v>
      </c>
      <c r="G271" s="459">
        <f>SUM(G272:G274)</f>
        <v>23609.339840000001</v>
      </c>
      <c r="H271" s="459">
        <f>SUM(H272:H274)</f>
        <v>7869.77</v>
      </c>
      <c r="I271" s="459">
        <f>SUM(I272:I274)</f>
        <v>8302.0052599999999</v>
      </c>
      <c r="J271" s="466">
        <f t="shared" si="106"/>
        <v>105.49234933168312</v>
      </c>
    </row>
    <row r="272" spans="1:247" s="36" customFormat="1" ht="30" x14ac:dyDescent="0.25">
      <c r="A272" s="18">
        <v>1</v>
      </c>
      <c r="B272" s="72" t="s">
        <v>108</v>
      </c>
      <c r="C272" s="114">
        <v>600</v>
      </c>
      <c r="D272" s="108">
        <f t="shared" si="107"/>
        <v>200</v>
      </c>
      <c r="E272" s="114">
        <v>215</v>
      </c>
      <c r="F272" s="114">
        <f t="shared" si="109"/>
        <v>107.5</v>
      </c>
      <c r="G272" s="466">
        <f>1272306/1000</f>
        <v>1272.306</v>
      </c>
      <c r="H272" s="639">
        <f t="shared" ref="H272:H277" si="110">ROUND(G272/12*$B$3,2)</f>
        <v>424.1</v>
      </c>
      <c r="I272" s="466">
        <v>454.27972999999997</v>
      </c>
      <c r="J272" s="466">
        <f t="shared" si="106"/>
        <v>107.11618250412639</v>
      </c>
    </row>
    <row r="273" spans="1:247" s="36" customFormat="1" ht="61.5" customHeight="1" x14ac:dyDescent="0.25">
      <c r="A273" s="18">
        <v>1</v>
      </c>
      <c r="B273" s="72" t="s">
        <v>119</v>
      </c>
      <c r="C273" s="114">
        <v>6200</v>
      </c>
      <c r="D273" s="108">
        <f t="shared" si="107"/>
        <v>2067</v>
      </c>
      <c r="E273" s="114">
        <v>2547</v>
      </c>
      <c r="F273" s="114">
        <f t="shared" si="109"/>
        <v>123.22206095791002</v>
      </c>
      <c r="G273" s="466">
        <f>17069654/1000</f>
        <v>17069.653999999999</v>
      </c>
      <c r="H273" s="639">
        <f t="shared" si="110"/>
        <v>5689.88</v>
      </c>
      <c r="I273" s="508">
        <v>6964.4962100000002</v>
      </c>
      <c r="J273" s="466">
        <f t="shared" si="106"/>
        <v>122.40146031199252</v>
      </c>
    </row>
    <row r="274" spans="1:247" s="36" customFormat="1" ht="44.25" customHeight="1" x14ac:dyDescent="0.25">
      <c r="A274" s="18">
        <v>1</v>
      </c>
      <c r="B274" s="72" t="s">
        <v>109</v>
      </c>
      <c r="C274" s="114">
        <v>5374</v>
      </c>
      <c r="D274" s="108">
        <f t="shared" si="107"/>
        <v>1791</v>
      </c>
      <c r="E274" s="114">
        <v>837</v>
      </c>
      <c r="F274" s="114">
        <f t="shared" si="109"/>
        <v>46.733668341708544</v>
      </c>
      <c r="G274" s="466">
        <f>5267379.84/1000</f>
        <v>5267.3798399999996</v>
      </c>
      <c r="H274" s="639">
        <f t="shared" si="110"/>
        <v>1755.79</v>
      </c>
      <c r="I274" s="508">
        <v>883.22932000000003</v>
      </c>
      <c r="J274" s="466">
        <f t="shared" si="106"/>
        <v>50.303813098377368</v>
      </c>
    </row>
    <row r="275" spans="1:247" s="36" customFormat="1" ht="29.25" customHeight="1" x14ac:dyDescent="0.25">
      <c r="A275" s="18"/>
      <c r="B275" s="659" t="s">
        <v>123</v>
      </c>
      <c r="C275" s="114">
        <v>24500</v>
      </c>
      <c r="D275" s="108">
        <f>ROUND(C275/12*$B$3,0)</f>
        <v>8167</v>
      </c>
      <c r="E275" s="114">
        <v>8735</v>
      </c>
      <c r="F275" s="114">
        <f>E275/D275*100</f>
        <v>106.95481817068691</v>
      </c>
      <c r="G275" s="466">
        <v>23843.89</v>
      </c>
      <c r="H275" s="639">
        <f t="shared" si="110"/>
        <v>7947.96</v>
      </c>
      <c r="I275" s="508">
        <v>8427.0654099999992</v>
      </c>
      <c r="J275" s="466">
        <f>I275/H275*100</f>
        <v>106.02802995988907</v>
      </c>
    </row>
    <row r="276" spans="1:247" s="36" customFormat="1" ht="29.25" customHeight="1" x14ac:dyDescent="0.25">
      <c r="A276" s="18"/>
      <c r="B276" s="681" t="s">
        <v>124</v>
      </c>
      <c r="C276" s="114">
        <v>2200</v>
      </c>
      <c r="D276" s="108">
        <f>ROUND(C276/12*$B$3,0)</f>
        <v>733</v>
      </c>
      <c r="E276" s="114">
        <v>285</v>
      </c>
      <c r="F276" s="114">
        <f>E276/D276*100</f>
        <v>38.881309686221009</v>
      </c>
      <c r="G276" s="466">
        <v>2141.0839999999998</v>
      </c>
      <c r="H276" s="639">
        <f t="shared" si="110"/>
        <v>713.69</v>
      </c>
      <c r="I276" s="508">
        <v>276.38291999999996</v>
      </c>
      <c r="J276" s="466">
        <f>I276/H276*100</f>
        <v>38.725906205775608</v>
      </c>
    </row>
    <row r="277" spans="1:247" s="36" customFormat="1" ht="21.75" customHeight="1" thickBot="1" x14ac:dyDescent="0.3">
      <c r="A277" s="18"/>
      <c r="B277" s="659" t="s">
        <v>125</v>
      </c>
      <c r="C277" s="114"/>
      <c r="D277" s="108">
        <f>ROUND(C277/12*$B$3,0)</f>
        <v>0</v>
      </c>
      <c r="E277" s="114"/>
      <c r="F277" s="114"/>
      <c r="G277" s="466"/>
      <c r="H277" s="639">
        <f t="shared" si="110"/>
        <v>0</v>
      </c>
      <c r="I277" s="508"/>
      <c r="J277" s="466"/>
    </row>
    <row r="278" spans="1:247" s="13" customFormat="1" ht="15" customHeight="1" thickBot="1" x14ac:dyDescent="0.3">
      <c r="A278" s="18">
        <v>1</v>
      </c>
      <c r="B278" s="205" t="s">
        <v>3</v>
      </c>
      <c r="C278" s="24"/>
      <c r="D278" s="24"/>
      <c r="E278" s="24"/>
      <c r="F278" s="24"/>
      <c r="G278" s="470">
        <f>G271+G266+G275</f>
        <v>59815.193630000002</v>
      </c>
      <c r="H278" s="470">
        <f>H271+H266+H275</f>
        <v>19938.38</v>
      </c>
      <c r="I278" s="470">
        <f>I271+I266+I275</f>
        <v>21920.630669999999</v>
      </c>
      <c r="J278" s="470">
        <f t="shared" si="106"/>
        <v>109.94188429551446</v>
      </c>
    </row>
    <row r="279" spans="1:247" x14ac:dyDescent="0.25">
      <c r="A279" s="18">
        <v>1</v>
      </c>
      <c r="B279" s="265" t="s">
        <v>12</v>
      </c>
      <c r="C279" s="266"/>
      <c r="D279" s="266"/>
      <c r="E279" s="266"/>
      <c r="F279" s="266"/>
      <c r="G279" s="513"/>
      <c r="H279" s="513"/>
      <c r="I279" s="513"/>
      <c r="J279" s="513"/>
    </row>
    <row r="280" spans="1:247" s="10" customFormat="1" ht="30" x14ac:dyDescent="0.25">
      <c r="A280" s="18">
        <v>1</v>
      </c>
      <c r="B280" s="267" t="s">
        <v>120</v>
      </c>
      <c r="C280" s="328">
        <f t="shared" ref="C280:J292" si="111">C266</f>
        <v>7401</v>
      </c>
      <c r="D280" s="328">
        <f t="shared" si="111"/>
        <v>2467</v>
      </c>
      <c r="E280" s="328">
        <f t="shared" si="111"/>
        <v>2851</v>
      </c>
      <c r="F280" s="328">
        <f t="shared" si="111"/>
        <v>115.56546412646939</v>
      </c>
      <c r="G280" s="514">
        <f t="shared" si="111"/>
        <v>12361.96379</v>
      </c>
      <c r="H280" s="514">
        <f t="shared" si="111"/>
        <v>4120.6500000000005</v>
      </c>
      <c r="I280" s="514">
        <f t="shared" si="111"/>
        <v>5191.5599999999995</v>
      </c>
      <c r="J280" s="514">
        <f t="shared" si="111"/>
        <v>125.98886098067051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8" t="s">
        <v>79</v>
      </c>
      <c r="C281" s="328">
        <f t="shared" si="111"/>
        <v>5485</v>
      </c>
      <c r="D281" s="328">
        <f t="shared" si="111"/>
        <v>1828</v>
      </c>
      <c r="E281" s="328">
        <f t="shared" si="111"/>
        <v>2273</v>
      </c>
      <c r="F281" s="328">
        <f t="shared" si="111"/>
        <v>124.34354485776807</v>
      </c>
      <c r="G281" s="514">
        <f t="shared" si="111"/>
        <v>7514.5098000000007</v>
      </c>
      <c r="H281" s="514">
        <f t="shared" si="111"/>
        <v>2504.84</v>
      </c>
      <c r="I281" s="514">
        <f t="shared" si="111"/>
        <v>2898.4552899999999</v>
      </c>
      <c r="J281" s="514">
        <f t="shared" si="111"/>
        <v>115.71418893023106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8" t="s">
        <v>80</v>
      </c>
      <c r="C282" s="328">
        <f t="shared" si="111"/>
        <v>1646</v>
      </c>
      <c r="D282" s="328">
        <f t="shared" si="111"/>
        <v>549</v>
      </c>
      <c r="E282" s="328">
        <f t="shared" si="111"/>
        <v>320</v>
      </c>
      <c r="F282" s="328">
        <f t="shared" si="111"/>
        <v>58.287795992714031</v>
      </c>
      <c r="G282" s="514">
        <f t="shared" si="111"/>
        <v>3075.6923900000002</v>
      </c>
      <c r="H282" s="514">
        <f t="shared" si="111"/>
        <v>1025.23</v>
      </c>
      <c r="I282" s="514">
        <f t="shared" si="111"/>
        <v>600.0880699999999</v>
      </c>
      <c r="J282" s="514">
        <f t="shared" si="111"/>
        <v>58.532043541449227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8" t="s">
        <v>114</v>
      </c>
      <c r="C283" s="328">
        <f t="shared" si="111"/>
        <v>120</v>
      </c>
      <c r="D283" s="328">
        <f t="shared" si="111"/>
        <v>40</v>
      </c>
      <c r="E283" s="328">
        <f t="shared" si="111"/>
        <v>134</v>
      </c>
      <c r="F283" s="328">
        <f t="shared" si="111"/>
        <v>335</v>
      </c>
      <c r="G283" s="514">
        <f t="shared" si="111"/>
        <v>787.44960000000003</v>
      </c>
      <c r="H283" s="514">
        <f t="shared" si="111"/>
        <v>262.48</v>
      </c>
      <c r="I283" s="514">
        <f t="shared" si="111"/>
        <v>879.31871999999998</v>
      </c>
      <c r="J283" s="514">
        <f t="shared" si="111"/>
        <v>335.00408412069487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8" t="s">
        <v>115</v>
      </c>
      <c r="C284" s="328">
        <f t="shared" si="111"/>
        <v>150</v>
      </c>
      <c r="D284" s="328">
        <f t="shared" si="111"/>
        <v>50</v>
      </c>
      <c r="E284" s="328">
        <f t="shared" si="111"/>
        <v>124</v>
      </c>
      <c r="F284" s="328">
        <f t="shared" si="111"/>
        <v>248</v>
      </c>
      <c r="G284" s="514">
        <f t="shared" si="111"/>
        <v>984.31200000000001</v>
      </c>
      <c r="H284" s="514">
        <f t="shared" si="111"/>
        <v>328.1</v>
      </c>
      <c r="I284" s="514">
        <f t="shared" si="111"/>
        <v>813.69792000000007</v>
      </c>
      <c r="J284" s="514">
        <f t="shared" si="111"/>
        <v>248.00302346845476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7" t="s">
        <v>112</v>
      </c>
      <c r="C285" s="328">
        <f t="shared" si="111"/>
        <v>12174</v>
      </c>
      <c r="D285" s="328">
        <f t="shared" si="111"/>
        <v>4058</v>
      </c>
      <c r="E285" s="328">
        <f t="shared" si="111"/>
        <v>3599</v>
      </c>
      <c r="F285" s="328">
        <f t="shared" si="111"/>
        <v>88.689009364218833</v>
      </c>
      <c r="G285" s="514">
        <f t="shared" si="111"/>
        <v>23609.339840000001</v>
      </c>
      <c r="H285" s="514">
        <f t="shared" si="111"/>
        <v>7869.77</v>
      </c>
      <c r="I285" s="514">
        <f t="shared" si="111"/>
        <v>8302.0052599999999</v>
      </c>
      <c r="J285" s="514">
        <f t="shared" si="111"/>
        <v>105.49234933168312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8" t="s">
        <v>108</v>
      </c>
      <c r="C286" s="328">
        <f t="shared" si="111"/>
        <v>600</v>
      </c>
      <c r="D286" s="328">
        <f t="shared" si="111"/>
        <v>200</v>
      </c>
      <c r="E286" s="328">
        <f t="shared" si="111"/>
        <v>215</v>
      </c>
      <c r="F286" s="328">
        <f t="shared" si="111"/>
        <v>107.5</v>
      </c>
      <c r="G286" s="514">
        <f t="shared" si="111"/>
        <v>1272.306</v>
      </c>
      <c r="H286" s="514">
        <f t="shared" si="111"/>
        <v>424.1</v>
      </c>
      <c r="I286" s="514">
        <f t="shared" si="111"/>
        <v>454.27972999999997</v>
      </c>
      <c r="J286" s="514">
        <f t="shared" si="111"/>
        <v>107.11618250412639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8" t="s">
        <v>81</v>
      </c>
      <c r="C287" s="328">
        <f t="shared" si="111"/>
        <v>6200</v>
      </c>
      <c r="D287" s="328">
        <f t="shared" si="111"/>
        <v>2067</v>
      </c>
      <c r="E287" s="328">
        <f t="shared" si="111"/>
        <v>2547</v>
      </c>
      <c r="F287" s="328">
        <f t="shared" si="111"/>
        <v>123.22206095791002</v>
      </c>
      <c r="G287" s="514">
        <f t="shared" si="111"/>
        <v>17069.653999999999</v>
      </c>
      <c r="H287" s="514">
        <f t="shared" si="111"/>
        <v>5689.88</v>
      </c>
      <c r="I287" s="514">
        <f t="shared" si="111"/>
        <v>6964.4962100000002</v>
      </c>
      <c r="J287" s="514">
        <f t="shared" si="111"/>
        <v>122.40146031199252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8" t="s">
        <v>109</v>
      </c>
      <c r="C288" s="328">
        <f t="shared" si="111"/>
        <v>5374</v>
      </c>
      <c r="D288" s="328">
        <f t="shared" si="111"/>
        <v>1791</v>
      </c>
      <c r="E288" s="328">
        <f t="shared" si="111"/>
        <v>837</v>
      </c>
      <c r="F288" s="328">
        <f t="shared" si="111"/>
        <v>46.733668341708544</v>
      </c>
      <c r="G288" s="514">
        <f t="shared" si="111"/>
        <v>5267.3798399999996</v>
      </c>
      <c r="H288" s="514">
        <f t="shared" si="111"/>
        <v>1755.79</v>
      </c>
      <c r="I288" s="514">
        <f t="shared" si="111"/>
        <v>883.22932000000003</v>
      </c>
      <c r="J288" s="514">
        <f t="shared" si="111"/>
        <v>50.303813098377368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8" t="s">
        <v>123</v>
      </c>
      <c r="C289" s="328">
        <f t="shared" si="111"/>
        <v>24500</v>
      </c>
      <c r="D289" s="328">
        <f t="shared" si="111"/>
        <v>8167</v>
      </c>
      <c r="E289" s="328">
        <f t="shared" si="111"/>
        <v>8735</v>
      </c>
      <c r="F289" s="328">
        <f t="shared" si="111"/>
        <v>106.95481817068691</v>
      </c>
      <c r="G289" s="514">
        <f t="shared" si="111"/>
        <v>23843.89</v>
      </c>
      <c r="H289" s="514">
        <f t="shared" si="111"/>
        <v>7947.96</v>
      </c>
      <c r="I289" s="514">
        <f t="shared" si="111"/>
        <v>8427.0654099999992</v>
      </c>
      <c r="J289" s="514">
        <f t="shared" si="111"/>
        <v>106.02802995988907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8" t="s">
        <v>124</v>
      </c>
      <c r="C290" s="328">
        <f t="shared" si="111"/>
        <v>2200</v>
      </c>
      <c r="D290" s="328">
        <f t="shared" si="111"/>
        <v>733</v>
      </c>
      <c r="E290" s="328">
        <f t="shared" si="111"/>
        <v>285</v>
      </c>
      <c r="F290" s="328">
        <f t="shared" si="111"/>
        <v>38.881309686221009</v>
      </c>
      <c r="G290" s="514">
        <f t="shared" si="111"/>
        <v>2141.0839999999998</v>
      </c>
      <c r="H290" s="514">
        <f t="shared" si="111"/>
        <v>713.69</v>
      </c>
      <c r="I290" s="514">
        <f t="shared" si="111"/>
        <v>276.38291999999996</v>
      </c>
      <c r="J290" s="514">
        <f t="shared" si="111"/>
        <v>38.725906205775608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8" t="s">
        <v>125</v>
      </c>
      <c r="C291" s="328">
        <f t="shared" si="111"/>
        <v>0</v>
      </c>
      <c r="D291" s="328">
        <f t="shared" si="111"/>
        <v>0</v>
      </c>
      <c r="E291" s="328">
        <f t="shared" si="111"/>
        <v>0</v>
      </c>
      <c r="F291" s="328">
        <f t="shared" si="111"/>
        <v>0</v>
      </c>
      <c r="G291" s="514">
        <f t="shared" si="111"/>
        <v>0</v>
      </c>
      <c r="H291" s="514">
        <f t="shared" si="111"/>
        <v>0</v>
      </c>
      <c r="I291" s="514">
        <f t="shared" si="111"/>
        <v>0</v>
      </c>
      <c r="J291" s="514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9" t="s">
        <v>4</v>
      </c>
      <c r="C292" s="329">
        <f t="shared" si="111"/>
        <v>0</v>
      </c>
      <c r="D292" s="329">
        <f t="shared" si="111"/>
        <v>0</v>
      </c>
      <c r="E292" s="329">
        <f t="shared" si="111"/>
        <v>0</v>
      </c>
      <c r="F292" s="329">
        <f t="shared" si="111"/>
        <v>0</v>
      </c>
      <c r="G292" s="515">
        <f t="shared" si="111"/>
        <v>59815.193630000002</v>
      </c>
      <c r="H292" s="515">
        <f t="shared" si="111"/>
        <v>19938.38</v>
      </c>
      <c r="I292" s="515">
        <f t="shared" si="111"/>
        <v>21920.630669999999</v>
      </c>
      <c r="J292" s="515">
        <f t="shared" si="111"/>
        <v>109.94188429551446</v>
      </c>
    </row>
    <row r="293" spans="1:247" ht="15.75" thickBot="1" x14ac:dyDescent="0.3">
      <c r="A293" s="18">
        <v>1</v>
      </c>
      <c r="B293" s="86" t="s">
        <v>9</v>
      </c>
      <c r="C293" s="5"/>
      <c r="D293" s="5"/>
      <c r="E293" s="168"/>
      <c r="F293" s="5"/>
      <c r="G293" s="503"/>
      <c r="H293" s="503"/>
      <c r="I293" s="504"/>
      <c r="J293" s="503"/>
    </row>
    <row r="294" spans="1:247" ht="29.25" x14ac:dyDescent="0.25">
      <c r="A294" s="18">
        <v>1</v>
      </c>
      <c r="B294" s="211" t="s">
        <v>77</v>
      </c>
      <c r="C294" s="140"/>
      <c r="D294" s="140"/>
      <c r="E294" s="140"/>
      <c r="F294" s="140"/>
      <c r="G294" s="504"/>
      <c r="H294" s="504"/>
      <c r="I294" s="504"/>
      <c r="J294" s="504"/>
    </row>
    <row r="295" spans="1:247" s="36" customFormat="1" ht="30" x14ac:dyDescent="0.25">
      <c r="A295" s="18">
        <v>1</v>
      </c>
      <c r="B295" s="73" t="s">
        <v>120</v>
      </c>
      <c r="C295" s="114">
        <f>SUM(C296:C299)</f>
        <v>4861</v>
      </c>
      <c r="D295" s="114">
        <f>SUM(D296:D299)</f>
        <v>1620</v>
      </c>
      <c r="E295" s="114">
        <f>SUM(E296:E299)</f>
        <v>1371</v>
      </c>
      <c r="F295" s="114">
        <f t="shared" ref="F295:F305" si="112">E295/D295*100</f>
        <v>84.629629629629633</v>
      </c>
      <c r="G295" s="466">
        <f>SUM(G296:G299)</f>
        <v>8528.838310000001</v>
      </c>
      <c r="H295" s="466">
        <f>SUM(H296:H299)</f>
        <v>2842.94</v>
      </c>
      <c r="I295" s="466">
        <f>SUM(I296:I299)</f>
        <v>3216.32564</v>
      </c>
      <c r="J295" s="466">
        <f>I295/H295*100</f>
        <v>113.13378544745932</v>
      </c>
    </row>
    <row r="296" spans="1:247" s="36" customFormat="1" ht="30" x14ac:dyDescent="0.25">
      <c r="A296" s="18">
        <v>1</v>
      </c>
      <c r="B296" s="72" t="s">
        <v>79</v>
      </c>
      <c r="C296" s="114">
        <v>3562</v>
      </c>
      <c r="D296" s="108">
        <f t="shared" ref="D296:D303" si="113">ROUND(C296/12*$B$3,0)</f>
        <v>1187</v>
      </c>
      <c r="E296" s="114">
        <v>877</v>
      </c>
      <c r="F296" s="114">
        <f t="shared" si="112"/>
        <v>73.883740522325198</v>
      </c>
      <c r="G296" s="466">
        <v>5021.9764000000005</v>
      </c>
      <c r="H296" s="639">
        <f t="shared" ref="H296:H299" si="114">ROUND(G296/12*$B$3,2)</f>
        <v>1673.99</v>
      </c>
      <c r="I296" s="508">
        <v>1234.93986</v>
      </c>
      <c r="J296" s="466">
        <f t="shared" ref="J296:J306" si="115">I296/H296*100</f>
        <v>73.772236393287898</v>
      </c>
    </row>
    <row r="297" spans="1:247" s="36" customFormat="1" ht="38.1" customHeight="1" x14ac:dyDescent="0.25">
      <c r="A297" s="18">
        <v>1</v>
      </c>
      <c r="B297" s="72" t="s">
        <v>80</v>
      </c>
      <c r="C297" s="114">
        <v>1069</v>
      </c>
      <c r="D297" s="108">
        <f t="shared" si="113"/>
        <v>356</v>
      </c>
      <c r="E297" s="114">
        <v>267</v>
      </c>
      <c r="F297" s="114">
        <f t="shared" si="112"/>
        <v>75</v>
      </c>
      <c r="G297" s="466">
        <v>1997.5835100000002</v>
      </c>
      <c r="H297" s="639">
        <f t="shared" si="114"/>
        <v>665.86</v>
      </c>
      <c r="I297" s="466">
        <v>504.91811999999999</v>
      </c>
      <c r="J297" s="466">
        <f t="shared" si="115"/>
        <v>75.829471660709459</v>
      </c>
    </row>
    <row r="298" spans="1:247" s="36" customFormat="1" ht="45" x14ac:dyDescent="0.25">
      <c r="A298" s="18">
        <v>1</v>
      </c>
      <c r="B298" s="72" t="s">
        <v>114</v>
      </c>
      <c r="C298" s="114">
        <v>80</v>
      </c>
      <c r="D298" s="108">
        <f t="shared" si="113"/>
        <v>27</v>
      </c>
      <c r="E298" s="114">
        <v>91</v>
      </c>
      <c r="F298" s="114">
        <f t="shared" si="112"/>
        <v>337.03703703703701</v>
      </c>
      <c r="G298" s="466">
        <v>524.96640000000002</v>
      </c>
      <c r="H298" s="639">
        <f t="shared" si="114"/>
        <v>174.99</v>
      </c>
      <c r="I298" s="466">
        <v>597.14927999999998</v>
      </c>
      <c r="J298" s="466">
        <f t="shared" si="115"/>
        <v>341.24765986627807</v>
      </c>
    </row>
    <row r="299" spans="1:247" s="36" customFormat="1" ht="30" x14ac:dyDescent="0.25">
      <c r="A299" s="18">
        <v>1</v>
      </c>
      <c r="B299" s="72" t="s">
        <v>115</v>
      </c>
      <c r="C299" s="114">
        <v>150</v>
      </c>
      <c r="D299" s="108">
        <f t="shared" si="113"/>
        <v>50</v>
      </c>
      <c r="E299" s="114">
        <v>136</v>
      </c>
      <c r="F299" s="114">
        <f t="shared" si="112"/>
        <v>272</v>
      </c>
      <c r="G299" s="466">
        <v>984.31200000000001</v>
      </c>
      <c r="H299" s="639">
        <f t="shared" si="114"/>
        <v>328.1</v>
      </c>
      <c r="I299" s="466">
        <v>879.31838000000016</v>
      </c>
      <c r="J299" s="466">
        <f t="shared" si="115"/>
        <v>268.00316366961295</v>
      </c>
    </row>
    <row r="300" spans="1:247" s="36" customFormat="1" ht="30" x14ac:dyDescent="0.25">
      <c r="A300" s="18">
        <v>1</v>
      </c>
      <c r="B300" s="73" t="s">
        <v>112</v>
      </c>
      <c r="C300" s="114">
        <f>SUM(C301:C303)</f>
        <v>11260</v>
      </c>
      <c r="D300" s="114">
        <f>SUM(D301:D303)</f>
        <v>3753</v>
      </c>
      <c r="E300" s="114">
        <f>SUM(E301:E303)</f>
        <v>3173</v>
      </c>
      <c r="F300" s="114">
        <f t="shared" si="112"/>
        <v>84.545696775912603</v>
      </c>
      <c r="G300" s="459">
        <f>SUM(G301:G303)</f>
        <v>21966.778599999998</v>
      </c>
      <c r="H300" s="459">
        <f>SUM(H301:H303)</f>
        <v>7322.26</v>
      </c>
      <c r="I300" s="459">
        <f>SUM(I301:I303)</f>
        <v>8390.1380499999996</v>
      </c>
      <c r="J300" s="466">
        <f t="shared" si="115"/>
        <v>114.58399524190619</v>
      </c>
    </row>
    <row r="301" spans="1:247" s="36" customFormat="1" ht="30" x14ac:dyDescent="0.25">
      <c r="A301" s="18">
        <v>1</v>
      </c>
      <c r="B301" s="72" t="s">
        <v>108</v>
      </c>
      <c r="C301" s="114">
        <v>1500</v>
      </c>
      <c r="D301" s="108">
        <f t="shared" si="113"/>
        <v>500</v>
      </c>
      <c r="E301" s="114">
        <v>350</v>
      </c>
      <c r="F301" s="114">
        <f t="shared" si="112"/>
        <v>70</v>
      </c>
      <c r="G301" s="466">
        <f>3180765/1000</f>
        <v>3180.7649999999999</v>
      </c>
      <c r="H301" s="639">
        <f t="shared" ref="H301:H305" si="116">ROUND(G301/12*$B$3,2)</f>
        <v>1060.26</v>
      </c>
      <c r="I301" s="466">
        <v>714.38669999999991</v>
      </c>
      <c r="J301" s="466">
        <f t="shared" si="115"/>
        <v>67.378444909739116</v>
      </c>
    </row>
    <row r="302" spans="1:247" s="36" customFormat="1" ht="64.5" customHeight="1" x14ac:dyDescent="0.25">
      <c r="A302" s="18">
        <v>1</v>
      </c>
      <c r="B302" s="72" t="s">
        <v>119</v>
      </c>
      <c r="C302" s="114">
        <v>5200</v>
      </c>
      <c r="D302" s="108">
        <f t="shared" si="113"/>
        <v>1733</v>
      </c>
      <c r="E302" s="114">
        <v>2295</v>
      </c>
      <c r="F302" s="114">
        <f t="shared" si="112"/>
        <v>132.42931332948643</v>
      </c>
      <c r="G302" s="466">
        <f>14316484/1000</f>
        <v>14316.484</v>
      </c>
      <c r="H302" s="639">
        <f t="shared" si="116"/>
        <v>4772.16</v>
      </c>
      <c r="I302" s="466">
        <v>7091.6463800000001</v>
      </c>
      <c r="J302" s="466">
        <f t="shared" si="115"/>
        <v>148.60453924428353</v>
      </c>
    </row>
    <row r="303" spans="1:247" s="36" customFormat="1" ht="45" x14ac:dyDescent="0.25">
      <c r="A303" s="18">
        <v>1</v>
      </c>
      <c r="B303" s="72" t="s">
        <v>109</v>
      </c>
      <c r="C303" s="114">
        <v>4560</v>
      </c>
      <c r="D303" s="108">
        <f t="shared" si="113"/>
        <v>1520</v>
      </c>
      <c r="E303" s="114">
        <v>528</v>
      </c>
      <c r="F303" s="114">
        <f t="shared" si="112"/>
        <v>34.736842105263158</v>
      </c>
      <c r="G303" s="466">
        <f>4469529.6/1000</f>
        <v>4469.5295999999998</v>
      </c>
      <c r="H303" s="639">
        <f t="shared" si="116"/>
        <v>1489.84</v>
      </c>
      <c r="I303" s="466">
        <v>584.10496999999998</v>
      </c>
      <c r="J303" s="466">
        <f t="shared" si="115"/>
        <v>39.205885866938736</v>
      </c>
    </row>
    <row r="304" spans="1:247" s="36" customFormat="1" ht="38.1" customHeight="1" x14ac:dyDescent="0.25">
      <c r="A304" s="18"/>
      <c r="B304" s="659" t="s">
        <v>123</v>
      </c>
      <c r="C304" s="114">
        <v>16671</v>
      </c>
      <c r="D304" s="108">
        <f>ROUND(C304/12*$B$3,0)</f>
        <v>5557</v>
      </c>
      <c r="E304" s="114">
        <v>2113</v>
      </c>
      <c r="F304" s="114">
        <f t="shared" si="112"/>
        <v>38.024113730430088</v>
      </c>
      <c r="G304" s="466">
        <v>16224.550620000002</v>
      </c>
      <c r="H304" s="639">
        <f t="shared" si="116"/>
        <v>5408.18</v>
      </c>
      <c r="I304" s="466">
        <v>2033.2414199999998</v>
      </c>
      <c r="J304" s="466">
        <f>I304/H304*100</f>
        <v>37.595668413403395</v>
      </c>
    </row>
    <row r="305" spans="1:247" s="36" customFormat="1" ht="30" x14ac:dyDescent="0.25">
      <c r="A305" s="18"/>
      <c r="B305" s="720" t="s">
        <v>125</v>
      </c>
      <c r="C305" s="114">
        <v>1500</v>
      </c>
      <c r="D305" s="108">
        <f>ROUND(C305/12*$B$3,0)</f>
        <v>500</v>
      </c>
      <c r="E305" s="114">
        <v>613</v>
      </c>
      <c r="F305" s="114">
        <f t="shared" si="112"/>
        <v>122.6</v>
      </c>
      <c r="G305" s="466">
        <v>1459.8300000000002</v>
      </c>
      <c r="H305" s="639">
        <f t="shared" si="116"/>
        <v>486.61</v>
      </c>
      <c r="I305" s="466">
        <v>591.00343999999996</v>
      </c>
      <c r="J305" s="466">
        <f>I305/H305*100</f>
        <v>121.45320482521936</v>
      </c>
    </row>
    <row r="306" spans="1:247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70">
        <f>G300+G295+G304</f>
        <v>46720.167529999999</v>
      </c>
      <c r="H306" s="470">
        <f>H300+H295+H304</f>
        <v>15573.380000000001</v>
      </c>
      <c r="I306" s="470">
        <f>I300+I295+I304</f>
        <v>13639.705110000001</v>
      </c>
      <c r="J306" s="470">
        <f t="shared" si="115"/>
        <v>87.58346043055522</v>
      </c>
    </row>
    <row r="307" spans="1:247" ht="15" customHeight="1" x14ac:dyDescent="0.25">
      <c r="A307" s="18">
        <v>1</v>
      </c>
      <c r="B307" s="270" t="s">
        <v>48</v>
      </c>
      <c r="C307" s="260"/>
      <c r="D307" s="260"/>
      <c r="E307" s="260"/>
      <c r="F307" s="260"/>
      <c r="G307" s="516"/>
      <c r="H307" s="516"/>
      <c r="I307" s="516"/>
      <c r="J307" s="516"/>
    </row>
    <row r="308" spans="1:247" s="10" customFormat="1" ht="30" x14ac:dyDescent="0.25">
      <c r="A308" s="18">
        <v>1</v>
      </c>
      <c r="B308" s="258" t="s">
        <v>120</v>
      </c>
      <c r="C308" s="330">
        <f t="shared" ref="C308:J318" si="117">C295</f>
        <v>4861</v>
      </c>
      <c r="D308" s="330">
        <f t="shared" si="117"/>
        <v>1620</v>
      </c>
      <c r="E308" s="330">
        <f t="shared" si="117"/>
        <v>1371</v>
      </c>
      <c r="F308" s="330">
        <f t="shared" si="117"/>
        <v>84.629629629629633</v>
      </c>
      <c r="G308" s="517">
        <f t="shared" si="117"/>
        <v>8528.838310000001</v>
      </c>
      <c r="H308" s="517">
        <f t="shared" si="117"/>
        <v>2842.94</v>
      </c>
      <c r="I308" s="517">
        <f t="shared" si="117"/>
        <v>3216.32564</v>
      </c>
      <c r="J308" s="517">
        <f t="shared" si="117"/>
        <v>113.13378544745932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2" t="s">
        <v>79</v>
      </c>
      <c r="C309" s="330">
        <f t="shared" si="117"/>
        <v>3562</v>
      </c>
      <c r="D309" s="330">
        <f t="shared" si="117"/>
        <v>1187</v>
      </c>
      <c r="E309" s="330">
        <f t="shared" si="117"/>
        <v>877</v>
      </c>
      <c r="F309" s="330">
        <f t="shared" si="117"/>
        <v>73.883740522325198</v>
      </c>
      <c r="G309" s="517">
        <f t="shared" si="117"/>
        <v>5021.9764000000005</v>
      </c>
      <c r="H309" s="517">
        <f t="shared" si="117"/>
        <v>1673.99</v>
      </c>
      <c r="I309" s="517">
        <f t="shared" si="117"/>
        <v>1234.93986</v>
      </c>
      <c r="J309" s="517">
        <f t="shared" si="117"/>
        <v>73.772236393287898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2" t="s">
        <v>80</v>
      </c>
      <c r="C310" s="330">
        <f t="shared" si="117"/>
        <v>1069</v>
      </c>
      <c r="D310" s="330">
        <f t="shared" si="117"/>
        <v>356</v>
      </c>
      <c r="E310" s="330">
        <f t="shared" si="117"/>
        <v>267</v>
      </c>
      <c r="F310" s="330">
        <f t="shared" si="117"/>
        <v>75</v>
      </c>
      <c r="G310" s="517">
        <f t="shared" si="117"/>
        <v>1997.5835100000002</v>
      </c>
      <c r="H310" s="517">
        <f t="shared" si="117"/>
        <v>665.86</v>
      </c>
      <c r="I310" s="517">
        <f t="shared" si="117"/>
        <v>504.91811999999999</v>
      </c>
      <c r="J310" s="517">
        <f t="shared" si="117"/>
        <v>75.829471660709459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2" t="s">
        <v>114</v>
      </c>
      <c r="C311" s="330">
        <f t="shared" si="117"/>
        <v>80</v>
      </c>
      <c r="D311" s="330">
        <f t="shared" si="117"/>
        <v>27</v>
      </c>
      <c r="E311" s="330">
        <f t="shared" si="117"/>
        <v>91</v>
      </c>
      <c r="F311" s="330">
        <f t="shared" si="117"/>
        <v>337.03703703703701</v>
      </c>
      <c r="G311" s="517">
        <f t="shared" si="117"/>
        <v>524.96640000000002</v>
      </c>
      <c r="H311" s="517">
        <f t="shared" si="117"/>
        <v>174.99</v>
      </c>
      <c r="I311" s="517">
        <f t="shared" si="117"/>
        <v>597.14927999999998</v>
      </c>
      <c r="J311" s="517">
        <f t="shared" si="117"/>
        <v>341.24765986627807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2" t="s">
        <v>115</v>
      </c>
      <c r="C312" s="330">
        <f t="shared" si="117"/>
        <v>150</v>
      </c>
      <c r="D312" s="330">
        <f t="shared" si="117"/>
        <v>50</v>
      </c>
      <c r="E312" s="330">
        <f t="shared" si="117"/>
        <v>136</v>
      </c>
      <c r="F312" s="330">
        <f t="shared" si="117"/>
        <v>272</v>
      </c>
      <c r="G312" s="517">
        <f t="shared" si="117"/>
        <v>984.31200000000001</v>
      </c>
      <c r="H312" s="517">
        <f t="shared" si="117"/>
        <v>328.1</v>
      </c>
      <c r="I312" s="517">
        <f t="shared" si="117"/>
        <v>879.31838000000016</v>
      </c>
      <c r="J312" s="517">
        <f t="shared" si="117"/>
        <v>268.00316366961295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8" t="s">
        <v>112</v>
      </c>
      <c r="C313" s="330">
        <f t="shared" si="117"/>
        <v>11260</v>
      </c>
      <c r="D313" s="330">
        <f t="shared" si="117"/>
        <v>3753</v>
      </c>
      <c r="E313" s="330">
        <f t="shared" si="117"/>
        <v>3173</v>
      </c>
      <c r="F313" s="330">
        <f t="shared" si="117"/>
        <v>84.545696775912603</v>
      </c>
      <c r="G313" s="517">
        <f t="shared" si="117"/>
        <v>21966.778599999998</v>
      </c>
      <c r="H313" s="517">
        <f t="shared" si="117"/>
        <v>7322.26</v>
      </c>
      <c r="I313" s="517">
        <f t="shared" si="117"/>
        <v>8390.1380499999996</v>
      </c>
      <c r="J313" s="517">
        <f t="shared" si="117"/>
        <v>114.58399524190619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2" t="s">
        <v>108</v>
      </c>
      <c r="C314" s="330">
        <f t="shared" si="117"/>
        <v>1500</v>
      </c>
      <c r="D314" s="330">
        <f t="shared" si="117"/>
        <v>500</v>
      </c>
      <c r="E314" s="330">
        <f t="shared" si="117"/>
        <v>350</v>
      </c>
      <c r="F314" s="330">
        <f t="shared" si="117"/>
        <v>70</v>
      </c>
      <c r="G314" s="517">
        <f t="shared" si="117"/>
        <v>3180.7649999999999</v>
      </c>
      <c r="H314" s="517">
        <f t="shared" si="117"/>
        <v>1060.26</v>
      </c>
      <c r="I314" s="517">
        <f t="shared" si="117"/>
        <v>714.38669999999991</v>
      </c>
      <c r="J314" s="517">
        <f t="shared" si="117"/>
        <v>67.378444909739116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2" t="s">
        <v>81</v>
      </c>
      <c r="C315" s="330">
        <f t="shared" si="117"/>
        <v>5200</v>
      </c>
      <c r="D315" s="330">
        <f t="shared" si="117"/>
        <v>1733</v>
      </c>
      <c r="E315" s="330">
        <f t="shared" si="117"/>
        <v>2295</v>
      </c>
      <c r="F315" s="330">
        <f t="shared" si="117"/>
        <v>132.42931332948643</v>
      </c>
      <c r="G315" s="517">
        <f t="shared" si="117"/>
        <v>14316.484</v>
      </c>
      <c r="H315" s="517">
        <f t="shared" si="117"/>
        <v>4772.16</v>
      </c>
      <c r="I315" s="517">
        <f t="shared" si="117"/>
        <v>7091.6463800000001</v>
      </c>
      <c r="J315" s="517">
        <f t="shared" si="117"/>
        <v>148.60453924428353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2" t="s">
        <v>109</v>
      </c>
      <c r="C316" s="330">
        <f t="shared" si="117"/>
        <v>4560</v>
      </c>
      <c r="D316" s="330">
        <f t="shared" si="117"/>
        <v>1520</v>
      </c>
      <c r="E316" s="330">
        <f t="shared" si="117"/>
        <v>528</v>
      </c>
      <c r="F316" s="330">
        <f t="shared" si="117"/>
        <v>34.736842105263158</v>
      </c>
      <c r="G316" s="517">
        <f t="shared" si="117"/>
        <v>4469.5295999999998</v>
      </c>
      <c r="H316" s="517">
        <f t="shared" si="117"/>
        <v>1489.84</v>
      </c>
      <c r="I316" s="517">
        <f t="shared" si="117"/>
        <v>584.10496999999998</v>
      </c>
      <c r="J316" s="517">
        <f t="shared" si="117"/>
        <v>39.205885866938736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2" t="s">
        <v>123</v>
      </c>
      <c r="C317" s="330">
        <f t="shared" si="117"/>
        <v>16671</v>
      </c>
      <c r="D317" s="330">
        <f t="shared" si="117"/>
        <v>5557</v>
      </c>
      <c r="E317" s="330">
        <f t="shared" si="117"/>
        <v>2113</v>
      </c>
      <c r="F317" s="330">
        <f t="shared" si="117"/>
        <v>38.024113730430088</v>
      </c>
      <c r="G317" s="517">
        <f t="shared" si="117"/>
        <v>16224.550620000002</v>
      </c>
      <c r="H317" s="517">
        <f t="shared" si="117"/>
        <v>5408.18</v>
      </c>
      <c r="I317" s="517">
        <f t="shared" si="117"/>
        <v>2033.2414199999998</v>
      </c>
      <c r="J317" s="517">
        <f t="shared" si="117"/>
        <v>37.595668413403395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2" t="s">
        <v>125</v>
      </c>
      <c r="C318" s="330">
        <f t="shared" si="117"/>
        <v>1500</v>
      </c>
      <c r="D318" s="330">
        <f t="shared" si="117"/>
        <v>500</v>
      </c>
      <c r="E318" s="330">
        <f t="shared" si="117"/>
        <v>613</v>
      </c>
      <c r="F318" s="330">
        <f t="shared" si="117"/>
        <v>122.6</v>
      </c>
      <c r="G318" s="517">
        <f t="shared" si="117"/>
        <v>1459.8300000000002</v>
      </c>
      <c r="H318" s="517">
        <f t="shared" si="117"/>
        <v>486.61</v>
      </c>
      <c r="I318" s="517">
        <f t="shared" si="117"/>
        <v>591.00343999999996</v>
      </c>
      <c r="J318" s="517">
        <f t="shared" si="117"/>
        <v>121.45320482521936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3" t="s">
        <v>107</v>
      </c>
      <c r="C319" s="331">
        <f t="shared" ref="C319:J319" si="118">C306</f>
        <v>0</v>
      </c>
      <c r="D319" s="331">
        <f t="shared" si="118"/>
        <v>0</v>
      </c>
      <c r="E319" s="331">
        <f t="shared" si="118"/>
        <v>0</v>
      </c>
      <c r="F319" s="331">
        <f t="shared" si="118"/>
        <v>0</v>
      </c>
      <c r="G319" s="518">
        <f t="shared" si="118"/>
        <v>46720.167529999999</v>
      </c>
      <c r="H319" s="518">
        <f t="shared" si="118"/>
        <v>15573.380000000001</v>
      </c>
      <c r="I319" s="518">
        <f t="shared" si="118"/>
        <v>13639.705110000001</v>
      </c>
      <c r="J319" s="518">
        <f t="shared" si="118"/>
        <v>87.58346043055522</v>
      </c>
    </row>
    <row r="320" spans="1:247" ht="15.75" thickBot="1" x14ac:dyDescent="0.3">
      <c r="A320" s="18">
        <v>1</v>
      </c>
      <c r="B320" s="86" t="s">
        <v>10</v>
      </c>
      <c r="C320" s="28"/>
      <c r="D320" s="28"/>
      <c r="E320" s="169"/>
      <c r="F320" s="28"/>
      <c r="G320" s="503"/>
      <c r="H320" s="503"/>
      <c r="I320" s="504"/>
      <c r="J320" s="503"/>
    </row>
    <row r="321" spans="1:247" ht="29.25" x14ac:dyDescent="0.25">
      <c r="A321" s="18">
        <v>1</v>
      </c>
      <c r="B321" s="211" t="s">
        <v>78</v>
      </c>
      <c r="C321" s="139"/>
      <c r="D321" s="139"/>
      <c r="E321" s="139"/>
      <c r="F321" s="139"/>
      <c r="G321" s="646"/>
      <c r="H321" s="646"/>
      <c r="I321" s="519"/>
      <c r="J321" s="646"/>
    </row>
    <row r="322" spans="1:247" s="36" customFormat="1" ht="30" x14ac:dyDescent="0.25">
      <c r="A322" s="18">
        <v>1</v>
      </c>
      <c r="B322" s="73" t="s">
        <v>120</v>
      </c>
      <c r="C322" s="114">
        <f>SUM(C323:C326)</f>
        <v>3295</v>
      </c>
      <c r="D322" s="114">
        <f>SUM(D323:D326)</f>
        <v>1098</v>
      </c>
      <c r="E322" s="114">
        <f>SUM(E323:E326)</f>
        <v>787</v>
      </c>
      <c r="F322" s="114">
        <f>E322/D322*100</f>
        <v>71.67577413479053</v>
      </c>
      <c r="G322" s="466">
        <f>SUM(G323:G326)</f>
        <v>6315.0936700000002</v>
      </c>
      <c r="H322" s="466">
        <f>SUM(H323:H326)</f>
        <v>2105.0300000000002</v>
      </c>
      <c r="I322" s="466">
        <f>SUM(I323:I326)</f>
        <v>1225.1381699999999</v>
      </c>
      <c r="J322" s="466">
        <f t="shared" ref="J322:J332" si="119">I322/H322*100</f>
        <v>58.200508781347523</v>
      </c>
    </row>
    <row r="323" spans="1:247" s="36" customFormat="1" ht="30" x14ac:dyDescent="0.25">
      <c r="A323" s="18">
        <v>1</v>
      </c>
      <c r="B323" s="72" t="s">
        <v>79</v>
      </c>
      <c r="C323" s="114">
        <v>2326</v>
      </c>
      <c r="D323" s="108">
        <f t="shared" ref="D323:D330" si="120">ROUND(C323/12*$B$3,0)</f>
        <v>775</v>
      </c>
      <c r="E323" s="114">
        <v>606</v>
      </c>
      <c r="F323" s="114">
        <f>E323/D323*100</f>
        <v>78.193548387096783</v>
      </c>
      <c r="G323" s="466">
        <v>3271.1419999999998</v>
      </c>
      <c r="H323" s="639">
        <f t="shared" ref="H323:H326" si="121">ROUND(G323/12*$B$3,2)</f>
        <v>1090.3800000000001</v>
      </c>
      <c r="I323" s="466">
        <v>900.57879999999989</v>
      </c>
      <c r="J323" s="466">
        <f t="shared" si="119"/>
        <v>82.593114327115302</v>
      </c>
    </row>
    <row r="324" spans="1:247" s="36" customFormat="1" ht="30" x14ac:dyDescent="0.25">
      <c r="A324" s="18">
        <v>1</v>
      </c>
      <c r="B324" s="72" t="s">
        <v>80</v>
      </c>
      <c r="C324" s="114">
        <v>698</v>
      </c>
      <c r="D324" s="108">
        <f t="shared" si="120"/>
        <v>233</v>
      </c>
      <c r="E324" s="114">
        <v>181</v>
      </c>
      <c r="F324" s="114">
        <f>E324/D324*100</f>
        <v>77.682403433476395</v>
      </c>
      <c r="G324" s="466">
        <v>1265.62799</v>
      </c>
      <c r="H324" s="639">
        <f t="shared" si="121"/>
        <v>421.88</v>
      </c>
      <c r="I324" s="466">
        <v>324.55937</v>
      </c>
      <c r="J324" s="466">
        <f t="shared" si="119"/>
        <v>76.931679624537779</v>
      </c>
    </row>
    <row r="325" spans="1:247" s="36" customFormat="1" ht="45" x14ac:dyDescent="0.25">
      <c r="A325" s="18">
        <v>1</v>
      </c>
      <c r="B325" s="72" t="s">
        <v>114</v>
      </c>
      <c r="C325" s="114">
        <v>21</v>
      </c>
      <c r="D325" s="108">
        <f t="shared" si="120"/>
        <v>7</v>
      </c>
      <c r="E325" s="114">
        <v>0</v>
      </c>
      <c r="F325" s="114">
        <f>E325/D325*100</f>
        <v>0</v>
      </c>
      <c r="G325" s="466">
        <v>137.80367999999999</v>
      </c>
      <c r="H325" s="639">
        <f t="shared" si="121"/>
        <v>45.93</v>
      </c>
      <c r="I325" s="466">
        <v>0</v>
      </c>
      <c r="J325" s="466">
        <f t="shared" si="119"/>
        <v>0</v>
      </c>
    </row>
    <row r="326" spans="1:247" s="36" customFormat="1" ht="30" x14ac:dyDescent="0.25">
      <c r="A326" s="18">
        <v>1</v>
      </c>
      <c r="B326" s="72" t="s">
        <v>115</v>
      </c>
      <c r="C326" s="114">
        <v>250</v>
      </c>
      <c r="D326" s="108">
        <f t="shared" si="120"/>
        <v>83</v>
      </c>
      <c r="E326" s="114">
        <v>0</v>
      </c>
      <c r="F326" s="114">
        <f t="shared" ref="F326:F330" si="122">E326/D326*100</f>
        <v>0</v>
      </c>
      <c r="G326" s="466">
        <v>1640.52</v>
      </c>
      <c r="H326" s="639">
        <f t="shared" si="121"/>
        <v>546.84</v>
      </c>
      <c r="I326" s="466">
        <v>0</v>
      </c>
      <c r="J326" s="466">
        <f t="shared" si="119"/>
        <v>0</v>
      </c>
    </row>
    <row r="327" spans="1:247" s="36" customFormat="1" ht="30" x14ac:dyDescent="0.25">
      <c r="A327" s="18">
        <v>1</v>
      </c>
      <c r="B327" s="73" t="s">
        <v>112</v>
      </c>
      <c r="C327" s="114">
        <f>SUM(C328:C330)</f>
        <v>7360</v>
      </c>
      <c r="D327" s="114">
        <f>SUM(D328:D330)</f>
        <v>2454</v>
      </c>
      <c r="E327" s="114">
        <f>SUM(E328:E330)</f>
        <v>1605</v>
      </c>
      <c r="F327" s="114">
        <f t="shared" si="122"/>
        <v>65.40342298288509</v>
      </c>
      <c r="G327" s="459">
        <f>SUM(G328:G330)</f>
        <v>15168.309600000001</v>
      </c>
      <c r="H327" s="459">
        <f>SUM(H328:H330)</f>
        <v>5056.1000000000004</v>
      </c>
      <c r="I327" s="459">
        <f>SUM(I328:I330)</f>
        <v>3533.0085699999995</v>
      </c>
      <c r="J327" s="466">
        <f t="shared" si="119"/>
        <v>69.876160874982688</v>
      </c>
    </row>
    <row r="328" spans="1:247" s="36" customFormat="1" ht="30" x14ac:dyDescent="0.25">
      <c r="A328" s="18">
        <v>1</v>
      </c>
      <c r="B328" s="72" t="s">
        <v>108</v>
      </c>
      <c r="C328" s="114">
        <v>2000</v>
      </c>
      <c r="D328" s="108">
        <f t="shared" si="120"/>
        <v>667</v>
      </c>
      <c r="E328" s="114">
        <v>493</v>
      </c>
      <c r="F328" s="114">
        <f t="shared" si="122"/>
        <v>73.91304347826086</v>
      </c>
      <c r="G328" s="466">
        <f>4241020/1000</f>
        <v>4241.0200000000004</v>
      </c>
      <c r="H328" s="639">
        <f t="shared" ref="H328:H331" si="123">ROUND(G328/12*$B$3,2)</f>
        <v>1413.67</v>
      </c>
      <c r="I328" s="466">
        <v>1029.2516600000001</v>
      </c>
      <c r="J328" s="466">
        <f t="shared" si="119"/>
        <v>72.807066712882076</v>
      </c>
    </row>
    <row r="329" spans="1:247" s="36" customFormat="1" ht="60" x14ac:dyDescent="0.25">
      <c r="A329" s="18">
        <v>1</v>
      </c>
      <c r="B329" s="72" t="s">
        <v>119</v>
      </c>
      <c r="C329" s="114">
        <v>3200</v>
      </c>
      <c r="D329" s="108">
        <f t="shared" si="120"/>
        <v>1067</v>
      </c>
      <c r="E329" s="114">
        <v>806</v>
      </c>
      <c r="F329" s="114">
        <f t="shared" si="122"/>
        <v>75.538894095595126</v>
      </c>
      <c r="G329" s="466">
        <f>8810144/1000</f>
        <v>8810.1440000000002</v>
      </c>
      <c r="H329" s="639">
        <f t="shared" si="123"/>
        <v>2936.71</v>
      </c>
      <c r="I329" s="466">
        <v>2178.4639699999998</v>
      </c>
      <c r="J329" s="466">
        <f t="shared" si="119"/>
        <v>74.180425373972909</v>
      </c>
    </row>
    <row r="330" spans="1:247" s="36" customFormat="1" ht="45" x14ac:dyDescent="0.25">
      <c r="A330" s="18">
        <v>1</v>
      </c>
      <c r="B330" s="72" t="s">
        <v>109</v>
      </c>
      <c r="C330" s="114">
        <v>2160</v>
      </c>
      <c r="D330" s="108">
        <f t="shared" si="120"/>
        <v>720</v>
      </c>
      <c r="E330" s="114">
        <v>306</v>
      </c>
      <c r="F330" s="114">
        <f t="shared" si="122"/>
        <v>42.5</v>
      </c>
      <c r="G330" s="466">
        <f>2117145.6/1000</f>
        <v>2117.1456000000003</v>
      </c>
      <c r="H330" s="639">
        <f t="shared" si="123"/>
        <v>705.72</v>
      </c>
      <c r="I330" s="466">
        <v>325.29293999999999</v>
      </c>
      <c r="J330" s="466">
        <f t="shared" si="119"/>
        <v>46.093768066655329</v>
      </c>
    </row>
    <row r="331" spans="1:247" s="36" customFormat="1" ht="30.75" thickBot="1" x14ac:dyDescent="0.3">
      <c r="A331" s="18"/>
      <c r="B331" s="659" t="s">
        <v>123</v>
      </c>
      <c r="C331" s="114">
        <v>12300</v>
      </c>
      <c r="D331" s="108">
        <f>ROUND(C331/12*$B$3,0)</f>
        <v>4100</v>
      </c>
      <c r="E331" s="114">
        <v>4448</v>
      </c>
      <c r="F331" s="116">
        <f>E331/D331*100</f>
        <v>108.48780487804879</v>
      </c>
      <c r="G331" s="466">
        <v>11970.606</v>
      </c>
      <c r="H331" s="639">
        <f t="shared" si="123"/>
        <v>3990.2</v>
      </c>
      <c r="I331" s="466">
        <v>4327.0216400000008</v>
      </c>
      <c r="J331" s="466">
        <f>I331/H331*100</f>
        <v>108.44122199388504</v>
      </c>
    </row>
    <row r="332" spans="1:247" s="36" customFormat="1" ht="15.75" thickBot="1" x14ac:dyDescent="0.3">
      <c r="A332" s="18">
        <v>1</v>
      </c>
      <c r="B332" s="205" t="s">
        <v>3</v>
      </c>
      <c r="C332" s="24"/>
      <c r="D332" s="24"/>
      <c r="E332" s="24"/>
      <c r="F332" s="24"/>
      <c r="G332" s="470">
        <f>G327+G322+G331</f>
        <v>33454.009270000002</v>
      </c>
      <c r="H332" s="470">
        <f>H327+H322+H331</f>
        <v>11151.330000000002</v>
      </c>
      <c r="I332" s="470">
        <f>I327+I322+I331</f>
        <v>9085.1683799999992</v>
      </c>
      <c r="J332" s="470">
        <f t="shared" si="119"/>
        <v>81.47161262378566</v>
      </c>
    </row>
    <row r="333" spans="1:247" x14ac:dyDescent="0.25">
      <c r="A333" s="18">
        <v>1</v>
      </c>
      <c r="B333" s="271" t="s">
        <v>46</v>
      </c>
      <c r="C333" s="272"/>
      <c r="D333" s="272"/>
      <c r="E333" s="272"/>
      <c r="F333" s="272"/>
      <c r="G333" s="520"/>
      <c r="H333" s="520"/>
      <c r="I333" s="520"/>
      <c r="J333" s="520"/>
    </row>
    <row r="334" spans="1:247" s="10" customFormat="1" ht="30" x14ac:dyDescent="0.25">
      <c r="A334" s="18">
        <v>1</v>
      </c>
      <c r="B334" s="235" t="s">
        <v>120</v>
      </c>
      <c r="C334" s="332">
        <f t="shared" ref="C334:J342" si="124">C322</f>
        <v>3295</v>
      </c>
      <c r="D334" s="332">
        <f t="shared" si="124"/>
        <v>1098</v>
      </c>
      <c r="E334" s="332">
        <f t="shared" si="124"/>
        <v>787</v>
      </c>
      <c r="F334" s="332">
        <f t="shared" si="124"/>
        <v>71.67577413479053</v>
      </c>
      <c r="G334" s="521">
        <f t="shared" si="124"/>
        <v>6315.0936700000002</v>
      </c>
      <c r="H334" s="521">
        <f t="shared" si="124"/>
        <v>2105.0300000000002</v>
      </c>
      <c r="I334" s="521">
        <f t="shared" si="124"/>
        <v>1225.1381699999999</v>
      </c>
      <c r="J334" s="521">
        <f t="shared" si="124"/>
        <v>58.200508781347523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1" t="s">
        <v>79</v>
      </c>
      <c r="C335" s="332">
        <f t="shared" si="124"/>
        <v>2326</v>
      </c>
      <c r="D335" s="332">
        <f t="shared" si="124"/>
        <v>775</v>
      </c>
      <c r="E335" s="332">
        <f t="shared" si="124"/>
        <v>606</v>
      </c>
      <c r="F335" s="332">
        <f t="shared" si="124"/>
        <v>78.193548387096783</v>
      </c>
      <c r="G335" s="521">
        <f t="shared" si="124"/>
        <v>3271.1419999999998</v>
      </c>
      <c r="H335" s="521">
        <f t="shared" si="124"/>
        <v>1090.3800000000001</v>
      </c>
      <c r="I335" s="521">
        <f t="shared" si="124"/>
        <v>900.57879999999989</v>
      </c>
      <c r="J335" s="521">
        <f t="shared" si="124"/>
        <v>82.593114327115302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1" t="s">
        <v>80</v>
      </c>
      <c r="C336" s="332">
        <f t="shared" si="124"/>
        <v>698</v>
      </c>
      <c r="D336" s="332">
        <f t="shared" si="124"/>
        <v>233</v>
      </c>
      <c r="E336" s="332">
        <f t="shared" si="124"/>
        <v>181</v>
      </c>
      <c r="F336" s="332">
        <f t="shared" si="124"/>
        <v>77.682403433476395</v>
      </c>
      <c r="G336" s="521">
        <f t="shared" si="124"/>
        <v>1265.62799</v>
      </c>
      <c r="H336" s="521">
        <f t="shared" si="124"/>
        <v>421.88</v>
      </c>
      <c r="I336" s="521">
        <f t="shared" si="124"/>
        <v>324.55937</v>
      </c>
      <c r="J336" s="521">
        <f t="shared" si="124"/>
        <v>76.931679624537779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1" t="s">
        <v>114</v>
      </c>
      <c r="C337" s="332">
        <f t="shared" si="124"/>
        <v>21</v>
      </c>
      <c r="D337" s="332">
        <f t="shared" si="124"/>
        <v>7</v>
      </c>
      <c r="E337" s="332">
        <f t="shared" si="124"/>
        <v>0</v>
      </c>
      <c r="F337" s="332">
        <f t="shared" si="124"/>
        <v>0</v>
      </c>
      <c r="G337" s="521">
        <f t="shared" si="124"/>
        <v>137.80367999999999</v>
      </c>
      <c r="H337" s="521">
        <f t="shared" si="124"/>
        <v>45.93</v>
      </c>
      <c r="I337" s="521">
        <f t="shared" si="124"/>
        <v>0</v>
      </c>
      <c r="J337" s="521">
        <f t="shared" si="124"/>
        <v>0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1" t="s">
        <v>115</v>
      </c>
      <c r="C338" s="332">
        <f t="shared" si="124"/>
        <v>250</v>
      </c>
      <c r="D338" s="332">
        <f t="shared" si="124"/>
        <v>83</v>
      </c>
      <c r="E338" s="332">
        <f t="shared" si="124"/>
        <v>0</v>
      </c>
      <c r="F338" s="332">
        <f t="shared" si="124"/>
        <v>0</v>
      </c>
      <c r="G338" s="521">
        <f t="shared" si="124"/>
        <v>1640.52</v>
      </c>
      <c r="H338" s="521">
        <f t="shared" si="124"/>
        <v>546.84</v>
      </c>
      <c r="I338" s="521">
        <f t="shared" si="124"/>
        <v>0</v>
      </c>
      <c r="J338" s="521">
        <f t="shared" si="124"/>
        <v>0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5" t="s">
        <v>112</v>
      </c>
      <c r="C339" s="332">
        <f t="shared" si="124"/>
        <v>7360</v>
      </c>
      <c r="D339" s="332">
        <f t="shared" si="124"/>
        <v>2454</v>
      </c>
      <c r="E339" s="332">
        <f t="shared" si="124"/>
        <v>1605</v>
      </c>
      <c r="F339" s="332">
        <f t="shared" si="124"/>
        <v>65.40342298288509</v>
      </c>
      <c r="G339" s="521">
        <f t="shared" si="124"/>
        <v>15168.309600000001</v>
      </c>
      <c r="H339" s="521">
        <f t="shared" si="124"/>
        <v>5056.1000000000004</v>
      </c>
      <c r="I339" s="521">
        <f t="shared" si="124"/>
        <v>3533.0085699999995</v>
      </c>
      <c r="J339" s="521">
        <f t="shared" si="124"/>
        <v>69.876160874982688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1" t="s">
        <v>108</v>
      </c>
      <c r="C340" s="332">
        <f t="shared" si="124"/>
        <v>2000</v>
      </c>
      <c r="D340" s="332">
        <f t="shared" si="124"/>
        <v>667</v>
      </c>
      <c r="E340" s="332">
        <f t="shared" si="124"/>
        <v>493</v>
      </c>
      <c r="F340" s="332">
        <f t="shared" si="124"/>
        <v>73.91304347826086</v>
      </c>
      <c r="G340" s="521">
        <f t="shared" si="124"/>
        <v>4241.0200000000004</v>
      </c>
      <c r="H340" s="521">
        <f t="shared" si="124"/>
        <v>1413.67</v>
      </c>
      <c r="I340" s="521">
        <f t="shared" si="124"/>
        <v>1029.2516600000001</v>
      </c>
      <c r="J340" s="521">
        <f t="shared" si="124"/>
        <v>72.807066712882076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1" t="s">
        <v>81</v>
      </c>
      <c r="C341" s="332">
        <f t="shared" si="124"/>
        <v>3200</v>
      </c>
      <c r="D341" s="332">
        <f t="shared" si="124"/>
        <v>1067</v>
      </c>
      <c r="E341" s="332">
        <f t="shared" si="124"/>
        <v>806</v>
      </c>
      <c r="F341" s="332">
        <f t="shared" si="124"/>
        <v>75.538894095595126</v>
      </c>
      <c r="G341" s="521">
        <f t="shared" si="124"/>
        <v>8810.1440000000002</v>
      </c>
      <c r="H341" s="521">
        <f t="shared" si="124"/>
        <v>2936.71</v>
      </c>
      <c r="I341" s="521">
        <f t="shared" si="124"/>
        <v>2178.4639699999998</v>
      </c>
      <c r="J341" s="521">
        <f t="shared" si="124"/>
        <v>74.180425373972909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1" t="s">
        <v>109</v>
      </c>
      <c r="C342" s="332">
        <f t="shared" si="124"/>
        <v>2160</v>
      </c>
      <c r="D342" s="332">
        <f t="shared" si="124"/>
        <v>720</v>
      </c>
      <c r="E342" s="332">
        <f t="shared" si="124"/>
        <v>306</v>
      </c>
      <c r="F342" s="332">
        <f t="shared" si="124"/>
        <v>42.5</v>
      </c>
      <c r="G342" s="521">
        <f t="shared" si="124"/>
        <v>2117.1456000000003</v>
      </c>
      <c r="H342" s="521">
        <f t="shared" si="124"/>
        <v>705.72</v>
      </c>
      <c r="I342" s="521">
        <f t="shared" si="124"/>
        <v>325.29293999999999</v>
      </c>
      <c r="J342" s="521">
        <f t="shared" si="124"/>
        <v>46.093768066655329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7" t="s">
        <v>123</v>
      </c>
      <c r="C343" s="708">
        <f t="shared" ref="C343:J343" si="125">SUM(C331)</f>
        <v>12300</v>
      </c>
      <c r="D343" s="708">
        <f t="shared" si="125"/>
        <v>4100</v>
      </c>
      <c r="E343" s="708">
        <f t="shared" si="125"/>
        <v>4448</v>
      </c>
      <c r="F343" s="708">
        <f t="shared" si="125"/>
        <v>108.48780487804879</v>
      </c>
      <c r="G343" s="708">
        <f t="shared" si="125"/>
        <v>11970.606</v>
      </c>
      <c r="H343" s="708">
        <f t="shared" si="125"/>
        <v>3990.2</v>
      </c>
      <c r="I343" s="708">
        <f t="shared" si="125"/>
        <v>4327.0216400000008</v>
      </c>
      <c r="J343" s="332">
        <f t="shared" si="125"/>
        <v>108.44122199388504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9" t="s">
        <v>4</v>
      </c>
      <c r="C344" s="710">
        <f t="shared" ref="C344:J344" si="126">C332</f>
        <v>0</v>
      </c>
      <c r="D344" s="710">
        <f t="shared" si="126"/>
        <v>0</v>
      </c>
      <c r="E344" s="710">
        <f t="shared" si="126"/>
        <v>0</v>
      </c>
      <c r="F344" s="710">
        <f t="shared" si="126"/>
        <v>0</v>
      </c>
      <c r="G344" s="711">
        <f t="shared" si="126"/>
        <v>33454.009270000002</v>
      </c>
      <c r="H344" s="711">
        <f t="shared" si="126"/>
        <v>11151.330000000002</v>
      </c>
      <c r="I344" s="711">
        <f t="shared" si="126"/>
        <v>9085.1683799999992</v>
      </c>
      <c r="J344" s="488">
        <f t="shared" si="126"/>
        <v>81.47161262378566</v>
      </c>
    </row>
    <row r="345" spans="1:247" ht="15" customHeight="1" x14ac:dyDescent="0.25">
      <c r="A345" s="18">
        <v>1</v>
      </c>
      <c r="B345" s="86" t="s">
        <v>15</v>
      </c>
      <c r="C345" s="5"/>
      <c r="D345" s="5"/>
      <c r="E345" s="168"/>
      <c r="F345" s="5"/>
      <c r="G345" s="503"/>
      <c r="H345" s="503"/>
      <c r="I345" s="504"/>
      <c r="J345" s="503"/>
    </row>
    <row r="346" spans="1:247" ht="29.25" x14ac:dyDescent="0.25">
      <c r="A346" s="18">
        <v>1</v>
      </c>
      <c r="B346" s="74" t="s">
        <v>55</v>
      </c>
      <c r="C346" s="125"/>
      <c r="D346" s="125"/>
      <c r="E346" s="125"/>
      <c r="F346" s="125"/>
      <c r="G346" s="459"/>
      <c r="H346" s="459"/>
      <c r="I346" s="459"/>
      <c r="J346" s="459"/>
    </row>
    <row r="347" spans="1:247" s="36" customFormat="1" ht="30" x14ac:dyDescent="0.25">
      <c r="A347" s="18">
        <v>1</v>
      </c>
      <c r="B347" s="73" t="s">
        <v>120</v>
      </c>
      <c r="C347" s="114">
        <f>SUM(C348:C351)</f>
        <v>400</v>
      </c>
      <c r="D347" s="114">
        <f>SUM(D348:D351)</f>
        <v>134</v>
      </c>
      <c r="E347" s="114">
        <f>SUM(E348:E351)</f>
        <v>126</v>
      </c>
      <c r="F347" s="114">
        <f>E347/D347*100</f>
        <v>94.029850746268664</v>
      </c>
      <c r="G347" s="466">
        <f>SUM(G348:G351)</f>
        <v>794.96517999999992</v>
      </c>
      <c r="H347" s="466">
        <f>SUM(H348:H351)</f>
        <v>264.99</v>
      </c>
      <c r="I347" s="466">
        <f>SUM(I348:I351)</f>
        <v>172.84364000000002</v>
      </c>
      <c r="J347" s="466">
        <f t="shared" ref="J347:J367" si="127">I347/H347*100</f>
        <v>65.226476470810226</v>
      </c>
    </row>
    <row r="348" spans="1:247" s="36" customFormat="1" ht="30" x14ac:dyDescent="0.25">
      <c r="A348" s="18">
        <v>1</v>
      </c>
      <c r="B348" s="72" t="s">
        <v>79</v>
      </c>
      <c r="C348" s="114">
        <v>278</v>
      </c>
      <c r="D348" s="108">
        <f t="shared" ref="D348:D355" si="128">ROUND(C348/12*$B$3,0)</f>
        <v>93</v>
      </c>
      <c r="E348" s="114">
        <v>126</v>
      </c>
      <c r="F348" s="114">
        <f>E348/D348*100</f>
        <v>135.48387096774192</v>
      </c>
      <c r="G348" s="466">
        <v>422.80919999999998</v>
      </c>
      <c r="H348" s="639">
        <f t="shared" ref="H348:H351" si="129">ROUND(G348/12*$B$3,2)</f>
        <v>140.94</v>
      </c>
      <c r="I348" s="466">
        <v>185.92850000000001</v>
      </c>
      <c r="J348" s="466">
        <f t="shared" si="127"/>
        <v>131.92032070384562</v>
      </c>
    </row>
    <row r="349" spans="1:247" s="36" customFormat="1" ht="30" x14ac:dyDescent="0.25">
      <c r="A349" s="18">
        <v>1</v>
      </c>
      <c r="B349" s="72" t="s">
        <v>80</v>
      </c>
      <c r="C349" s="114">
        <v>83</v>
      </c>
      <c r="D349" s="108">
        <f t="shared" si="128"/>
        <v>28</v>
      </c>
      <c r="E349" s="114">
        <v>0</v>
      </c>
      <c r="F349" s="114">
        <f>E349/D349*100</f>
        <v>0</v>
      </c>
      <c r="G349" s="466">
        <v>116.23486</v>
      </c>
      <c r="H349" s="639">
        <f t="shared" si="129"/>
        <v>38.74</v>
      </c>
      <c r="I349" s="466">
        <v>-13.084860000000001</v>
      </c>
      <c r="J349" s="466">
        <f t="shared" si="127"/>
        <v>-33.776097057305108</v>
      </c>
    </row>
    <row r="350" spans="1:247" s="36" customFormat="1" ht="45" x14ac:dyDescent="0.25">
      <c r="A350" s="18">
        <v>1</v>
      </c>
      <c r="B350" s="72" t="s">
        <v>114</v>
      </c>
      <c r="C350" s="114"/>
      <c r="D350" s="108">
        <f t="shared" si="128"/>
        <v>0</v>
      </c>
      <c r="E350" s="114"/>
      <c r="F350" s="114"/>
      <c r="G350" s="471"/>
      <c r="H350" s="639">
        <f t="shared" si="129"/>
        <v>0</v>
      </c>
      <c r="I350" s="466"/>
      <c r="J350" s="466"/>
    </row>
    <row r="351" spans="1:247" s="36" customFormat="1" ht="30" x14ac:dyDescent="0.25">
      <c r="A351" s="18">
        <v>1</v>
      </c>
      <c r="B351" s="72" t="s">
        <v>115</v>
      </c>
      <c r="C351" s="114">
        <v>39</v>
      </c>
      <c r="D351" s="108">
        <f t="shared" si="128"/>
        <v>13</v>
      </c>
      <c r="E351" s="114"/>
      <c r="F351" s="114">
        <f t="shared" ref="F351:F355" si="130">E351/D351*100</f>
        <v>0</v>
      </c>
      <c r="G351" s="466">
        <v>255.92112</v>
      </c>
      <c r="H351" s="639">
        <f t="shared" si="129"/>
        <v>85.31</v>
      </c>
      <c r="I351" s="466"/>
      <c r="J351" s="466">
        <f t="shared" si="127"/>
        <v>0</v>
      </c>
    </row>
    <row r="352" spans="1:247" s="36" customFormat="1" ht="30" x14ac:dyDescent="0.25">
      <c r="A352" s="18">
        <v>1</v>
      </c>
      <c r="B352" s="73" t="s">
        <v>112</v>
      </c>
      <c r="C352" s="114">
        <f>SUM(C353:C355)</f>
        <v>723</v>
      </c>
      <c r="D352" s="114">
        <f>SUM(D353:D355)</f>
        <v>242</v>
      </c>
      <c r="E352" s="114">
        <f>SUM(E353:E355)</f>
        <v>158</v>
      </c>
      <c r="F352" s="114">
        <f t="shared" si="130"/>
        <v>65.289256198347118</v>
      </c>
      <c r="G352" s="459">
        <f>SUM(G353:G355)</f>
        <v>1484.9919300000001</v>
      </c>
      <c r="H352" s="459">
        <f>SUM(H353:H355)</f>
        <v>494.99999999999994</v>
      </c>
      <c r="I352" s="459">
        <f>SUM(I353:I355)</f>
        <v>405.36119000000008</v>
      </c>
      <c r="J352" s="466">
        <f t="shared" si="127"/>
        <v>81.891149494949516</v>
      </c>
    </row>
    <row r="353" spans="1:247" s="36" customFormat="1" ht="30" x14ac:dyDescent="0.25">
      <c r="A353" s="18">
        <v>1</v>
      </c>
      <c r="B353" s="72" t="s">
        <v>108</v>
      </c>
      <c r="C353" s="114">
        <v>20</v>
      </c>
      <c r="D353" s="108">
        <f t="shared" si="128"/>
        <v>7</v>
      </c>
      <c r="E353" s="114">
        <v>0</v>
      </c>
      <c r="F353" s="114">
        <f t="shared" si="130"/>
        <v>0</v>
      </c>
      <c r="G353" s="466">
        <v>42.410199999999996</v>
      </c>
      <c r="H353" s="639">
        <f t="shared" ref="H353:H356" si="131">ROUND(G353/12*$B$3,2)</f>
        <v>14.14</v>
      </c>
      <c r="I353" s="466"/>
      <c r="J353" s="466">
        <f t="shared" si="127"/>
        <v>0</v>
      </c>
    </row>
    <row r="354" spans="1:247" s="36" customFormat="1" ht="58.5" customHeight="1" x14ac:dyDescent="0.25">
      <c r="A354" s="18">
        <v>1</v>
      </c>
      <c r="B354" s="72" t="s">
        <v>119</v>
      </c>
      <c r="C354" s="114">
        <v>425</v>
      </c>
      <c r="D354" s="108">
        <f t="shared" si="128"/>
        <v>142</v>
      </c>
      <c r="E354" s="114">
        <v>149</v>
      </c>
      <c r="F354" s="114">
        <f t="shared" si="130"/>
        <v>104.92957746478872</v>
      </c>
      <c r="G354" s="466">
        <v>1170.09725</v>
      </c>
      <c r="H354" s="639">
        <f t="shared" si="131"/>
        <v>390.03</v>
      </c>
      <c r="I354" s="466">
        <v>397.12529000000006</v>
      </c>
      <c r="J354" s="466">
        <f t="shared" si="127"/>
        <v>101.81916519242111</v>
      </c>
    </row>
    <row r="355" spans="1:247" s="36" customFormat="1" ht="45" x14ac:dyDescent="0.25">
      <c r="A355" s="18">
        <v>1</v>
      </c>
      <c r="B355" s="72" t="s">
        <v>109</v>
      </c>
      <c r="C355" s="114">
        <v>278</v>
      </c>
      <c r="D355" s="108">
        <f t="shared" si="128"/>
        <v>93</v>
      </c>
      <c r="E355" s="114">
        <v>9</v>
      </c>
      <c r="F355" s="114">
        <f t="shared" si="130"/>
        <v>9.67741935483871</v>
      </c>
      <c r="G355" s="466">
        <v>272.48447999999996</v>
      </c>
      <c r="H355" s="639">
        <f t="shared" si="131"/>
        <v>90.83</v>
      </c>
      <c r="I355" s="466">
        <v>8.2358999999999991</v>
      </c>
      <c r="J355" s="466">
        <f t="shared" si="127"/>
        <v>9.0673786193988768</v>
      </c>
    </row>
    <row r="356" spans="1:247" s="36" customFormat="1" ht="30.75" thickBot="1" x14ac:dyDescent="0.3">
      <c r="A356" s="18"/>
      <c r="B356" s="659" t="s">
        <v>123</v>
      </c>
      <c r="C356" s="175">
        <v>990</v>
      </c>
      <c r="D356" s="301">
        <f>ROUND(C356/12*$B$3,0)</f>
        <v>330</v>
      </c>
      <c r="E356" s="175">
        <v>275</v>
      </c>
      <c r="F356" s="175">
        <f>E356/D356*100</f>
        <v>83.333333333333343</v>
      </c>
      <c r="G356" s="467">
        <v>963.48779999999999</v>
      </c>
      <c r="H356" s="640">
        <f t="shared" si="131"/>
        <v>321.16000000000003</v>
      </c>
      <c r="I356" s="467">
        <v>266.01731999999998</v>
      </c>
      <c r="J356" s="467">
        <f>I356/H356*100</f>
        <v>82.830153194669307</v>
      </c>
    </row>
    <row r="357" spans="1:247" ht="19.5" customHeight="1" thickBot="1" x14ac:dyDescent="0.3">
      <c r="A357" s="18">
        <v>1</v>
      </c>
      <c r="B357" s="112" t="s">
        <v>3</v>
      </c>
      <c r="C357" s="537"/>
      <c r="D357" s="537"/>
      <c r="E357" s="537"/>
      <c r="F357" s="340"/>
      <c r="G357" s="538">
        <f>G352+G347+G356</f>
        <v>3243.4449100000002</v>
      </c>
      <c r="H357" s="538">
        <f>H352+H347+H356</f>
        <v>1081.1500000000001</v>
      </c>
      <c r="I357" s="538">
        <f>I352+I347+I356</f>
        <v>844.22215000000006</v>
      </c>
      <c r="J357" s="472">
        <f t="shared" si="127"/>
        <v>78.085570919853851</v>
      </c>
    </row>
    <row r="358" spans="1:247" ht="29.25" x14ac:dyDescent="0.25">
      <c r="A358" s="18">
        <v>1</v>
      </c>
      <c r="B358" s="273" t="s">
        <v>47</v>
      </c>
      <c r="C358" s="274"/>
      <c r="D358" s="274"/>
      <c r="E358" s="274"/>
      <c r="F358" s="274"/>
      <c r="G358" s="522"/>
      <c r="H358" s="522"/>
      <c r="I358" s="522"/>
      <c r="J358" s="522"/>
    </row>
    <row r="359" spans="1:247" s="10" customFormat="1" ht="48" customHeight="1" x14ac:dyDescent="0.25">
      <c r="A359" s="18">
        <v>1</v>
      </c>
      <c r="B359" s="199" t="s">
        <v>120</v>
      </c>
      <c r="C359" s="333">
        <f t="shared" ref="C359:I369" si="132">C347</f>
        <v>400</v>
      </c>
      <c r="D359" s="333">
        <f t="shared" si="132"/>
        <v>134</v>
      </c>
      <c r="E359" s="333">
        <f t="shared" si="132"/>
        <v>126</v>
      </c>
      <c r="F359" s="333">
        <f t="shared" si="132"/>
        <v>94.029850746268664</v>
      </c>
      <c r="G359" s="523">
        <f t="shared" si="132"/>
        <v>794.96517999999992</v>
      </c>
      <c r="H359" s="523">
        <f t="shared" si="132"/>
        <v>264.99</v>
      </c>
      <c r="I359" s="523">
        <f t="shared" si="132"/>
        <v>172.84364000000002</v>
      </c>
      <c r="J359" s="523">
        <f t="shared" si="127"/>
        <v>65.226476470810226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200" t="s">
        <v>79</v>
      </c>
      <c r="C360" s="333">
        <f t="shared" si="132"/>
        <v>278</v>
      </c>
      <c r="D360" s="333">
        <f t="shared" si="132"/>
        <v>93</v>
      </c>
      <c r="E360" s="333">
        <f t="shared" si="132"/>
        <v>126</v>
      </c>
      <c r="F360" s="333">
        <f t="shared" si="132"/>
        <v>135.48387096774192</v>
      </c>
      <c r="G360" s="523">
        <f t="shared" si="132"/>
        <v>422.80919999999998</v>
      </c>
      <c r="H360" s="523">
        <f t="shared" si="132"/>
        <v>140.94</v>
      </c>
      <c r="I360" s="523">
        <f t="shared" si="132"/>
        <v>185.92850000000001</v>
      </c>
      <c r="J360" s="523">
        <f t="shared" si="127"/>
        <v>131.92032070384562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200" t="s">
        <v>80</v>
      </c>
      <c r="C361" s="333">
        <f t="shared" si="132"/>
        <v>83</v>
      </c>
      <c r="D361" s="333">
        <f t="shared" si="132"/>
        <v>28</v>
      </c>
      <c r="E361" s="333">
        <f t="shared" si="132"/>
        <v>0</v>
      </c>
      <c r="F361" s="333">
        <f t="shared" si="132"/>
        <v>0</v>
      </c>
      <c r="G361" s="523">
        <f t="shared" si="132"/>
        <v>116.23486</v>
      </c>
      <c r="H361" s="523">
        <f t="shared" si="132"/>
        <v>38.74</v>
      </c>
      <c r="I361" s="523">
        <f t="shared" si="132"/>
        <v>-13.084860000000001</v>
      </c>
      <c r="J361" s="523">
        <f t="shared" si="127"/>
        <v>-33.776097057305108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200" t="s">
        <v>114</v>
      </c>
      <c r="C362" s="333">
        <f t="shared" si="132"/>
        <v>0</v>
      </c>
      <c r="D362" s="333">
        <f t="shared" si="132"/>
        <v>0</v>
      </c>
      <c r="E362" s="333">
        <f t="shared" si="132"/>
        <v>0</v>
      </c>
      <c r="F362" s="333">
        <f t="shared" si="132"/>
        <v>0</v>
      </c>
      <c r="G362" s="523">
        <f t="shared" si="132"/>
        <v>0</v>
      </c>
      <c r="H362" s="523">
        <f t="shared" si="132"/>
        <v>0</v>
      </c>
      <c r="I362" s="523">
        <f t="shared" si="132"/>
        <v>0</v>
      </c>
      <c r="J362" s="52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200" t="s">
        <v>115</v>
      </c>
      <c r="C363" s="333">
        <f t="shared" si="132"/>
        <v>39</v>
      </c>
      <c r="D363" s="333">
        <f t="shared" si="132"/>
        <v>13</v>
      </c>
      <c r="E363" s="333">
        <f t="shared" si="132"/>
        <v>0</v>
      </c>
      <c r="F363" s="333">
        <f t="shared" si="132"/>
        <v>0</v>
      </c>
      <c r="G363" s="523">
        <f t="shared" si="132"/>
        <v>255.92112</v>
      </c>
      <c r="H363" s="523">
        <f t="shared" si="132"/>
        <v>85.31</v>
      </c>
      <c r="I363" s="523">
        <f t="shared" si="132"/>
        <v>0</v>
      </c>
      <c r="J363" s="52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9" t="s">
        <v>112</v>
      </c>
      <c r="C364" s="333">
        <f t="shared" si="132"/>
        <v>723</v>
      </c>
      <c r="D364" s="333">
        <f t="shared" si="132"/>
        <v>242</v>
      </c>
      <c r="E364" s="333">
        <f t="shared" si="132"/>
        <v>158</v>
      </c>
      <c r="F364" s="333">
        <f t="shared" si="132"/>
        <v>65.289256198347118</v>
      </c>
      <c r="G364" s="523">
        <f t="shared" si="132"/>
        <v>1484.9919300000001</v>
      </c>
      <c r="H364" s="523">
        <f t="shared" si="132"/>
        <v>494.99999999999994</v>
      </c>
      <c r="I364" s="523">
        <f t="shared" si="132"/>
        <v>405.36119000000008</v>
      </c>
      <c r="J364" s="523">
        <f t="shared" si="127"/>
        <v>81.891149494949516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200" t="s">
        <v>108</v>
      </c>
      <c r="C365" s="333">
        <f t="shared" si="132"/>
        <v>20</v>
      </c>
      <c r="D365" s="333">
        <f t="shared" si="132"/>
        <v>7</v>
      </c>
      <c r="E365" s="333">
        <f t="shared" si="132"/>
        <v>0</v>
      </c>
      <c r="F365" s="333">
        <f t="shared" si="132"/>
        <v>0</v>
      </c>
      <c r="G365" s="523">
        <f t="shared" si="132"/>
        <v>42.410199999999996</v>
      </c>
      <c r="H365" s="523">
        <f t="shared" si="132"/>
        <v>14.14</v>
      </c>
      <c r="I365" s="523">
        <f t="shared" si="132"/>
        <v>0</v>
      </c>
      <c r="J365" s="523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200" t="s">
        <v>81</v>
      </c>
      <c r="C366" s="333">
        <f t="shared" si="132"/>
        <v>425</v>
      </c>
      <c r="D366" s="333">
        <f t="shared" si="132"/>
        <v>142</v>
      </c>
      <c r="E366" s="333">
        <f t="shared" si="132"/>
        <v>149</v>
      </c>
      <c r="F366" s="333">
        <f t="shared" si="132"/>
        <v>104.92957746478872</v>
      </c>
      <c r="G366" s="523">
        <f t="shared" si="132"/>
        <v>1170.09725</v>
      </c>
      <c r="H366" s="523">
        <f t="shared" si="132"/>
        <v>390.03</v>
      </c>
      <c r="I366" s="523">
        <f t="shared" si="132"/>
        <v>397.12529000000006</v>
      </c>
      <c r="J366" s="523">
        <f t="shared" si="127"/>
        <v>101.81916519242111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200" t="s">
        <v>109</v>
      </c>
      <c r="C367" s="333">
        <f t="shared" si="132"/>
        <v>278</v>
      </c>
      <c r="D367" s="333">
        <f t="shared" si="132"/>
        <v>93</v>
      </c>
      <c r="E367" s="333">
        <f t="shared" si="132"/>
        <v>9</v>
      </c>
      <c r="F367" s="333">
        <f t="shared" si="132"/>
        <v>9.67741935483871</v>
      </c>
      <c r="G367" s="523">
        <f t="shared" si="132"/>
        <v>272.48447999999996</v>
      </c>
      <c r="H367" s="523">
        <f t="shared" si="132"/>
        <v>90.83</v>
      </c>
      <c r="I367" s="523">
        <f t="shared" si="132"/>
        <v>8.2358999999999991</v>
      </c>
      <c r="J367" s="523">
        <f t="shared" si="127"/>
        <v>9.0673786193988768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2" t="s">
        <v>123</v>
      </c>
      <c r="C368" s="713">
        <f t="shared" si="132"/>
        <v>990</v>
      </c>
      <c r="D368" s="713">
        <f t="shared" si="132"/>
        <v>330</v>
      </c>
      <c r="E368" s="713">
        <f t="shared" si="132"/>
        <v>275</v>
      </c>
      <c r="F368" s="713">
        <f t="shared" si="132"/>
        <v>83.333333333333343</v>
      </c>
      <c r="G368" s="714">
        <f t="shared" si="132"/>
        <v>963.48779999999999</v>
      </c>
      <c r="H368" s="714">
        <f t="shared" si="132"/>
        <v>321.16000000000003</v>
      </c>
      <c r="I368" s="714">
        <f t="shared" si="132"/>
        <v>266.01731999999998</v>
      </c>
      <c r="J368" s="714">
        <f>I368/H368*100</f>
        <v>82.830153194669307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5" t="s">
        <v>107</v>
      </c>
      <c r="C369" s="716">
        <f t="shared" si="132"/>
        <v>0</v>
      </c>
      <c r="D369" s="716">
        <f t="shared" si="132"/>
        <v>0</v>
      </c>
      <c r="E369" s="716">
        <f t="shared" si="132"/>
        <v>0</v>
      </c>
      <c r="F369" s="716">
        <f t="shared" si="132"/>
        <v>0</v>
      </c>
      <c r="G369" s="717">
        <f t="shared" si="132"/>
        <v>3243.4449100000002</v>
      </c>
      <c r="H369" s="717">
        <f t="shared" si="132"/>
        <v>1081.1500000000001</v>
      </c>
      <c r="I369" s="717">
        <f t="shared" si="132"/>
        <v>844.22215000000006</v>
      </c>
      <c r="J369" s="717">
        <f>J357</f>
        <v>78.085570919853851</v>
      </c>
    </row>
    <row r="370" spans="1:247" s="154" customFormat="1" x14ac:dyDescent="0.25">
      <c r="K370" s="176"/>
      <c r="L370" s="176"/>
      <c r="M370" s="176"/>
      <c r="N370" s="176"/>
      <c r="O370" s="176"/>
      <c r="P370" s="176"/>
      <c r="Q370" s="176"/>
      <c r="R370" s="176"/>
      <c r="S370" s="176"/>
      <c r="T370" s="176"/>
      <c r="U370" s="176"/>
      <c r="V370" s="176"/>
      <c r="W370" s="176"/>
      <c r="X370" s="176"/>
      <c r="Y370" s="176"/>
      <c r="Z370" s="176"/>
      <c r="AA370" s="176"/>
      <c r="AB370" s="176"/>
      <c r="AC370" s="176"/>
      <c r="AD370" s="176"/>
      <c r="AE370" s="176"/>
      <c r="AF370" s="176"/>
      <c r="AG370" s="176"/>
      <c r="AH370" s="176"/>
      <c r="AI370" s="176"/>
      <c r="AJ370" s="176"/>
      <c r="AK370" s="176"/>
      <c r="AL370" s="176"/>
      <c r="AM370" s="176"/>
      <c r="AN370" s="176"/>
      <c r="AO370" s="176"/>
      <c r="AP370" s="176"/>
      <c r="AQ370" s="176"/>
      <c r="AR370" s="176"/>
      <c r="AS370" s="176"/>
      <c r="AT370" s="176"/>
      <c r="AU370" s="176"/>
      <c r="AV370" s="176"/>
      <c r="AW370" s="176"/>
      <c r="AX370" s="176"/>
      <c r="AY370" s="176"/>
      <c r="AZ370" s="176"/>
      <c r="BA370" s="176"/>
      <c r="BB370" s="176"/>
      <c r="BC370" s="176"/>
      <c r="BD370" s="176"/>
      <c r="BE370" s="176"/>
      <c r="BF370" s="176"/>
      <c r="BG370" s="176"/>
      <c r="BH370" s="176"/>
      <c r="BI370" s="176"/>
      <c r="BJ370" s="176"/>
      <c r="BK370" s="176"/>
      <c r="BL370" s="176"/>
      <c r="BM370" s="176"/>
      <c r="BN370" s="176"/>
      <c r="BO370" s="176"/>
      <c r="BP370" s="176"/>
      <c r="BQ370" s="176"/>
      <c r="BR370" s="176"/>
      <c r="BS370" s="176"/>
      <c r="BT370" s="176"/>
      <c r="BU370" s="176"/>
      <c r="BV370" s="176"/>
      <c r="BW370" s="176"/>
      <c r="BX370" s="176"/>
      <c r="BY370" s="176"/>
      <c r="BZ370" s="176"/>
      <c r="CA370" s="176"/>
      <c r="CB370" s="176"/>
      <c r="CC370" s="176"/>
      <c r="CD370" s="176"/>
      <c r="CE370" s="176"/>
      <c r="CF370" s="176"/>
      <c r="CG370" s="176"/>
      <c r="CH370" s="176"/>
      <c r="CI370" s="176"/>
      <c r="CJ370" s="176"/>
      <c r="CK370" s="176"/>
      <c r="CL370" s="176"/>
      <c r="CM370" s="176"/>
      <c r="CN370" s="176"/>
      <c r="CO370" s="176"/>
      <c r="CP370" s="176"/>
      <c r="CQ370" s="176"/>
      <c r="CR370" s="176"/>
      <c r="CS370" s="176"/>
      <c r="CT370" s="176"/>
      <c r="CU370" s="176"/>
      <c r="CV370" s="176"/>
      <c r="CW370" s="176"/>
      <c r="CX370" s="176"/>
      <c r="CY370" s="176"/>
      <c r="CZ370" s="176"/>
      <c r="DA370" s="176"/>
      <c r="DB370" s="176"/>
      <c r="DC370" s="176"/>
      <c r="DD370" s="176"/>
      <c r="DE370" s="176"/>
      <c r="DF370" s="176"/>
      <c r="DG370" s="176"/>
      <c r="DH370" s="176"/>
      <c r="DI370" s="176"/>
      <c r="DJ370" s="176"/>
      <c r="DK370" s="176"/>
      <c r="DL370" s="176"/>
      <c r="DM370" s="176"/>
      <c r="DN370" s="176"/>
      <c r="DO370" s="176"/>
      <c r="DP370" s="176"/>
      <c r="DQ370" s="176"/>
      <c r="DR370" s="176"/>
      <c r="DS370" s="176"/>
      <c r="DT370" s="176"/>
      <c r="DU370" s="176"/>
      <c r="DV370" s="176"/>
      <c r="DW370" s="176"/>
      <c r="DX370" s="176"/>
      <c r="DY370" s="176"/>
      <c r="DZ370" s="176"/>
      <c r="EA370" s="176"/>
      <c r="EB370" s="176"/>
      <c r="EC370" s="176"/>
      <c r="ED370" s="176"/>
      <c r="EE370" s="176"/>
      <c r="EF370" s="176"/>
      <c r="EG370" s="176"/>
      <c r="EH370" s="176"/>
      <c r="EI370" s="176"/>
      <c r="EJ370" s="176"/>
      <c r="EK370" s="176"/>
      <c r="EL370" s="176"/>
      <c r="EM370" s="176"/>
      <c r="EN370" s="176"/>
      <c r="EO370" s="176"/>
      <c r="EP370" s="176"/>
      <c r="EQ370" s="176"/>
      <c r="ER370" s="176"/>
      <c r="ES370" s="176"/>
      <c r="ET370" s="176"/>
      <c r="EU370" s="176"/>
      <c r="EV370" s="176"/>
      <c r="EW370" s="176"/>
      <c r="EX370" s="176"/>
      <c r="EY370" s="176"/>
      <c r="EZ370" s="176"/>
      <c r="FA370" s="176"/>
      <c r="FB370" s="176"/>
      <c r="FC370" s="176"/>
      <c r="FD370" s="176"/>
      <c r="FE370" s="176"/>
      <c r="FF370" s="176"/>
      <c r="FG370" s="176"/>
      <c r="FH370" s="176"/>
      <c r="FI370" s="176"/>
      <c r="FJ370" s="176"/>
      <c r="FK370" s="176"/>
      <c r="FL370" s="176"/>
      <c r="FM370" s="176"/>
      <c r="FN370" s="176"/>
      <c r="FO370" s="176"/>
      <c r="FP370" s="176"/>
      <c r="FQ370" s="176"/>
      <c r="FR370" s="176"/>
      <c r="FS370" s="176"/>
      <c r="FT370" s="176"/>
      <c r="FU370" s="176"/>
      <c r="FV370" s="176"/>
      <c r="FW370" s="176"/>
      <c r="FX370" s="176"/>
      <c r="FY370" s="176"/>
      <c r="FZ370" s="176"/>
      <c r="GA370" s="176"/>
      <c r="GB370" s="176"/>
      <c r="GC370" s="176"/>
      <c r="GD370" s="176"/>
      <c r="GE370" s="176"/>
      <c r="GF370" s="176"/>
      <c r="GG370" s="176"/>
      <c r="GH370" s="176"/>
      <c r="GI370" s="176"/>
      <c r="GJ370" s="176"/>
      <c r="GK370" s="176"/>
      <c r="GL370" s="176"/>
      <c r="GM370" s="176"/>
      <c r="GN370" s="176"/>
      <c r="GO370" s="176"/>
      <c r="GP370" s="176"/>
      <c r="GQ370" s="176"/>
      <c r="GR370" s="176"/>
      <c r="GS370" s="176"/>
      <c r="GT370" s="176"/>
      <c r="GU370" s="176"/>
      <c r="GV370" s="176"/>
      <c r="GW370" s="176"/>
      <c r="GX370" s="176"/>
      <c r="GY370" s="176"/>
      <c r="GZ370" s="176"/>
      <c r="HA370" s="176"/>
      <c r="HB370" s="176"/>
      <c r="HC370" s="176"/>
      <c r="HD370" s="176"/>
      <c r="HE370" s="176"/>
      <c r="HF370" s="176"/>
      <c r="HG370" s="176"/>
      <c r="HH370" s="176"/>
      <c r="HI370" s="176"/>
      <c r="HJ370" s="176"/>
      <c r="HK370" s="176"/>
      <c r="HL370" s="176"/>
      <c r="HM370" s="176"/>
      <c r="HN370" s="176"/>
      <c r="HO370" s="176"/>
      <c r="HP370" s="176"/>
      <c r="HQ370" s="176"/>
      <c r="HR370" s="176"/>
      <c r="HS370" s="176"/>
      <c r="HT370" s="176"/>
      <c r="HU370" s="176"/>
      <c r="HV370" s="176"/>
      <c r="HW370" s="176"/>
      <c r="HX370" s="176"/>
      <c r="HY370" s="176"/>
      <c r="HZ370" s="176"/>
      <c r="IA370" s="176"/>
      <c r="IB370" s="176"/>
      <c r="IC370" s="176"/>
      <c r="ID370" s="176"/>
      <c r="IE370" s="176"/>
      <c r="IF370" s="176"/>
      <c r="IG370" s="176"/>
      <c r="IH370" s="176"/>
      <c r="II370" s="176"/>
      <c r="IJ370" s="176"/>
      <c r="IK370" s="176"/>
      <c r="IL370" s="176"/>
      <c r="IM370" s="176"/>
    </row>
    <row r="371" spans="1:247" s="154" customFormat="1" x14ac:dyDescent="0.25">
      <c r="K371" s="176"/>
      <c r="L371" s="176"/>
      <c r="M371" s="176"/>
      <c r="N371" s="176"/>
      <c r="O371" s="176"/>
      <c r="P371" s="176"/>
      <c r="Q371" s="176"/>
      <c r="R371" s="176"/>
      <c r="S371" s="176"/>
      <c r="T371" s="176"/>
      <c r="U371" s="176"/>
      <c r="V371" s="176"/>
      <c r="W371" s="176"/>
      <c r="X371" s="176"/>
      <c r="Y371" s="176"/>
      <c r="Z371" s="176"/>
      <c r="AA371" s="176"/>
      <c r="AB371" s="176"/>
      <c r="AC371" s="176"/>
      <c r="AD371" s="176"/>
      <c r="AE371" s="176"/>
      <c r="AF371" s="176"/>
      <c r="AG371" s="176"/>
      <c r="AH371" s="176"/>
      <c r="AI371" s="176"/>
      <c r="AJ371" s="176"/>
      <c r="AK371" s="176"/>
      <c r="AL371" s="176"/>
      <c r="AM371" s="176"/>
      <c r="AN371" s="176"/>
      <c r="AO371" s="176"/>
      <c r="AP371" s="176"/>
      <c r="AQ371" s="176"/>
      <c r="AR371" s="176"/>
      <c r="AS371" s="176"/>
      <c r="AT371" s="176"/>
      <c r="AU371" s="176"/>
      <c r="AV371" s="176"/>
      <c r="AW371" s="176"/>
      <c r="AX371" s="176"/>
      <c r="AY371" s="176"/>
      <c r="AZ371" s="176"/>
      <c r="BA371" s="176"/>
      <c r="BB371" s="176"/>
      <c r="BC371" s="176"/>
      <c r="BD371" s="176"/>
      <c r="BE371" s="176"/>
      <c r="BF371" s="176"/>
      <c r="BG371" s="176"/>
      <c r="BH371" s="176"/>
      <c r="BI371" s="176"/>
      <c r="BJ371" s="176"/>
      <c r="BK371" s="176"/>
      <c r="BL371" s="176"/>
      <c r="BM371" s="176"/>
      <c r="BN371" s="176"/>
      <c r="BO371" s="176"/>
      <c r="BP371" s="176"/>
      <c r="BQ371" s="176"/>
      <c r="BR371" s="176"/>
      <c r="BS371" s="176"/>
      <c r="BT371" s="176"/>
      <c r="BU371" s="176"/>
      <c r="BV371" s="176"/>
      <c r="BW371" s="176"/>
      <c r="BX371" s="176"/>
      <c r="BY371" s="176"/>
      <c r="BZ371" s="176"/>
      <c r="CA371" s="176"/>
      <c r="CB371" s="176"/>
      <c r="CC371" s="176"/>
      <c r="CD371" s="176"/>
      <c r="CE371" s="176"/>
      <c r="CF371" s="176"/>
      <c r="CG371" s="176"/>
      <c r="CH371" s="176"/>
      <c r="CI371" s="176"/>
      <c r="CJ371" s="176"/>
      <c r="CK371" s="176"/>
      <c r="CL371" s="176"/>
      <c r="CM371" s="176"/>
      <c r="CN371" s="176"/>
      <c r="CO371" s="176"/>
      <c r="CP371" s="176"/>
      <c r="CQ371" s="176"/>
      <c r="CR371" s="176"/>
      <c r="CS371" s="176"/>
      <c r="CT371" s="176"/>
      <c r="CU371" s="176"/>
      <c r="CV371" s="176"/>
      <c r="CW371" s="176"/>
      <c r="CX371" s="176"/>
      <c r="CY371" s="176"/>
      <c r="CZ371" s="176"/>
      <c r="DA371" s="176"/>
      <c r="DB371" s="176"/>
      <c r="DC371" s="176"/>
      <c r="DD371" s="176"/>
      <c r="DE371" s="176"/>
      <c r="DF371" s="176"/>
      <c r="DG371" s="176"/>
      <c r="DH371" s="176"/>
      <c r="DI371" s="176"/>
      <c r="DJ371" s="176"/>
      <c r="DK371" s="176"/>
      <c r="DL371" s="176"/>
      <c r="DM371" s="176"/>
      <c r="DN371" s="176"/>
      <c r="DO371" s="176"/>
      <c r="DP371" s="176"/>
      <c r="DQ371" s="176"/>
      <c r="DR371" s="176"/>
      <c r="DS371" s="176"/>
      <c r="DT371" s="176"/>
      <c r="DU371" s="176"/>
      <c r="DV371" s="176"/>
      <c r="DW371" s="176"/>
      <c r="DX371" s="176"/>
      <c r="DY371" s="176"/>
      <c r="DZ371" s="176"/>
      <c r="EA371" s="176"/>
      <c r="EB371" s="176"/>
      <c r="EC371" s="176"/>
      <c r="ED371" s="176"/>
      <c r="EE371" s="176"/>
      <c r="EF371" s="176"/>
      <c r="EG371" s="176"/>
      <c r="EH371" s="176"/>
      <c r="EI371" s="176"/>
      <c r="EJ371" s="176"/>
      <c r="EK371" s="176"/>
      <c r="EL371" s="176"/>
      <c r="EM371" s="176"/>
      <c r="EN371" s="176"/>
      <c r="EO371" s="176"/>
      <c r="EP371" s="176"/>
      <c r="EQ371" s="176"/>
      <c r="ER371" s="176"/>
      <c r="ES371" s="176"/>
      <c r="ET371" s="176"/>
      <c r="EU371" s="176"/>
      <c r="EV371" s="176"/>
      <c r="EW371" s="176"/>
      <c r="EX371" s="176"/>
      <c r="EY371" s="176"/>
      <c r="EZ371" s="176"/>
      <c r="FA371" s="176"/>
      <c r="FB371" s="176"/>
      <c r="FC371" s="176"/>
      <c r="FD371" s="176"/>
      <c r="FE371" s="176"/>
      <c r="FF371" s="176"/>
      <c r="FG371" s="176"/>
      <c r="FH371" s="176"/>
      <c r="FI371" s="176"/>
      <c r="FJ371" s="176"/>
      <c r="FK371" s="176"/>
      <c r="FL371" s="176"/>
      <c r="FM371" s="176"/>
      <c r="FN371" s="176"/>
      <c r="FO371" s="176"/>
      <c r="FP371" s="176"/>
      <c r="FQ371" s="176"/>
      <c r="FR371" s="176"/>
      <c r="FS371" s="176"/>
      <c r="FT371" s="176"/>
      <c r="FU371" s="176"/>
      <c r="FV371" s="176"/>
      <c r="FW371" s="176"/>
      <c r="FX371" s="176"/>
      <c r="FY371" s="176"/>
      <c r="FZ371" s="176"/>
      <c r="GA371" s="176"/>
      <c r="GB371" s="176"/>
      <c r="GC371" s="176"/>
      <c r="GD371" s="176"/>
      <c r="GE371" s="176"/>
      <c r="GF371" s="176"/>
      <c r="GG371" s="176"/>
      <c r="GH371" s="176"/>
      <c r="GI371" s="176"/>
      <c r="GJ371" s="176"/>
      <c r="GK371" s="176"/>
      <c r="GL371" s="176"/>
      <c r="GM371" s="176"/>
      <c r="GN371" s="176"/>
      <c r="GO371" s="176"/>
      <c r="GP371" s="176"/>
      <c r="GQ371" s="176"/>
      <c r="GR371" s="176"/>
      <c r="GS371" s="176"/>
      <c r="GT371" s="176"/>
      <c r="GU371" s="176"/>
      <c r="GV371" s="176"/>
      <c r="GW371" s="176"/>
      <c r="GX371" s="176"/>
      <c r="GY371" s="176"/>
      <c r="GZ371" s="176"/>
      <c r="HA371" s="176"/>
      <c r="HB371" s="176"/>
      <c r="HC371" s="176"/>
      <c r="HD371" s="176"/>
      <c r="HE371" s="176"/>
      <c r="HF371" s="176"/>
      <c r="HG371" s="176"/>
      <c r="HH371" s="176"/>
      <c r="HI371" s="176"/>
      <c r="HJ371" s="176"/>
      <c r="HK371" s="176"/>
      <c r="HL371" s="176"/>
      <c r="HM371" s="176"/>
      <c r="HN371" s="176"/>
      <c r="HO371" s="176"/>
      <c r="HP371" s="176"/>
      <c r="HQ371" s="176"/>
      <c r="HR371" s="176"/>
      <c r="HS371" s="176"/>
      <c r="HT371" s="176"/>
      <c r="HU371" s="176"/>
      <c r="HV371" s="176"/>
      <c r="HW371" s="176"/>
      <c r="HX371" s="176"/>
      <c r="HY371" s="176"/>
      <c r="HZ371" s="176"/>
      <c r="IA371" s="176"/>
      <c r="IB371" s="176"/>
      <c r="IC371" s="176"/>
      <c r="ID371" s="176"/>
      <c r="IE371" s="176"/>
      <c r="IF371" s="176"/>
      <c r="IG371" s="176"/>
      <c r="IH371" s="176"/>
      <c r="II371" s="176"/>
      <c r="IJ371" s="176"/>
      <c r="IK371" s="176"/>
      <c r="IL371" s="176"/>
      <c r="IM371" s="176"/>
    </row>
    <row r="372" spans="1:247" s="154" customFormat="1" x14ac:dyDescent="0.25">
      <c r="K372" s="176"/>
      <c r="L372" s="176"/>
      <c r="M372" s="176"/>
      <c r="N372" s="176"/>
      <c r="O372" s="176"/>
      <c r="P372" s="176"/>
      <c r="Q372" s="176"/>
      <c r="R372" s="176"/>
      <c r="S372" s="176"/>
      <c r="T372" s="176"/>
      <c r="U372" s="176"/>
      <c r="V372" s="176"/>
      <c r="W372" s="176"/>
      <c r="X372" s="176"/>
      <c r="Y372" s="176"/>
      <c r="Z372" s="176"/>
      <c r="AA372" s="176"/>
      <c r="AB372" s="176"/>
      <c r="AC372" s="176"/>
      <c r="AD372" s="176"/>
      <c r="AE372" s="176"/>
      <c r="AF372" s="176"/>
      <c r="AG372" s="176"/>
      <c r="AH372" s="176"/>
      <c r="AI372" s="176"/>
      <c r="AJ372" s="176"/>
      <c r="AK372" s="176"/>
      <c r="AL372" s="176"/>
      <c r="AM372" s="176"/>
      <c r="AN372" s="176"/>
      <c r="AO372" s="176"/>
      <c r="AP372" s="176"/>
      <c r="AQ372" s="176"/>
      <c r="AR372" s="176"/>
      <c r="AS372" s="176"/>
      <c r="AT372" s="176"/>
      <c r="AU372" s="176"/>
      <c r="AV372" s="176"/>
      <c r="AW372" s="176"/>
      <c r="AX372" s="176"/>
      <c r="AY372" s="176"/>
      <c r="AZ372" s="176"/>
      <c r="BA372" s="176"/>
      <c r="BB372" s="176"/>
      <c r="BC372" s="176"/>
      <c r="BD372" s="176"/>
      <c r="BE372" s="176"/>
      <c r="BF372" s="176"/>
      <c r="BG372" s="176"/>
      <c r="BH372" s="176"/>
      <c r="BI372" s="176"/>
      <c r="BJ372" s="176"/>
      <c r="BK372" s="176"/>
      <c r="BL372" s="176"/>
      <c r="BM372" s="176"/>
      <c r="BN372" s="176"/>
      <c r="BO372" s="176"/>
      <c r="BP372" s="176"/>
      <c r="BQ372" s="176"/>
      <c r="BR372" s="176"/>
      <c r="BS372" s="176"/>
      <c r="BT372" s="176"/>
      <c r="BU372" s="176"/>
      <c r="BV372" s="176"/>
      <c r="BW372" s="176"/>
      <c r="BX372" s="176"/>
      <c r="BY372" s="176"/>
      <c r="BZ372" s="176"/>
      <c r="CA372" s="176"/>
      <c r="CB372" s="176"/>
      <c r="CC372" s="176"/>
      <c r="CD372" s="176"/>
      <c r="CE372" s="176"/>
      <c r="CF372" s="176"/>
      <c r="CG372" s="176"/>
      <c r="CH372" s="176"/>
      <c r="CI372" s="176"/>
      <c r="CJ372" s="176"/>
      <c r="CK372" s="176"/>
      <c r="CL372" s="176"/>
      <c r="CM372" s="176"/>
      <c r="CN372" s="176"/>
      <c r="CO372" s="176"/>
      <c r="CP372" s="176"/>
      <c r="CQ372" s="176"/>
      <c r="CR372" s="176"/>
      <c r="CS372" s="176"/>
      <c r="CT372" s="176"/>
      <c r="CU372" s="176"/>
      <c r="CV372" s="176"/>
      <c r="CW372" s="176"/>
      <c r="CX372" s="176"/>
      <c r="CY372" s="176"/>
      <c r="CZ372" s="176"/>
      <c r="DA372" s="176"/>
      <c r="DB372" s="176"/>
      <c r="DC372" s="176"/>
      <c r="DD372" s="176"/>
      <c r="DE372" s="176"/>
      <c r="DF372" s="176"/>
      <c r="DG372" s="176"/>
      <c r="DH372" s="176"/>
      <c r="DI372" s="176"/>
      <c r="DJ372" s="176"/>
      <c r="DK372" s="176"/>
      <c r="DL372" s="176"/>
      <c r="DM372" s="176"/>
      <c r="DN372" s="176"/>
      <c r="DO372" s="176"/>
      <c r="DP372" s="176"/>
      <c r="DQ372" s="176"/>
      <c r="DR372" s="176"/>
      <c r="DS372" s="176"/>
      <c r="DT372" s="176"/>
      <c r="DU372" s="176"/>
      <c r="DV372" s="176"/>
      <c r="DW372" s="176"/>
      <c r="DX372" s="176"/>
      <c r="DY372" s="176"/>
      <c r="DZ372" s="176"/>
      <c r="EA372" s="176"/>
      <c r="EB372" s="176"/>
      <c r="EC372" s="176"/>
      <c r="ED372" s="176"/>
      <c r="EE372" s="176"/>
      <c r="EF372" s="176"/>
      <c r="EG372" s="176"/>
      <c r="EH372" s="176"/>
      <c r="EI372" s="176"/>
      <c r="EJ372" s="176"/>
      <c r="EK372" s="176"/>
      <c r="EL372" s="176"/>
      <c r="EM372" s="176"/>
      <c r="EN372" s="176"/>
      <c r="EO372" s="176"/>
      <c r="EP372" s="176"/>
      <c r="EQ372" s="176"/>
      <c r="ER372" s="176"/>
      <c r="ES372" s="176"/>
      <c r="ET372" s="176"/>
      <c r="EU372" s="176"/>
      <c r="EV372" s="176"/>
      <c r="EW372" s="176"/>
      <c r="EX372" s="176"/>
      <c r="EY372" s="176"/>
      <c r="EZ372" s="176"/>
      <c r="FA372" s="176"/>
      <c r="FB372" s="176"/>
      <c r="FC372" s="176"/>
      <c r="FD372" s="176"/>
      <c r="FE372" s="176"/>
      <c r="FF372" s="176"/>
      <c r="FG372" s="176"/>
      <c r="FH372" s="176"/>
      <c r="FI372" s="176"/>
      <c r="FJ372" s="176"/>
      <c r="FK372" s="176"/>
      <c r="FL372" s="176"/>
      <c r="FM372" s="176"/>
      <c r="FN372" s="176"/>
      <c r="FO372" s="176"/>
      <c r="FP372" s="176"/>
      <c r="FQ372" s="176"/>
      <c r="FR372" s="176"/>
      <c r="FS372" s="176"/>
      <c r="FT372" s="176"/>
      <c r="FU372" s="176"/>
      <c r="FV372" s="176"/>
      <c r="FW372" s="176"/>
      <c r="FX372" s="176"/>
      <c r="FY372" s="176"/>
      <c r="FZ372" s="176"/>
      <c r="GA372" s="176"/>
      <c r="GB372" s="176"/>
      <c r="GC372" s="176"/>
      <c r="GD372" s="176"/>
      <c r="GE372" s="176"/>
      <c r="GF372" s="176"/>
      <c r="GG372" s="176"/>
      <c r="GH372" s="176"/>
      <c r="GI372" s="176"/>
      <c r="GJ372" s="176"/>
      <c r="GK372" s="176"/>
      <c r="GL372" s="176"/>
      <c r="GM372" s="176"/>
      <c r="GN372" s="176"/>
      <c r="GO372" s="176"/>
      <c r="GP372" s="176"/>
      <c r="GQ372" s="176"/>
      <c r="GR372" s="176"/>
      <c r="GS372" s="176"/>
      <c r="GT372" s="176"/>
      <c r="GU372" s="176"/>
      <c r="GV372" s="176"/>
      <c r="GW372" s="176"/>
      <c r="GX372" s="176"/>
      <c r="GY372" s="176"/>
      <c r="GZ372" s="176"/>
      <c r="HA372" s="176"/>
      <c r="HB372" s="176"/>
      <c r="HC372" s="176"/>
      <c r="HD372" s="176"/>
      <c r="HE372" s="176"/>
      <c r="HF372" s="176"/>
      <c r="HG372" s="176"/>
      <c r="HH372" s="176"/>
      <c r="HI372" s="176"/>
      <c r="HJ372" s="176"/>
      <c r="HK372" s="176"/>
      <c r="HL372" s="176"/>
      <c r="HM372" s="176"/>
      <c r="HN372" s="176"/>
      <c r="HO372" s="176"/>
      <c r="HP372" s="176"/>
      <c r="HQ372" s="176"/>
      <c r="HR372" s="176"/>
      <c r="HS372" s="176"/>
      <c r="HT372" s="176"/>
      <c r="HU372" s="176"/>
      <c r="HV372" s="176"/>
      <c r="HW372" s="176"/>
      <c r="HX372" s="176"/>
      <c r="HY372" s="176"/>
      <c r="HZ372" s="176"/>
      <c r="IA372" s="176"/>
      <c r="IB372" s="176"/>
      <c r="IC372" s="176"/>
      <c r="ID372" s="176"/>
      <c r="IE372" s="176"/>
      <c r="IF372" s="176"/>
      <c r="IG372" s="176"/>
      <c r="IH372" s="176"/>
      <c r="II372" s="176"/>
      <c r="IJ372" s="176"/>
      <c r="IK372" s="176"/>
      <c r="IL372" s="176"/>
      <c r="IM372" s="176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E14" sqref="E14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4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7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3">
        <v>4</v>
      </c>
    </row>
    <row r="3" spans="1:10" ht="21" customHeight="1" thickBot="1" x14ac:dyDescent="0.3">
      <c r="A3" s="153"/>
    </row>
    <row r="4" spans="1:10" ht="15.75" thickBot="1" x14ac:dyDescent="0.3">
      <c r="A4" s="39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40"/>
      <c r="B5" s="298" t="s">
        <v>128</v>
      </c>
      <c r="C5" s="298" t="s">
        <v>134</v>
      </c>
      <c r="D5" s="299" t="s">
        <v>103</v>
      </c>
      <c r="E5" s="96" t="s">
        <v>35</v>
      </c>
      <c r="F5" s="298" t="s">
        <v>129</v>
      </c>
      <c r="G5" s="298" t="s">
        <v>135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6"/>
      <c r="I7" s="4"/>
    </row>
    <row r="8" spans="1:10" ht="29.25" x14ac:dyDescent="0.25">
      <c r="A8" s="129" t="s">
        <v>57</v>
      </c>
      <c r="B8" s="14"/>
      <c r="C8" s="14"/>
      <c r="D8" s="14"/>
      <c r="E8" s="14"/>
      <c r="F8" s="16"/>
      <c r="G8" s="16"/>
      <c r="H8" s="145"/>
      <c r="I8" s="16"/>
    </row>
    <row r="9" spans="1:10" s="36" customFormat="1" ht="51.75" customHeight="1" x14ac:dyDescent="0.25">
      <c r="A9" s="228" t="s">
        <v>120</v>
      </c>
      <c r="B9" s="114">
        <f>SUM(B10:B13)</f>
        <v>505</v>
      </c>
      <c r="C9" s="114">
        <f>SUM(C10:C13)</f>
        <v>169</v>
      </c>
      <c r="D9" s="114">
        <f>SUM(D10:D13)</f>
        <v>179</v>
      </c>
      <c r="E9" s="114">
        <f t="shared" ref="E9:E19" si="0">D9/C9*100</f>
        <v>105.91715976331362</v>
      </c>
      <c r="F9" s="130">
        <f>SUM(F10:F13)</f>
        <v>1382.8329799999999</v>
      </c>
      <c r="G9" s="130">
        <f>SUM(G10:G13)</f>
        <v>460.94</v>
      </c>
      <c r="H9" s="130">
        <f>SUM(H10:H13)</f>
        <v>409.16269999999997</v>
      </c>
      <c r="I9" s="114">
        <f t="shared" ref="I9:I19" si="1">H9/G9*100</f>
        <v>88.767019568707411</v>
      </c>
      <c r="J9" s="78"/>
    </row>
    <row r="10" spans="1:10" s="36" customFormat="1" ht="30" x14ac:dyDescent="0.25">
      <c r="A10" s="72" t="s">
        <v>79</v>
      </c>
      <c r="B10" s="114">
        <v>323</v>
      </c>
      <c r="C10" s="108">
        <f>ROUND(B10/12*$A$2,0)</f>
        <v>108</v>
      </c>
      <c r="D10" s="114">
        <v>122</v>
      </c>
      <c r="E10" s="114">
        <f t="shared" si="0"/>
        <v>112.96296296296295</v>
      </c>
      <c r="F10" s="130">
        <v>711.52359999999999</v>
      </c>
      <c r="G10" s="108">
        <f>ROUND(F10/12*$A$2,2)</f>
        <v>237.17</v>
      </c>
      <c r="H10" s="114">
        <v>269.27945999999997</v>
      </c>
      <c r="I10" s="114">
        <f t="shared" si="1"/>
        <v>113.5385841379601</v>
      </c>
      <c r="J10" s="78"/>
    </row>
    <row r="11" spans="1:10" s="36" customFormat="1" ht="38.1" customHeight="1" x14ac:dyDescent="0.25">
      <c r="A11" s="72" t="s">
        <v>80</v>
      </c>
      <c r="B11" s="114">
        <v>131</v>
      </c>
      <c r="C11" s="108">
        <f>ROUND(B11/12*$A$2,0)</f>
        <v>44</v>
      </c>
      <c r="D11" s="114">
        <v>57</v>
      </c>
      <c r="E11" s="114">
        <f t="shared" si="0"/>
        <v>129.54545454545453</v>
      </c>
      <c r="F11" s="130">
        <v>327.08008000000001</v>
      </c>
      <c r="G11" s="108">
        <f t="shared" ref="G11:G13" si="2">ROUND(F11/12*$A$2,2)</f>
        <v>109.03</v>
      </c>
      <c r="H11" s="114">
        <v>139.88324</v>
      </c>
      <c r="I11" s="114">
        <f t="shared" si="1"/>
        <v>128.29793634779418</v>
      </c>
      <c r="J11" s="78"/>
    </row>
    <row r="12" spans="1:10" s="36" customFormat="1" ht="43.5" customHeight="1" x14ac:dyDescent="0.25">
      <c r="A12" s="72" t="s">
        <v>110</v>
      </c>
      <c r="B12" s="114">
        <v>8</v>
      </c>
      <c r="C12" s="108">
        <f>ROUND(B12/12*$A$2,0)</f>
        <v>3</v>
      </c>
      <c r="D12" s="114">
        <v>0</v>
      </c>
      <c r="E12" s="114">
        <f t="shared" si="0"/>
        <v>0</v>
      </c>
      <c r="F12" s="130">
        <v>19.683</v>
      </c>
      <c r="G12" s="108">
        <f t="shared" si="2"/>
        <v>6.56</v>
      </c>
      <c r="H12" s="114">
        <v>0</v>
      </c>
      <c r="I12" s="114">
        <f t="shared" si="1"/>
        <v>0</v>
      </c>
      <c r="J12" s="78"/>
    </row>
    <row r="13" spans="1:10" s="36" customFormat="1" ht="30" x14ac:dyDescent="0.25">
      <c r="A13" s="72" t="s">
        <v>111</v>
      </c>
      <c r="B13" s="114">
        <v>43</v>
      </c>
      <c r="C13" s="108">
        <f>ROUND(B13/12*$A$2,0)</f>
        <v>14</v>
      </c>
      <c r="D13" s="114">
        <v>0</v>
      </c>
      <c r="E13" s="114">
        <f t="shared" si="0"/>
        <v>0</v>
      </c>
      <c r="F13" s="130">
        <v>324.54629999999997</v>
      </c>
      <c r="G13" s="108">
        <f t="shared" si="2"/>
        <v>108.18</v>
      </c>
      <c r="H13" s="114">
        <v>0</v>
      </c>
      <c r="I13" s="114">
        <f t="shared" si="1"/>
        <v>0</v>
      </c>
      <c r="J13" s="78"/>
    </row>
    <row r="14" spans="1:10" s="36" customFormat="1" ht="36" customHeight="1" x14ac:dyDescent="0.25">
      <c r="A14" s="228" t="s">
        <v>112</v>
      </c>
      <c r="B14" s="114">
        <f>SUM(B15:B17)</f>
        <v>961</v>
      </c>
      <c r="C14" s="114">
        <f>SUM(C15:C17)</f>
        <v>321</v>
      </c>
      <c r="D14" s="114">
        <f>SUM(D15:D17)</f>
        <v>127</v>
      </c>
      <c r="E14" s="114">
        <f t="shared" si="0"/>
        <v>39.563862928348911</v>
      </c>
      <c r="F14" s="114">
        <f>SUM(F15:F17)</f>
        <v>2684.9690000000001</v>
      </c>
      <c r="G14" s="114">
        <f>SUM(G15:G17)</f>
        <v>894.99</v>
      </c>
      <c r="H14" s="114">
        <f>SUM(H15:H17)</f>
        <v>400.43511000000001</v>
      </c>
      <c r="I14" s="114">
        <f t="shared" si="1"/>
        <v>44.74185298159756</v>
      </c>
      <c r="J14" s="78"/>
    </row>
    <row r="15" spans="1:10" s="36" customFormat="1" ht="30" x14ac:dyDescent="0.25">
      <c r="A15" s="72" t="s">
        <v>108</v>
      </c>
      <c r="B15" s="114">
        <v>200</v>
      </c>
      <c r="C15" s="108">
        <f t="shared" ref="C15:C18" si="3">ROUND(B15/12*$A$2,0)</f>
        <v>67</v>
      </c>
      <c r="D15" s="114">
        <v>36</v>
      </c>
      <c r="E15" s="114">
        <f t="shared" si="0"/>
        <v>53.731343283582092</v>
      </c>
      <c r="F15" s="130">
        <v>542.94600000000003</v>
      </c>
      <c r="G15" s="108">
        <f t="shared" ref="G15:G18" si="4">ROUND(F15/12*$A$2,2)</f>
        <v>180.98</v>
      </c>
      <c r="H15" s="645">
        <v>98.733720000000005</v>
      </c>
      <c r="I15" s="114">
        <f t="shared" si="1"/>
        <v>54.555044756326673</v>
      </c>
      <c r="J15" s="78"/>
    </row>
    <row r="16" spans="1:10" s="36" customFormat="1" ht="60" x14ac:dyDescent="0.25">
      <c r="A16" s="72" t="s">
        <v>119</v>
      </c>
      <c r="B16" s="114">
        <v>551</v>
      </c>
      <c r="C16" s="108">
        <f t="shared" si="3"/>
        <v>184</v>
      </c>
      <c r="D16" s="114">
        <v>58</v>
      </c>
      <c r="E16" s="114">
        <f t="shared" si="0"/>
        <v>31.521739130434785</v>
      </c>
      <c r="F16" s="130">
        <v>1878.8025</v>
      </c>
      <c r="G16" s="108">
        <f t="shared" si="4"/>
        <v>626.27</v>
      </c>
      <c r="H16" s="114">
        <v>259.90078999999997</v>
      </c>
      <c r="I16" s="114">
        <f t="shared" si="1"/>
        <v>41.499798808820479</v>
      </c>
      <c r="J16" s="78"/>
    </row>
    <row r="17" spans="1:11" s="36" customFormat="1" ht="45" x14ac:dyDescent="0.25">
      <c r="A17" s="72" t="s">
        <v>109</v>
      </c>
      <c r="B17" s="114">
        <v>210</v>
      </c>
      <c r="C17" s="108">
        <f t="shared" si="3"/>
        <v>70</v>
      </c>
      <c r="D17" s="114">
        <v>33</v>
      </c>
      <c r="E17" s="114">
        <f t="shared" si="0"/>
        <v>47.142857142857139</v>
      </c>
      <c r="F17" s="130">
        <v>263.22050000000002</v>
      </c>
      <c r="G17" s="108">
        <f t="shared" si="4"/>
        <v>87.74</v>
      </c>
      <c r="H17" s="114">
        <v>41.800600000000003</v>
      </c>
      <c r="I17" s="114">
        <f t="shared" si="1"/>
        <v>47.641440620013682</v>
      </c>
      <c r="J17" s="78"/>
    </row>
    <row r="18" spans="1:11" s="36" customFormat="1" ht="38.1" customHeight="1" thickBot="1" x14ac:dyDescent="0.3">
      <c r="A18" s="704" t="s">
        <v>123</v>
      </c>
      <c r="B18" s="175">
        <v>2800</v>
      </c>
      <c r="C18" s="301">
        <f t="shared" si="3"/>
        <v>933</v>
      </c>
      <c r="D18" s="175">
        <v>971</v>
      </c>
      <c r="E18" s="175">
        <f>D18/C18*100</f>
        <v>104.07288317256163</v>
      </c>
      <c r="F18" s="425">
        <v>3617.152</v>
      </c>
      <c r="G18" s="108">
        <f t="shared" si="4"/>
        <v>1205.72</v>
      </c>
      <c r="H18" s="175">
        <v>1250.4888100000001</v>
      </c>
      <c r="I18" s="175">
        <f>H18/G18*100</f>
        <v>103.71303536476131</v>
      </c>
      <c r="J18" s="78"/>
    </row>
    <row r="19" spans="1:11" s="36" customFormat="1" ht="27" customHeight="1" thickBot="1" x14ac:dyDescent="0.3">
      <c r="A19" s="205" t="s">
        <v>3</v>
      </c>
      <c r="B19" s="340">
        <f>B14+B9</f>
        <v>1466</v>
      </c>
      <c r="C19" s="340">
        <f>C14+C9</f>
        <v>490</v>
      </c>
      <c r="D19" s="340">
        <f>D14+D9</f>
        <v>306</v>
      </c>
      <c r="E19" s="340">
        <f t="shared" si="0"/>
        <v>62.448979591836739</v>
      </c>
      <c r="F19" s="376">
        <f>F14+F9+F18</f>
        <v>7684.9539800000002</v>
      </c>
      <c r="G19" s="376">
        <f>G14+G9+G18</f>
        <v>2561.65</v>
      </c>
      <c r="H19" s="721">
        <f>H14+H9+H18</f>
        <v>2060.08662</v>
      </c>
      <c r="I19" s="340">
        <f t="shared" si="1"/>
        <v>80.420300197138559</v>
      </c>
      <c r="J19" s="78"/>
    </row>
    <row r="20" spans="1:11" x14ac:dyDescent="0.25">
      <c r="A20" s="734" t="s">
        <v>12</v>
      </c>
      <c r="B20" s="735"/>
      <c r="C20" s="735"/>
      <c r="D20" s="735"/>
      <c r="E20" s="735"/>
      <c r="F20" s="736"/>
      <c r="G20" s="736"/>
      <c r="H20" s="736"/>
      <c r="I20" s="736"/>
      <c r="J20" s="78"/>
      <c r="K20" s="36"/>
    </row>
    <row r="21" spans="1:11" s="10" customFormat="1" ht="30" x14ac:dyDescent="0.25">
      <c r="A21" s="543" t="s">
        <v>120</v>
      </c>
      <c r="B21" s="737">
        <f t="shared" ref="B21:F29" si="5">B9</f>
        <v>505</v>
      </c>
      <c r="C21" s="737">
        <f t="shared" si="5"/>
        <v>169</v>
      </c>
      <c r="D21" s="737">
        <f t="shared" si="5"/>
        <v>179</v>
      </c>
      <c r="E21" s="737">
        <f t="shared" si="5"/>
        <v>105.91715976331362</v>
      </c>
      <c r="F21" s="737">
        <f t="shared" si="5"/>
        <v>1382.8329799999999</v>
      </c>
      <c r="G21" s="737">
        <f t="shared" ref="G21:I26" si="6">G9</f>
        <v>460.94</v>
      </c>
      <c r="H21" s="737">
        <f t="shared" si="6"/>
        <v>409.16269999999997</v>
      </c>
      <c r="I21" s="737">
        <f t="shared" si="6"/>
        <v>88.767019568707411</v>
      </c>
      <c r="J21" s="78"/>
      <c r="K21" s="36"/>
    </row>
    <row r="22" spans="1:11" s="10" customFormat="1" ht="30" x14ac:dyDescent="0.25">
      <c r="A22" s="539" t="s">
        <v>79</v>
      </c>
      <c r="B22" s="737">
        <f t="shared" si="5"/>
        <v>323</v>
      </c>
      <c r="C22" s="737">
        <f t="shared" si="5"/>
        <v>108</v>
      </c>
      <c r="D22" s="737">
        <f t="shared" si="5"/>
        <v>122</v>
      </c>
      <c r="E22" s="737">
        <f t="shared" si="5"/>
        <v>112.96296296296295</v>
      </c>
      <c r="F22" s="737">
        <f t="shared" si="5"/>
        <v>711.52359999999999</v>
      </c>
      <c r="G22" s="737">
        <f t="shared" si="6"/>
        <v>237.17</v>
      </c>
      <c r="H22" s="737">
        <f t="shared" si="6"/>
        <v>269.27945999999997</v>
      </c>
      <c r="I22" s="737">
        <f t="shared" si="6"/>
        <v>113.5385841379601</v>
      </c>
      <c r="J22" s="78"/>
      <c r="K22" s="36"/>
    </row>
    <row r="23" spans="1:11" s="10" customFormat="1" ht="30" x14ac:dyDescent="0.25">
      <c r="A23" s="539" t="s">
        <v>80</v>
      </c>
      <c r="B23" s="737">
        <f t="shared" si="5"/>
        <v>131</v>
      </c>
      <c r="C23" s="737">
        <f t="shared" si="5"/>
        <v>44</v>
      </c>
      <c r="D23" s="737">
        <f t="shared" si="5"/>
        <v>57</v>
      </c>
      <c r="E23" s="737">
        <f t="shared" si="5"/>
        <v>129.54545454545453</v>
      </c>
      <c r="F23" s="737">
        <f t="shared" si="5"/>
        <v>327.08008000000001</v>
      </c>
      <c r="G23" s="737">
        <f t="shared" si="6"/>
        <v>109.03</v>
      </c>
      <c r="H23" s="737">
        <f t="shared" si="6"/>
        <v>139.88324</v>
      </c>
      <c r="I23" s="737">
        <f t="shared" si="6"/>
        <v>128.29793634779418</v>
      </c>
      <c r="J23" s="78"/>
      <c r="K23" s="36"/>
    </row>
    <row r="24" spans="1:11" s="10" customFormat="1" ht="45" x14ac:dyDescent="0.25">
      <c r="A24" s="539" t="s">
        <v>110</v>
      </c>
      <c r="B24" s="737">
        <f t="shared" si="5"/>
        <v>8</v>
      </c>
      <c r="C24" s="737">
        <f t="shared" si="5"/>
        <v>3</v>
      </c>
      <c r="D24" s="737">
        <f t="shared" si="5"/>
        <v>0</v>
      </c>
      <c r="E24" s="737">
        <f t="shared" si="5"/>
        <v>0</v>
      </c>
      <c r="F24" s="737">
        <f t="shared" si="5"/>
        <v>19.683</v>
      </c>
      <c r="G24" s="737">
        <f t="shared" si="6"/>
        <v>6.56</v>
      </c>
      <c r="H24" s="737">
        <f t="shared" si="6"/>
        <v>0</v>
      </c>
      <c r="I24" s="737">
        <f t="shared" si="6"/>
        <v>0</v>
      </c>
      <c r="J24" s="78"/>
      <c r="K24" s="36"/>
    </row>
    <row r="25" spans="1:11" s="10" customFormat="1" ht="30" x14ac:dyDescent="0.25">
      <c r="A25" s="539" t="s">
        <v>111</v>
      </c>
      <c r="B25" s="737">
        <f t="shared" si="5"/>
        <v>43</v>
      </c>
      <c r="C25" s="737">
        <f t="shared" si="5"/>
        <v>14</v>
      </c>
      <c r="D25" s="737">
        <f t="shared" si="5"/>
        <v>0</v>
      </c>
      <c r="E25" s="737">
        <f t="shared" si="5"/>
        <v>0</v>
      </c>
      <c r="F25" s="737">
        <f t="shared" si="5"/>
        <v>324.54629999999997</v>
      </c>
      <c r="G25" s="737">
        <f t="shared" si="6"/>
        <v>108.18</v>
      </c>
      <c r="H25" s="737">
        <f t="shared" si="6"/>
        <v>0</v>
      </c>
      <c r="I25" s="737">
        <f t="shared" si="6"/>
        <v>0</v>
      </c>
      <c r="J25" s="78"/>
      <c r="K25" s="36"/>
    </row>
    <row r="26" spans="1:11" s="10" customFormat="1" ht="30" x14ac:dyDescent="0.25">
      <c r="A26" s="543" t="s">
        <v>112</v>
      </c>
      <c r="B26" s="737">
        <f t="shared" si="5"/>
        <v>961</v>
      </c>
      <c r="C26" s="737">
        <f t="shared" si="5"/>
        <v>321</v>
      </c>
      <c r="D26" s="737">
        <f t="shared" si="5"/>
        <v>127</v>
      </c>
      <c r="E26" s="737">
        <f t="shared" si="5"/>
        <v>39.563862928348911</v>
      </c>
      <c r="F26" s="737">
        <f t="shared" si="5"/>
        <v>2684.9690000000001</v>
      </c>
      <c r="G26" s="737">
        <f t="shared" si="6"/>
        <v>894.99</v>
      </c>
      <c r="H26" s="737">
        <f t="shared" si="6"/>
        <v>400.43511000000001</v>
      </c>
      <c r="I26" s="737">
        <f t="shared" si="6"/>
        <v>44.74185298159756</v>
      </c>
      <c r="J26" s="78"/>
      <c r="K26" s="36"/>
    </row>
    <row r="27" spans="1:11" s="10" customFormat="1" ht="30" x14ac:dyDescent="0.25">
      <c r="A27" s="539" t="s">
        <v>108</v>
      </c>
      <c r="B27" s="737">
        <f t="shared" si="5"/>
        <v>200</v>
      </c>
      <c r="C27" s="737">
        <f t="shared" si="5"/>
        <v>67</v>
      </c>
      <c r="D27" s="737">
        <f t="shared" si="5"/>
        <v>36</v>
      </c>
      <c r="E27" s="737">
        <f t="shared" si="5"/>
        <v>53.731343283582092</v>
      </c>
      <c r="F27" s="737">
        <f t="shared" si="5"/>
        <v>542.94600000000003</v>
      </c>
      <c r="G27" s="737">
        <f t="shared" ref="G27:I29" si="7">G15</f>
        <v>180.98</v>
      </c>
      <c r="H27" s="737">
        <f t="shared" si="7"/>
        <v>98.733720000000005</v>
      </c>
      <c r="I27" s="737">
        <f t="shared" si="7"/>
        <v>54.555044756326673</v>
      </c>
      <c r="J27" s="78"/>
      <c r="K27" s="36"/>
    </row>
    <row r="28" spans="1:11" s="10" customFormat="1" ht="60" x14ac:dyDescent="0.25">
      <c r="A28" s="539" t="s">
        <v>81</v>
      </c>
      <c r="B28" s="737">
        <f t="shared" si="5"/>
        <v>551</v>
      </c>
      <c r="C28" s="737">
        <f t="shared" si="5"/>
        <v>184</v>
      </c>
      <c r="D28" s="737">
        <f t="shared" si="5"/>
        <v>58</v>
      </c>
      <c r="E28" s="737">
        <f t="shared" si="5"/>
        <v>31.521739130434785</v>
      </c>
      <c r="F28" s="737">
        <f t="shared" si="5"/>
        <v>1878.8025</v>
      </c>
      <c r="G28" s="737">
        <f t="shared" si="7"/>
        <v>626.27</v>
      </c>
      <c r="H28" s="737">
        <f t="shared" si="7"/>
        <v>259.90078999999997</v>
      </c>
      <c r="I28" s="737">
        <f t="shared" si="7"/>
        <v>41.499798808820479</v>
      </c>
      <c r="J28" s="78"/>
      <c r="K28" s="36"/>
    </row>
    <row r="29" spans="1:11" s="10" customFormat="1" ht="45" x14ac:dyDescent="0.25">
      <c r="A29" s="539" t="s">
        <v>109</v>
      </c>
      <c r="B29" s="737">
        <f t="shared" si="5"/>
        <v>210</v>
      </c>
      <c r="C29" s="737">
        <f t="shared" si="5"/>
        <v>70</v>
      </c>
      <c r="D29" s="737">
        <f t="shared" si="5"/>
        <v>33</v>
      </c>
      <c r="E29" s="737">
        <f t="shared" si="5"/>
        <v>47.142857142857139</v>
      </c>
      <c r="F29" s="737">
        <f t="shared" si="5"/>
        <v>263.22050000000002</v>
      </c>
      <c r="G29" s="737">
        <f t="shared" si="7"/>
        <v>87.74</v>
      </c>
      <c r="H29" s="737">
        <f t="shared" si="7"/>
        <v>41.800600000000003</v>
      </c>
      <c r="I29" s="737">
        <f t="shared" si="7"/>
        <v>47.641440620013682</v>
      </c>
      <c r="J29" s="78"/>
      <c r="K29" s="36"/>
    </row>
    <row r="30" spans="1:11" s="10" customFormat="1" ht="30" x14ac:dyDescent="0.25">
      <c r="A30" s="539" t="s">
        <v>123</v>
      </c>
      <c r="B30" s="737">
        <f t="shared" ref="B30:E30" si="8">B18</f>
        <v>2800</v>
      </c>
      <c r="C30" s="737">
        <f t="shared" si="8"/>
        <v>933</v>
      </c>
      <c r="D30" s="737">
        <f>D18</f>
        <v>971</v>
      </c>
      <c r="E30" s="737">
        <f t="shared" si="8"/>
        <v>104.07288317256163</v>
      </c>
      <c r="F30" s="737">
        <f t="shared" ref="F30" si="9">F18</f>
        <v>3617.152</v>
      </c>
      <c r="G30" s="737">
        <f t="shared" ref="G30:I30" si="10">G18</f>
        <v>1205.72</v>
      </c>
      <c r="H30" s="737">
        <f>H18</f>
        <v>1250.4888100000001</v>
      </c>
      <c r="I30" s="737">
        <f t="shared" si="10"/>
        <v>103.71303536476131</v>
      </c>
      <c r="J30" s="78"/>
      <c r="K30" s="36"/>
    </row>
    <row r="31" spans="1:11" x14ac:dyDescent="0.25">
      <c r="A31" s="738" t="s">
        <v>4</v>
      </c>
      <c r="B31" s="739"/>
      <c r="C31" s="739"/>
      <c r="D31" s="739"/>
      <c r="E31" s="739"/>
      <c r="F31" s="739">
        <f>F19</f>
        <v>7684.9539800000002</v>
      </c>
      <c r="G31" s="739">
        <f>G19</f>
        <v>2561.65</v>
      </c>
      <c r="H31" s="739">
        <f>H19</f>
        <v>2060.08662</v>
      </c>
      <c r="I31" s="739">
        <f>I19</f>
        <v>80.420300197138559</v>
      </c>
      <c r="J31" s="78"/>
      <c r="K31" s="36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32" sqref="H32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4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3">
        <v>4</v>
      </c>
    </row>
    <row r="3" spans="1:10" ht="15.75" thickBot="1" x14ac:dyDescent="0.3">
      <c r="A3" s="153"/>
    </row>
    <row r="4" spans="1:10" ht="15.75" thickBot="1" x14ac:dyDescent="0.3">
      <c r="A4" s="39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40"/>
      <c r="B5" s="298" t="s">
        <v>128</v>
      </c>
      <c r="C5" s="298" t="s">
        <v>136</v>
      </c>
      <c r="D5" s="299" t="s">
        <v>103</v>
      </c>
      <c r="E5" s="96" t="s">
        <v>35</v>
      </c>
      <c r="F5" s="298" t="s">
        <v>129</v>
      </c>
      <c r="G5" s="298" t="s">
        <v>135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0"/>
      <c r="I7" s="20"/>
    </row>
    <row r="8" spans="1:10" ht="35.25" customHeight="1" x14ac:dyDescent="0.25">
      <c r="A8" s="732" t="s">
        <v>56</v>
      </c>
      <c r="B8" s="14"/>
      <c r="C8" s="14"/>
      <c r="D8" s="14"/>
      <c r="E8" s="14"/>
      <c r="F8" s="14"/>
      <c r="G8" s="14"/>
      <c r="H8" s="125"/>
      <c r="I8" s="14"/>
    </row>
    <row r="9" spans="1:10" s="36" customFormat="1" ht="38.1" customHeight="1" x14ac:dyDescent="0.25">
      <c r="A9" s="117" t="s">
        <v>120</v>
      </c>
      <c r="B9" s="22">
        <f>SUM(B10:B13)</f>
        <v>1227</v>
      </c>
      <c r="C9" s="22">
        <f>SUM(C10:C13)</f>
        <v>409</v>
      </c>
      <c r="D9" s="114">
        <f>SUM(D10:D13)</f>
        <v>249</v>
      </c>
      <c r="E9" s="114">
        <f t="shared" ref="E9:E19" si="0">D9/C9*100</f>
        <v>60.880195599022002</v>
      </c>
      <c r="F9" s="130">
        <f>SUM(F10:F13)</f>
        <v>3253.9132599999998</v>
      </c>
      <c r="G9" s="130">
        <f>SUM(G10:G13)</f>
        <v>1084.6400000000001</v>
      </c>
      <c r="H9" s="130">
        <f>SUM(H10:H13)</f>
        <v>583.36911000000009</v>
      </c>
      <c r="I9" s="114">
        <f t="shared" ref="I9:I19" si="1">H9/G9*100</f>
        <v>53.784583825047946</v>
      </c>
      <c r="J9" s="106"/>
    </row>
    <row r="10" spans="1:10" s="36" customFormat="1" ht="38.1" customHeight="1" x14ac:dyDescent="0.25">
      <c r="A10" s="117" t="s">
        <v>79</v>
      </c>
      <c r="B10" s="22">
        <v>900</v>
      </c>
      <c r="C10" s="22">
        <f t="shared" ref="C10:C17" si="2">ROUND(B10/12*$A$2,0)</f>
        <v>300</v>
      </c>
      <c r="D10" s="114">
        <v>224</v>
      </c>
      <c r="E10" s="114">
        <f t="shared" si="0"/>
        <v>74.666666666666671</v>
      </c>
      <c r="F10" s="130">
        <v>1940.569</v>
      </c>
      <c r="G10" s="114">
        <f>ROUND(F10/12*$A$2,2)</f>
        <v>646.86</v>
      </c>
      <c r="H10" s="114">
        <v>378.09620000000007</v>
      </c>
      <c r="I10" s="114">
        <f t="shared" si="1"/>
        <v>58.451009492007557</v>
      </c>
      <c r="J10" s="106"/>
    </row>
    <row r="11" spans="1:10" s="36" customFormat="1" ht="30" x14ac:dyDescent="0.25">
      <c r="A11" s="117" t="s">
        <v>80</v>
      </c>
      <c r="B11" s="22">
        <v>270</v>
      </c>
      <c r="C11" s="22">
        <f t="shared" si="2"/>
        <v>90</v>
      </c>
      <c r="D11" s="114">
        <v>5</v>
      </c>
      <c r="E11" s="114">
        <f t="shared" si="0"/>
        <v>5.5555555555555554</v>
      </c>
      <c r="F11" s="130">
        <v>741.1543200000001</v>
      </c>
      <c r="G11" s="114">
        <f t="shared" ref="G11:G13" si="3">ROUND(F11/12*$A$2,2)</f>
        <v>247.05</v>
      </c>
      <c r="H11" s="114">
        <v>4.5045100000000025</v>
      </c>
      <c r="I11" s="114">
        <f t="shared" si="1"/>
        <v>1.8233191661606969</v>
      </c>
      <c r="J11" s="106"/>
    </row>
    <row r="12" spans="1:10" s="36" customFormat="1" ht="45" x14ac:dyDescent="0.25">
      <c r="A12" s="117" t="s">
        <v>110</v>
      </c>
      <c r="B12" s="22">
        <v>20</v>
      </c>
      <c r="C12" s="22">
        <f t="shared" si="2"/>
        <v>7</v>
      </c>
      <c r="D12" s="114">
        <v>20</v>
      </c>
      <c r="E12" s="114">
        <f t="shared" si="0"/>
        <v>285.71428571428572</v>
      </c>
      <c r="F12" s="130">
        <v>200.76839999999999</v>
      </c>
      <c r="G12" s="114">
        <f t="shared" si="3"/>
        <v>66.92</v>
      </c>
      <c r="H12" s="114">
        <v>200.76839999999999</v>
      </c>
      <c r="I12" s="114">
        <f t="shared" si="1"/>
        <v>300.0125523012552</v>
      </c>
      <c r="J12" s="106"/>
    </row>
    <row r="13" spans="1:10" s="36" customFormat="1" ht="30" x14ac:dyDescent="0.25">
      <c r="A13" s="117" t="s">
        <v>111</v>
      </c>
      <c r="B13" s="22">
        <v>37</v>
      </c>
      <c r="C13" s="22">
        <f t="shared" si="2"/>
        <v>12</v>
      </c>
      <c r="D13" s="114">
        <v>0</v>
      </c>
      <c r="E13" s="114">
        <f t="shared" si="0"/>
        <v>0</v>
      </c>
      <c r="F13" s="130">
        <v>371.42153999999999</v>
      </c>
      <c r="G13" s="114">
        <f t="shared" si="3"/>
        <v>123.81</v>
      </c>
      <c r="H13" s="114">
        <v>0</v>
      </c>
      <c r="I13" s="114">
        <f t="shared" si="1"/>
        <v>0</v>
      </c>
      <c r="J13" s="106"/>
    </row>
    <row r="14" spans="1:10" s="36" customFormat="1" ht="30" x14ac:dyDescent="0.25">
      <c r="A14" s="117" t="s">
        <v>112</v>
      </c>
      <c r="B14" s="22">
        <f>SUM(B15:B17)</f>
        <v>1519</v>
      </c>
      <c r="C14" s="22">
        <f>SUM(C15:C17)</f>
        <v>506</v>
      </c>
      <c r="D14" s="114">
        <f>SUM(D15:D17)</f>
        <v>269</v>
      </c>
      <c r="E14" s="114">
        <f t="shared" si="0"/>
        <v>53.162055335968383</v>
      </c>
      <c r="F14" s="130">
        <f>SUM(F15:F17)</f>
        <v>5389.9595099999997</v>
      </c>
      <c r="G14" s="114">
        <f>SUM(G15:G17)</f>
        <v>1796.65</v>
      </c>
      <c r="H14" s="114">
        <f>SUM(H15:H17)</f>
        <v>940.54800999999986</v>
      </c>
      <c r="I14" s="114">
        <f t="shared" si="1"/>
        <v>52.3500965686138</v>
      </c>
      <c r="J14" s="106"/>
    </row>
    <row r="15" spans="1:10" s="36" customFormat="1" ht="30" x14ac:dyDescent="0.25">
      <c r="A15" s="117" t="s">
        <v>108</v>
      </c>
      <c r="B15" s="114">
        <v>100</v>
      </c>
      <c r="C15" s="22">
        <f t="shared" si="2"/>
        <v>33</v>
      </c>
      <c r="D15" s="114">
        <v>16</v>
      </c>
      <c r="E15" s="114">
        <f t="shared" si="0"/>
        <v>48.484848484848484</v>
      </c>
      <c r="F15" s="130">
        <v>324.38797</v>
      </c>
      <c r="G15" s="114">
        <f t="shared" ref="G15:G18" si="4">ROUND(F15/12*$A$2,2)</f>
        <v>108.13</v>
      </c>
      <c r="H15" s="130">
        <v>49.861289999999997</v>
      </c>
      <c r="I15" s="114">
        <f t="shared" si="1"/>
        <v>46.112355498011652</v>
      </c>
      <c r="J15" s="106"/>
    </row>
    <row r="16" spans="1:10" s="36" customFormat="1" ht="60" x14ac:dyDescent="0.25">
      <c r="A16" s="117" t="s">
        <v>119</v>
      </c>
      <c r="B16" s="114">
        <v>1328</v>
      </c>
      <c r="C16" s="22">
        <f t="shared" si="2"/>
        <v>443</v>
      </c>
      <c r="D16" s="114">
        <v>220</v>
      </c>
      <c r="E16" s="114">
        <f t="shared" si="0"/>
        <v>49.661399548532728</v>
      </c>
      <c r="F16" s="130">
        <v>4929.1243199999999</v>
      </c>
      <c r="G16" s="114">
        <f t="shared" si="4"/>
        <v>1643.04</v>
      </c>
      <c r="H16" s="114">
        <v>842.51285999999993</v>
      </c>
      <c r="I16" s="114">
        <f t="shared" si="1"/>
        <v>51.277684049079753</v>
      </c>
      <c r="J16" s="106"/>
    </row>
    <row r="17" spans="1:204" s="36" customFormat="1" ht="45" x14ac:dyDescent="0.25">
      <c r="A17" s="117" t="s">
        <v>109</v>
      </c>
      <c r="B17" s="114">
        <v>91</v>
      </c>
      <c r="C17" s="22">
        <f t="shared" si="2"/>
        <v>30</v>
      </c>
      <c r="D17" s="114">
        <v>33</v>
      </c>
      <c r="E17" s="114">
        <f t="shared" si="0"/>
        <v>110.00000000000001</v>
      </c>
      <c r="F17" s="130">
        <v>136.44721999999999</v>
      </c>
      <c r="G17" s="114">
        <f t="shared" si="4"/>
        <v>45.48</v>
      </c>
      <c r="H17" s="114">
        <v>48.173859999999998</v>
      </c>
      <c r="I17" s="114">
        <f t="shared" si="1"/>
        <v>105.92317502198769</v>
      </c>
      <c r="J17" s="106"/>
    </row>
    <row r="18" spans="1:204" s="36" customFormat="1" ht="38.1" customHeight="1" thickBot="1" x14ac:dyDescent="0.3">
      <c r="A18" s="733" t="s">
        <v>123</v>
      </c>
      <c r="B18" s="175">
        <v>5565</v>
      </c>
      <c r="C18" s="706">
        <f>ROUND(B18/12*$A$2,0)</f>
        <v>1855</v>
      </c>
      <c r="D18" s="175">
        <v>2038</v>
      </c>
      <c r="E18" s="175">
        <f t="shared" si="0"/>
        <v>109.86522911051213</v>
      </c>
      <c r="F18" s="130">
        <v>8285.1720000000005</v>
      </c>
      <c r="G18" s="114">
        <f t="shared" si="4"/>
        <v>2761.72</v>
      </c>
      <c r="H18" s="175">
        <v>3021.0152499999999</v>
      </c>
      <c r="I18" s="175">
        <f>H18/G18*100</f>
        <v>109.38890437843082</v>
      </c>
      <c r="J18" s="106"/>
    </row>
    <row r="19" spans="1:204" s="13" customFormat="1" ht="27" customHeight="1" thickBot="1" x14ac:dyDescent="0.3">
      <c r="A19" s="205" t="s">
        <v>3</v>
      </c>
      <c r="B19" s="340">
        <f>B14+B9</f>
        <v>2746</v>
      </c>
      <c r="C19" s="340">
        <f>C14+C9</f>
        <v>915</v>
      </c>
      <c r="D19" s="340">
        <f>D14+D9</f>
        <v>518</v>
      </c>
      <c r="E19" s="340">
        <f t="shared" si="0"/>
        <v>56.612021857923501</v>
      </c>
      <c r="F19" s="376">
        <f>F14+F9+F18</f>
        <v>16929.04477</v>
      </c>
      <c r="G19" s="376">
        <f>G14+G9+G18</f>
        <v>5643.01</v>
      </c>
      <c r="H19" s="376">
        <f>H14+H9+H18</f>
        <v>4544.9323700000004</v>
      </c>
      <c r="I19" s="340">
        <f t="shared" si="1"/>
        <v>80.540923549665877</v>
      </c>
      <c r="J19" s="106"/>
      <c r="K19" s="36"/>
    </row>
    <row r="20" spans="1:204" x14ac:dyDescent="0.25">
      <c r="A20" s="731" t="s">
        <v>12</v>
      </c>
      <c r="B20" s="51"/>
      <c r="C20" s="51"/>
      <c r="D20" s="51"/>
      <c r="E20" s="51"/>
      <c r="F20" s="76"/>
      <c r="G20" s="76"/>
      <c r="H20" s="121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5" t="s">
        <v>120</v>
      </c>
      <c r="B21" s="244">
        <f t="shared" ref="B21:F29" si="5">B9</f>
        <v>1227</v>
      </c>
      <c r="C21" s="244">
        <f t="shared" si="5"/>
        <v>409</v>
      </c>
      <c r="D21" s="244">
        <f t="shared" si="5"/>
        <v>249</v>
      </c>
      <c r="E21" s="244">
        <f t="shared" si="5"/>
        <v>60.880195599022002</v>
      </c>
      <c r="F21" s="244">
        <f t="shared" si="5"/>
        <v>3253.9132599999998</v>
      </c>
      <c r="G21" s="244">
        <f t="shared" ref="G21:I26" si="6">G9</f>
        <v>1084.6400000000001</v>
      </c>
      <c r="H21" s="244">
        <f t="shared" si="6"/>
        <v>583.36911000000009</v>
      </c>
      <c r="I21" s="244">
        <f t="shared" si="6"/>
        <v>53.784583825047946</v>
      </c>
    </row>
    <row r="22" spans="1:204" s="10" customFormat="1" ht="30" x14ac:dyDescent="0.25">
      <c r="A22" s="246" t="s">
        <v>79</v>
      </c>
      <c r="B22" s="244">
        <f t="shared" si="5"/>
        <v>900</v>
      </c>
      <c r="C22" s="244">
        <f t="shared" si="5"/>
        <v>300</v>
      </c>
      <c r="D22" s="244">
        <f t="shared" si="5"/>
        <v>224</v>
      </c>
      <c r="E22" s="244">
        <f t="shared" si="5"/>
        <v>74.666666666666671</v>
      </c>
      <c r="F22" s="244">
        <f t="shared" si="5"/>
        <v>1940.569</v>
      </c>
      <c r="G22" s="244">
        <f t="shared" si="6"/>
        <v>646.86</v>
      </c>
      <c r="H22" s="244">
        <f t="shared" si="6"/>
        <v>378.09620000000007</v>
      </c>
      <c r="I22" s="244">
        <f t="shared" si="6"/>
        <v>58.451009492007557</v>
      </c>
    </row>
    <row r="23" spans="1:204" s="10" customFormat="1" ht="30" x14ac:dyDescent="0.25">
      <c r="A23" s="246" t="s">
        <v>80</v>
      </c>
      <c r="B23" s="244">
        <f t="shared" si="5"/>
        <v>270</v>
      </c>
      <c r="C23" s="244">
        <f t="shared" si="5"/>
        <v>90</v>
      </c>
      <c r="D23" s="244">
        <f t="shared" si="5"/>
        <v>5</v>
      </c>
      <c r="E23" s="244">
        <f t="shared" si="5"/>
        <v>5.5555555555555554</v>
      </c>
      <c r="F23" s="244">
        <f t="shared" si="5"/>
        <v>741.1543200000001</v>
      </c>
      <c r="G23" s="244">
        <f t="shared" si="6"/>
        <v>247.05</v>
      </c>
      <c r="H23" s="244">
        <f t="shared" si="6"/>
        <v>4.5045100000000025</v>
      </c>
      <c r="I23" s="244">
        <f t="shared" si="6"/>
        <v>1.8233191661606969</v>
      </c>
    </row>
    <row r="24" spans="1:204" s="10" customFormat="1" ht="45" x14ac:dyDescent="0.25">
      <c r="A24" s="246" t="s">
        <v>130</v>
      </c>
      <c r="B24" s="244">
        <f t="shared" si="5"/>
        <v>20</v>
      </c>
      <c r="C24" s="244">
        <f t="shared" si="5"/>
        <v>7</v>
      </c>
      <c r="D24" s="244">
        <f t="shared" si="5"/>
        <v>20</v>
      </c>
      <c r="E24" s="244">
        <f t="shared" si="5"/>
        <v>285.71428571428572</v>
      </c>
      <c r="F24" s="244">
        <f t="shared" si="5"/>
        <v>200.76839999999999</v>
      </c>
      <c r="G24" s="244">
        <f t="shared" si="6"/>
        <v>66.92</v>
      </c>
      <c r="H24" s="244">
        <f t="shared" si="6"/>
        <v>200.76839999999999</v>
      </c>
      <c r="I24" s="244">
        <f t="shared" si="6"/>
        <v>300.0125523012552</v>
      </c>
    </row>
    <row r="25" spans="1:204" s="10" customFormat="1" ht="30" x14ac:dyDescent="0.25">
      <c r="A25" s="246" t="s">
        <v>111</v>
      </c>
      <c r="B25" s="244">
        <f t="shared" si="5"/>
        <v>37</v>
      </c>
      <c r="C25" s="244">
        <f t="shared" si="5"/>
        <v>12</v>
      </c>
      <c r="D25" s="244">
        <f t="shared" si="5"/>
        <v>0</v>
      </c>
      <c r="E25" s="244">
        <f t="shared" si="5"/>
        <v>0</v>
      </c>
      <c r="F25" s="244">
        <f t="shared" si="5"/>
        <v>371.42153999999999</v>
      </c>
      <c r="G25" s="244">
        <f t="shared" si="6"/>
        <v>123.81</v>
      </c>
      <c r="H25" s="244">
        <f t="shared" si="6"/>
        <v>0</v>
      </c>
      <c r="I25" s="244">
        <f t="shared" si="6"/>
        <v>0</v>
      </c>
    </row>
    <row r="26" spans="1:204" s="10" customFormat="1" ht="30" x14ac:dyDescent="0.25">
      <c r="A26" s="245" t="s">
        <v>112</v>
      </c>
      <c r="B26" s="244">
        <f t="shared" si="5"/>
        <v>1519</v>
      </c>
      <c r="C26" s="244">
        <f t="shared" si="5"/>
        <v>506</v>
      </c>
      <c r="D26" s="244">
        <f t="shared" si="5"/>
        <v>269</v>
      </c>
      <c r="E26" s="244">
        <f t="shared" si="5"/>
        <v>53.162055335968383</v>
      </c>
      <c r="F26" s="244">
        <f t="shared" si="5"/>
        <v>5389.9595099999997</v>
      </c>
      <c r="G26" s="244">
        <f t="shared" si="6"/>
        <v>1796.65</v>
      </c>
      <c r="H26" s="244">
        <f t="shared" si="6"/>
        <v>940.54800999999986</v>
      </c>
      <c r="I26" s="244">
        <f t="shared" si="6"/>
        <v>52.3500965686138</v>
      </c>
    </row>
    <row r="27" spans="1:204" s="10" customFormat="1" ht="30" x14ac:dyDescent="0.25">
      <c r="A27" s="246" t="s">
        <v>108</v>
      </c>
      <c r="B27" s="244">
        <f t="shared" si="5"/>
        <v>100</v>
      </c>
      <c r="C27" s="244">
        <f t="shared" si="5"/>
        <v>33</v>
      </c>
      <c r="D27" s="244">
        <f t="shared" si="5"/>
        <v>16</v>
      </c>
      <c r="E27" s="244">
        <f t="shared" si="5"/>
        <v>48.484848484848484</v>
      </c>
      <c r="F27" s="244">
        <f t="shared" si="5"/>
        <v>324.38797</v>
      </c>
      <c r="G27" s="244">
        <f t="shared" ref="G27:I29" si="7">G15</f>
        <v>108.13</v>
      </c>
      <c r="H27" s="244">
        <f t="shared" si="7"/>
        <v>49.861289999999997</v>
      </c>
      <c r="I27" s="244">
        <f t="shared" si="7"/>
        <v>46.112355498011652</v>
      </c>
    </row>
    <row r="28" spans="1:204" s="10" customFormat="1" ht="62.25" customHeight="1" x14ac:dyDescent="0.25">
      <c r="A28" s="246" t="s">
        <v>81</v>
      </c>
      <c r="B28" s="244">
        <f t="shared" si="5"/>
        <v>1328</v>
      </c>
      <c r="C28" s="244">
        <f t="shared" si="5"/>
        <v>443</v>
      </c>
      <c r="D28" s="244">
        <f t="shared" si="5"/>
        <v>220</v>
      </c>
      <c r="E28" s="244">
        <f t="shared" si="5"/>
        <v>49.661399548532728</v>
      </c>
      <c r="F28" s="244">
        <f t="shared" si="5"/>
        <v>4929.1243199999999</v>
      </c>
      <c r="G28" s="244">
        <f t="shared" si="7"/>
        <v>1643.04</v>
      </c>
      <c r="H28" s="244">
        <f t="shared" si="7"/>
        <v>842.51285999999993</v>
      </c>
      <c r="I28" s="244">
        <f t="shared" si="7"/>
        <v>51.277684049079753</v>
      </c>
    </row>
    <row r="29" spans="1:204" s="10" customFormat="1" ht="45" x14ac:dyDescent="0.25">
      <c r="A29" s="246" t="s">
        <v>109</v>
      </c>
      <c r="B29" s="244">
        <f t="shared" si="5"/>
        <v>91</v>
      </c>
      <c r="C29" s="244">
        <f t="shared" si="5"/>
        <v>30</v>
      </c>
      <c r="D29" s="244">
        <f t="shared" si="5"/>
        <v>33</v>
      </c>
      <c r="E29" s="244">
        <f t="shared" si="5"/>
        <v>110.00000000000001</v>
      </c>
      <c r="F29" s="244">
        <f t="shared" si="5"/>
        <v>136.44721999999999</v>
      </c>
      <c r="G29" s="244">
        <f t="shared" si="7"/>
        <v>45.48</v>
      </c>
      <c r="H29" s="244">
        <f t="shared" si="7"/>
        <v>48.173859999999998</v>
      </c>
      <c r="I29" s="244">
        <f t="shared" si="7"/>
        <v>105.92317502198769</v>
      </c>
    </row>
    <row r="30" spans="1:204" s="10" customFormat="1" ht="38.1" customHeight="1" x14ac:dyDescent="0.25">
      <c r="A30" s="307" t="s">
        <v>123</v>
      </c>
      <c r="B30" s="244">
        <f t="shared" ref="B30:E30" si="8">B18</f>
        <v>5565</v>
      </c>
      <c r="C30" s="244">
        <f t="shared" si="8"/>
        <v>1855</v>
      </c>
      <c r="D30" s="244">
        <f t="shared" si="8"/>
        <v>2038</v>
      </c>
      <c r="E30" s="244">
        <f t="shared" si="8"/>
        <v>109.86522911051213</v>
      </c>
      <c r="F30" s="244">
        <f t="shared" ref="F30" si="9">F18</f>
        <v>8285.1720000000005</v>
      </c>
      <c r="G30" s="244">
        <f t="shared" ref="G30:I30" si="10">G18</f>
        <v>2761.72</v>
      </c>
      <c r="H30" s="244">
        <f t="shared" si="10"/>
        <v>3021.0152499999999</v>
      </c>
      <c r="I30" s="244">
        <f t="shared" si="10"/>
        <v>109.38890437843082</v>
      </c>
    </row>
    <row r="31" spans="1:204" ht="15.75" thickBot="1" x14ac:dyDescent="0.3">
      <c r="A31" s="641" t="s">
        <v>4</v>
      </c>
      <c r="B31" s="642"/>
      <c r="C31" s="642"/>
      <c r="D31" s="642"/>
      <c r="E31" s="642"/>
      <c r="F31" s="642">
        <f>F19</f>
        <v>16929.04477</v>
      </c>
      <c r="G31" s="642">
        <f>G19</f>
        <v>5643.01</v>
      </c>
      <c r="H31" s="642">
        <f>H19</f>
        <v>4544.9323700000004</v>
      </c>
      <c r="I31" s="642">
        <f>I19</f>
        <v>80.540923549665877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C255" sqref="C255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78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5.7109375" style="45" customWidth="1"/>
    <col min="11" max="11" width="13.28515625" style="728" customWidth="1"/>
    <col min="12" max="12" width="18.28515625" style="728" customWidth="1"/>
    <col min="13" max="14" width="13.42578125" style="45" bestFit="1" customWidth="1"/>
    <col min="15" max="16384" width="9.140625" style="45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7">
        <v>4</v>
      </c>
    </row>
    <row r="4" spans="1:185" ht="30" customHeight="1" thickBot="1" x14ac:dyDescent="0.3">
      <c r="A4" s="39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40"/>
      <c r="B5" s="298" t="s">
        <v>128</v>
      </c>
      <c r="C5" s="298" t="s">
        <v>137</v>
      </c>
      <c r="D5" s="298" t="s">
        <v>103</v>
      </c>
      <c r="E5" s="96" t="s">
        <v>35</v>
      </c>
      <c r="F5" s="298" t="s">
        <v>129</v>
      </c>
      <c r="G5" s="298" t="s">
        <v>135</v>
      </c>
      <c r="H5" s="299" t="s">
        <v>104</v>
      </c>
      <c r="I5" s="96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88"/>
      <c r="K6" s="728"/>
      <c r="L6" s="729"/>
    </row>
    <row r="7" spans="1:185" s="46" customFormat="1" ht="15" customHeight="1" x14ac:dyDescent="0.25">
      <c r="A7" s="42" t="s">
        <v>16</v>
      </c>
      <c r="B7" s="44"/>
      <c r="C7" s="44"/>
      <c r="D7" s="44"/>
      <c r="E7" s="179"/>
      <c r="F7" s="59"/>
      <c r="G7" s="59"/>
      <c r="H7" s="59"/>
      <c r="I7" s="59"/>
      <c r="K7" s="728"/>
      <c r="L7" s="729"/>
    </row>
    <row r="8" spans="1:185" ht="30" x14ac:dyDescent="0.25">
      <c r="A8" s="539" t="s">
        <v>120</v>
      </c>
      <c r="B8" s="540">
        <f>'1 уровень'!C241</f>
        <v>136098</v>
      </c>
      <c r="C8" s="540">
        <f>'1 уровень'!D241</f>
        <v>45368</v>
      </c>
      <c r="D8" s="540">
        <f>'1 уровень'!E241</f>
        <v>43342</v>
      </c>
      <c r="E8" s="541">
        <f>'1 уровень'!F241</f>
        <v>95.534297302063138</v>
      </c>
      <c r="F8" s="542">
        <f>'1 уровень'!G241</f>
        <v>194960.87882999997</v>
      </c>
      <c r="G8" s="542">
        <f>'1 уровень'!H241</f>
        <v>64986.950000000004</v>
      </c>
      <c r="H8" s="542">
        <f>'1 уровень'!I241</f>
        <v>62648.673849999999</v>
      </c>
      <c r="I8" s="542">
        <f>'1 уровень'!J241</f>
        <v>96.401929695115712</v>
      </c>
      <c r="J8" s="104"/>
      <c r="L8" s="729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17" t="s">
        <v>79</v>
      </c>
      <c r="B9" s="50">
        <f>'1 уровень'!C242</f>
        <v>103458</v>
      </c>
      <c r="C9" s="50">
        <f>'1 уровень'!D242</f>
        <v>34486</v>
      </c>
      <c r="D9" s="50">
        <f>'1 уровень'!E242</f>
        <v>33188</v>
      </c>
      <c r="E9" s="181">
        <f>'1 уровень'!F242</f>
        <v>96.236153801542656</v>
      </c>
      <c r="F9" s="60">
        <f>'1 уровень'!G242</f>
        <v>138915.41019999998</v>
      </c>
      <c r="G9" s="60">
        <f>'1 уровень'!H242</f>
        <v>46305.130000000005</v>
      </c>
      <c r="H9" s="60">
        <f>'1 уровень'!I242</f>
        <v>41872.238469999997</v>
      </c>
      <c r="I9" s="60">
        <f>'1 уровень'!J242</f>
        <v>90.426780941982017</v>
      </c>
      <c r="J9" s="104"/>
      <c r="L9" s="729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17" t="s">
        <v>80</v>
      </c>
      <c r="B10" s="50">
        <f>'1 уровень'!C243</f>
        <v>31037</v>
      </c>
      <c r="C10" s="50">
        <f>'1 уровень'!D243</f>
        <v>10345</v>
      </c>
      <c r="D10" s="50">
        <f>'1 уровень'!E243</f>
        <v>8802</v>
      </c>
      <c r="E10" s="181">
        <f>'1 уровень'!F243</f>
        <v>85.084581923634602</v>
      </c>
      <c r="F10" s="60">
        <f>'1 уровень'!G243</f>
        <v>47279.62343</v>
      </c>
      <c r="G10" s="60">
        <f>'1 уровень'!H243</f>
        <v>15759.880000000001</v>
      </c>
      <c r="H10" s="60">
        <f>'1 уровень'!I243</f>
        <v>13411.048130000003</v>
      </c>
      <c r="I10" s="60">
        <f>'1 уровень'!J243</f>
        <v>85.096130998459401</v>
      </c>
      <c r="J10" s="104"/>
      <c r="L10" s="729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17" t="s">
        <v>110</v>
      </c>
      <c r="B11" s="50">
        <f>'1 уровень'!C244</f>
        <v>846</v>
      </c>
      <c r="C11" s="50">
        <f>'1 уровень'!D244</f>
        <v>283</v>
      </c>
      <c r="D11" s="50">
        <f>'1 уровень'!E244</f>
        <v>732</v>
      </c>
      <c r="E11" s="181">
        <f>'1 уровень'!F244</f>
        <v>258.65724381625444</v>
      </c>
      <c r="F11" s="60">
        <f>'1 уровень'!G244</f>
        <v>4626.2663999999995</v>
      </c>
      <c r="G11" s="60">
        <f>'1 уровень'!H244</f>
        <v>1542.0800000000002</v>
      </c>
      <c r="H11" s="60">
        <f>'1 уровень'!I244</f>
        <v>4002.8688000000002</v>
      </c>
      <c r="I11" s="60">
        <f>'1 уровень'!J244</f>
        <v>259.57594936708858</v>
      </c>
      <c r="J11" s="104"/>
      <c r="L11" s="729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17" t="s">
        <v>111</v>
      </c>
      <c r="B12" s="50">
        <f>'1 уровень'!C245</f>
        <v>757</v>
      </c>
      <c r="C12" s="50">
        <f>'1 уровень'!D245</f>
        <v>254</v>
      </c>
      <c r="D12" s="50">
        <f>'1 уровень'!E245</f>
        <v>620</v>
      </c>
      <c r="E12" s="181">
        <f>'1 уровень'!F245</f>
        <v>244.09448818897638</v>
      </c>
      <c r="F12" s="60">
        <f>'1 уровень'!G245</f>
        <v>4139.5787999999993</v>
      </c>
      <c r="G12" s="60">
        <f>'1 уровень'!H245</f>
        <v>1379.86</v>
      </c>
      <c r="H12" s="60">
        <f>'1 уровень'!I245</f>
        <v>3362.5184499999996</v>
      </c>
      <c r="I12" s="60">
        <f>'1 уровень'!J245</f>
        <v>243.68547896163381</v>
      </c>
      <c r="J12" s="104"/>
      <c r="L12" s="729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43" t="s">
        <v>112</v>
      </c>
      <c r="B13" s="540">
        <f>'1 уровень'!C246</f>
        <v>150239</v>
      </c>
      <c r="C13" s="540">
        <f>'1 уровень'!D246</f>
        <v>50081</v>
      </c>
      <c r="D13" s="540">
        <f>'1 уровень'!E246</f>
        <v>51293</v>
      </c>
      <c r="E13" s="541">
        <f>'1 уровень'!F246</f>
        <v>102.42007947125657</v>
      </c>
      <c r="F13" s="542">
        <f>'1 уровень'!G246</f>
        <v>299908.21309999999</v>
      </c>
      <c r="G13" s="542">
        <f>'1 уровень'!H246</f>
        <v>99969.419999999984</v>
      </c>
      <c r="H13" s="542">
        <f>'1 уровень'!I246</f>
        <v>92723.593980000005</v>
      </c>
      <c r="I13" s="542">
        <f>'1 уровень'!J246</f>
        <v>92.751957528612266</v>
      </c>
      <c r="J13" s="104"/>
      <c r="L13" s="729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17" t="s">
        <v>108</v>
      </c>
      <c r="B14" s="50">
        <f>'1 уровень'!C247</f>
        <v>20598</v>
      </c>
      <c r="C14" s="50">
        <f>'1 уровень'!D247</f>
        <v>6866</v>
      </c>
      <c r="D14" s="50">
        <f>'1 уровень'!E247</f>
        <v>6807</v>
      </c>
      <c r="E14" s="181">
        <f>'1 уровень'!F247</f>
        <v>99.140693271191381</v>
      </c>
      <c r="F14" s="60">
        <f>'1 уровень'!G247</f>
        <v>36398.725800000007</v>
      </c>
      <c r="G14" s="60">
        <f>'1 уровень'!H247</f>
        <v>12132.91</v>
      </c>
      <c r="H14" s="60">
        <f>'1 уровень'!I247</f>
        <v>11989.15474</v>
      </c>
      <c r="I14" s="60">
        <f>'1 уровень'!J247</f>
        <v>98.815162561990491</v>
      </c>
      <c r="J14" s="104"/>
      <c r="L14" s="729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17" t="s">
        <v>81</v>
      </c>
      <c r="B15" s="50">
        <f>'1 уровень'!C248</f>
        <v>105307</v>
      </c>
      <c r="C15" s="50">
        <f>'1 уровень'!D248</f>
        <v>35103</v>
      </c>
      <c r="D15" s="50">
        <f>'1 уровень'!E248</f>
        <v>33627</v>
      </c>
      <c r="E15" s="181">
        <f>'1 уровень'!F248</f>
        <v>95.795231176822497</v>
      </c>
      <c r="F15" s="60">
        <f>'1 уровень'!G248</f>
        <v>243133.47609999997</v>
      </c>
      <c r="G15" s="60">
        <f>'1 уровень'!H248</f>
        <v>81044.500000000015</v>
      </c>
      <c r="H15" s="60">
        <f>'1 уровень'!I248</f>
        <v>70701.292440000019</v>
      </c>
      <c r="I15" s="60">
        <f>'1 уровень'!J248</f>
        <v>87.237619381944498</v>
      </c>
      <c r="J15" s="104"/>
      <c r="L15" s="729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17" t="s">
        <v>109</v>
      </c>
      <c r="B16" s="50">
        <f>'1 уровень'!C249</f>
        <v>24334</v>
      </c>
      <c r="C16" s="50">
        <f>'1 уровень'!D249</f>
        <v>8112</v>
      </c>
      <c r="D16" s="50">
        <f>'1 уровень'!E249</f>
        <v>10859</v>
      </c>
      <c r="E16" s="181">
        <f>'1 уровень'!F249</f>
        <v>133.86341222879685</v>
      </c>
      <c r="F16" s="60">
        <f>'1 уровень'!G249</f>
        <v>20376.011200000001</v>
      </c>
      <c r="G16" s="60">
        <f>'1 уровень'!H249</f>
        <v>6792.0100000000011</v>
      </c>
      <c r="H16" s="60">
        <f>'1 уровень'!I249</f>
        <v>10033.1468</v>
      </c>
      <c r="I16" s="60">
        <f>'1 уровень'!J249</f>
        <v>147.71984729115533</v>
      </c>
      <c r="J16" s="104"/>
      <c r="L16" s="729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68" t="s">
        <v>123</v>
      </c>
      <c r="B17" s="545">
        <f>'1 уровень'!C250</f>
        <v>295944.8</v>
      </c>
      <c r="C17" s="545">
        <f>'1 уровень'!D250</f>
        <v>98647</v>
      </c>
      <c r="D17" s="50">
        <f>'1 уровень'!E250</f>
        <v>102002</v>
      </c>
      <c r="E17" s="546">
        <f>'1 уровень'!F250</f>
        <v>103.40101574300282</v>
      </c>
      <c r="F17" s="60">
        <f>'1 уровень'!G250</f>
        <v>240017.31389999998</v>
      </c>
      <c r="G17" s="572">
        <f>'1 уровень'!H250</f>
        <v>80005.780000000013</v>
      </c>
      <c r="H17" s="572">
        <f>'1 уровень'!I250</f>
        <v>82359.86096000002</v>
      </c>
      <c r="I17" s="572">
        <f>'1 уровень'!J250</f>
        <v>102.94238861242275</v>
      </c>
      <c r="J17" s="104"/>
      <c r="K17" s="104"/>
      <c r="L17" s="104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17" t="s">
        <v>124</v>
      </c>
      <c r="B18" s="545">
        <f>'1 уровень'!C251</f>
        <v>25864.400000000001</v>
      </c>
      <c r="C18" s="545">
        <f>'1 уровень'!D251</f>
        <v>8621</v>
      </c>
      <c r="D18" s="50">
        <f>'1 уровень'!E251</f>
        <v>8269</v>
      </c>
      <c r="E18" s="546">
        <f>'1 уровень'!F251</f>
        <v>95.916946989908354</v>
      </c>
      <c r="F18" s="60">
        <f>'1 уровень'!G251</f>
        <v>20976.617719373913</v>
      </c>
      <c r="G18" s="572">
        <f>'1 уровень'!H251</f>
        <v>6992.21</v>
      </c>
      <c r="H18" s="572">
        <f>'1 уровень'!I251</f>
        <v>6689.1340399999999</v>
      </c>
      <c r="I18" s="572">
        <f>'1 уровень'!J251</f>
        <v>95.665519771288331</v>
      </c>
      <c r="J18" s="104"/>
      <c r="K18" s="104"/>
      <c r="L18" s="104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68" t="s">
        <v>125</v>
      </c>
      <c r="B19" s="545">
        <f>'1 уровень'!C252</f>
        <v>9471.6</v>
      </c>
      <c r="C19" s="545">
        <f>'1 уровень'!D252</f>
        <v>3158</v>
      </c>
      <c r="D19" s="50">
        <f>'1 уровень'!E252</f>
        <v>4068</v>
      </c>
      <c r="E19" s="546">
        <f>'1 уровень'!F252</f>
        <v>128.81570614312855</v>
      </c>
      <c r="F19" s="60">
        <f>'1 уровень'!G252</f>
        <v>7681.7064666208862</v>
      </c>
      <c r="G19" s="572">
        <f>'1 уровень'!H252</f>
        <v>2560.5700000000002</v>
      </c>
      <c r="H19" s="572">
        <f>'1 уровень'!I252</f>
        <v>3295.0084999999999</v>
      </c>
      <c r="I19" s="572">
        <f>'1 уровень'!J252</f>
        <v>128.68261754218787</v>
      </c>
      <c r="J19" s="104"/>
      <c r="K19" s="104"/>
      <c r="L19" s="104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49" t="s">
        <v>106</v>
      </c>
      <c r="B20" s="550">
        <f>'1 уровень'!C253</f>
        <v>0</v>
      </c>
      <c r="C20" s="550">
        <f>'1 уровень'!D253</f>
        <v>0</v>
      </c>
      <c r="D20" s="550">
        <f>'1 уровень'!E253</f>
        <v>0</v>
      </c>
      <c r="E20" s="551">
        <f>'1 уровень'!F253</f>
        <v>0</v>
      </c>
      <c r="F20" s="577">
        <f>'1 уровень'!G253</f>
        <v>734886.40583000006</v>
      </c>
      <c r="G20" s="577">
        <f>'1 уровень'!H253</f>
        <v>244962.14999999997</v>
      </c>
      <c r="H20" s="577">
        <f>'1 уровень'!I253</f>
        <v>237732.12878999996</v>
      </c>
      <c r="I20" s="577">
        <f>'1 уровень'!J253</f>
        <v>97.048514960372444</v>
      </c>
      <c r="J20" s="104"/>
      <c r="L20" s="729"/>
    </row>
    <row r="21" spans="1:185" ht="15.75" customHeight="1" thickBot="1" x14ac:dyDescent="0.3">
      <c r="A21" s="573"/>
      <c r="B21" s="574"/>
      <c r="C21" s="574"/>
      <c r="D21" s="574"/>
      <c r="E21" s="575"/>
      <c r="F21" s="576"/>
      <c r="G21" s="576"/>
      <c r="H21" s="576"/>
      <c r="I21" s="576"/>
      <c r="J21" s="104"/>
      <c r="L21" s="729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2"/>
      <c r="F22" s="62"/>
      <c r="G22" s="62"/>
      <c r="H22" s="62"/>
      <c r="I22" s="62"/>
      <c r="J22" s="104"/>
      <c r="K22" s="728"/>
      <c r="L22" s="729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39" t="s">
        <v>120</v>
      </c>
      <c r="B23" s="540">
        <f>'2 уровень'!C101</f>
        <v>62921</v>
      </c>
      <c r="C23" s="540">
        <f>'2 уровень'!D101</f>
        <v>20973</v>
      </c>
      <c r="D23" s="540">
        <f>'2 уровень'!E101</f>
        <v>22368</v>
      </c>
      <c r="E23" s="541">
        <f>'2 уровень'!F101</f>
        <v>106.65140895436991</v>
      </c>
      <c r="F23" s="544">
        <f>'2 уровень'!G101</f>
        <v>97857.466299999985</v>
      </c>
      <c r="G23" s="544">
        <f>'2 уровень'!H101</f>
        <v>32619.140000000003</v>
      </c>
      <c r="H23" s="544">
        <f>'2 уровень'!I101</f>
        <v>37700.407670000001</v>
      </c>
      <c r="I23" s="544">
        <f>'2 уровень'!J101</f>
        <v>115.57756479784567</v>
      </c>
      <c r="J23" s="104"/>
      <c r="L23" s="729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17" t="s">
        <v>79</v>
      </c>
      <c r="B24" s="50">
        <f>'2 уровень'!C102</f>
        <v>47780</v>
      </c>
      <c r="C24" s="50">
        <f>'2 уровень'!D102</f>
        <v>15926</v>
      </c>
      <c r="D24" s="50">
        <f>'2 уровень'!E102</f>
        <v>17922</v>
      </c>
      <c r="E24" s="181">
        <f>'2 уровень'!F102</f>
        <v>112.53296496295366</v>
      </c>
      <c r="F24" s="63">
        <f>'2 уровень'!G102</f>
        <v>66832.42839999999</v>
      </c>
      <c r="G24" s="63">
        <f>'2 уровень'!H102</f>
        <v>22277.480000000003</v>
      </c>
      <c r="H24" s="63">
        <f>'2 уровень'!I102</f>
        <v>26403.371990000003</v>
      </c>
      <c r="I24" s="63">
        <f>'2 уровень'!J102</f>
        <v>118.52046097673525</v>
      </c>
      <c r="J24" s="104"/>
      <c r="L24" s="729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17" t="s">
        <v>80</v>
      </c>
      <c r="B25" s="50">
        <f>'2 уровень'!C103</f>
        <v>14336</v>
      </c>
      <c r="C25" s="50">
        <f>'2 уровень'!D103</f>
        <v>4779</v>
      </c>
      <c r="D25" s="50">
        <f>'2 уровень'!E103</f>
        <v>3728</v>
      </c>
      <c r="E25" s="181">
        <f>'2 уровень'!F103</f>
        <v>78.007951454279137</v>
      </c>
      <c r="F25" s="63">
        <f>'2 уровень'!G103</f>
        <v>25742.563499999997</v>
      </c>
      <c r="G25" s="63">
        <f>'2 уровень'!H103</f>
        <v>8580.8300000000017</v>
      </c>
      <c r="H25" s="63">
        <f>'2 уровень'!I103</f>
        <v>6611.7112400000005</v>
      </c>
      <c r="I25" s="63">
        <f>'2 уровень'!J103</f>
        <v>77.05211780212403</v>
      </c>
      <c r="J25" s="104"/>
      <c r="L25" s="729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17" t="s">
        <v>99</v>
      </c>
      <c r="B26" s="50">
        <f>'2 уровень'!C104</f>
        <v>185</v>
      </c>
      <c r="C26" s="50">
        <f>'2 уровень'!D104</f>
        <v>62</v>
      </c>
      <c r="D26" s="50">
        <f>'2 уровень'!E104</f>
        <v>135</v>
      </c>
      <c r="E26" s="181">
        <f>'2 уровень'!F104</f>
        <v>217.74193548387095</v>
      </c>
      <c r="F26" s="63">
        <f>'2 уровень'!G104</f>
        <v>1213.9848000000002</v>
      </c>
      <c r="G26" s="63">
        <f>'2 уровень'!H104</f>
        <v>404.66</v>
      </c>
      <c r="H26" s="63">
        <f>'2 уровень'!I104</f>
        <v>885.88079999999991</v>
      </c>
      <c r="I26" s="63">
        <f>'2 уровень'!J104</f>
        <v>218.91978451045318</v>
      </c>
      <c r="J26" s="104"/>
      <c r="L26" s="729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17" t="s">
        <v>100</v>
      </c>
      <c r="B27" s="50">
        <f>'2 уровень'!C105</f>
        <v>620</v>
      </c>
      <c r="C27" s="50">
        <f>'2 уровень'!D105</f>
        <v>206</v>
      </c>
      <c r="D27" s="50">
        <f>'2 уровень'!E105</f>
        <v>583</v>
      </c>
      <c r="E27" s="181">
        <f>'2 уровень'!F105</f>
        <v>283.00970873786406</v>
      </c>
      <c r="F27" s="63">
        <f>'2 уровень'!G105</f>
        <v>4068.4896000000003</v>
      </c>
      <c r="G27" s="63">
        <f>'2 уровень'!H105</f>
        <v>1356.17</v>
      </c>
      <c r="H27" s="63">
        <f>'2 уровень'!I105</f>
        <v>3799.4436399999995</v>
      </c>
      <c r="I27" s="63">
        <f>'2 уровень'!J105</f>
        <v>280.15983541886339</v>
      </c>
      <c r="J27" s="104"/>
      <c r="L27" s="729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43" t="s">
        <v>112</v>
      </c>
      <c r="B28" s="540">
        <f>'2 уровень'!C106</f>
        <v>82327</v>
      </c>
      <c r="C28" s="540">
        <f>'2 уровень'!D106</f>
        <v>27441</v>
      </c>
      <c r="D28" s="540">
        <f>'2 уровень'!E106</f>
        <v>27706</v>
      </c>
      <c r="E28" s="541">
        <f>'2 уровень'!F106</f>
        <v>100.96570824678402</v>
      </c>
      <c r="F28" s="544">
        <f>'2 уровень'!G106</f>
        <v>173135.19366999998</v>
      </c>
      <c r="G28" s="544">
        <f>'2 уровень'!H106</f>
        <v>57711.72</v>
      </c>
      <c r="H28" s="544">
        <f>'2 уровень'!I106</f>
        <v>56176.394289999989</v>
      </c>
      <c r="I28" s="544">
        <f>'2 уровень'!J106</f>
        <v>97.339663919217784</v>
      </c>
      <c r="J28" s="104"/>
      <c r="L28" s="729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17" t="s">
        <v>108</v>
      </c>
      <c r="B29" s="50">
        <f>'2 уровень'!C107</f>
        <v>11370</v>
      </c>
      <c r="C29" s="50">
        <f>'2 уровень'!D107</f>
        <v>3790</v>
      </c>
      <c r="D29" s="50">
        <f>'2 уровень'!E107</f>
        <v>3851</v>
      </c>
      <c r="E29" s="181">
        <f>'2 уровень'!F107</f>
        <v>101.60949868073878</v>
      </c>
      <c r="F29" s="63">
        <f>'2 уровень'!G107</f>
        <v>24110.198700000004</v>
      </c>
      <c r="G29" s="63">
        <f>'2 уровень'!H107</f>
        <v>8036.7199999999993</v>
      </c>
      <c r="H29" s="63">
        <f>'2 уровень'!I107</f>
        <v>8094.9766799999998</v>
      </c>
      <c r="I29" s="63">
        <f>'2 уровень'!J107</f>
        <v>100.72488129485662</v>
      </c>
      <c r="J29" s="104"/>
      <c r="L29" s="729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17" t="s">
        <v>81</v>
      </c>
      <c r="B30" s="50">
        <f>'2 уровень'!C108</f>
        <v>46885</v>
      </c>
      <c r="C30" s="50">
        <f>'2 уровень'!D108</f>
        <v>15627</v>
      </c>
      <c r="D30" s="50">
        <f>'2 уровень'!E108</f>
        <v>16483</v>
      </c>
      <c r="E30" s="181">
        <f>'2 уровень'!F108</f>
        <v>105.4776988545466</v>
      </c>
      <c r="F30" s="63">
        <f>'2 уровень'!G108</f>
        <v>125430.58345000001</v>
      </c>
      <c r="G30" s="63">
        <f>'2 уровень'!H108</f>
        <v>41810.199999999997</v>
      </c>
      <c r="H30" s="63">
        <f>'2 уровень'!I108</f>
        <v>40086.397190000003</v>
      </c>
      <c r="I30" s="63">
        <f>'2 уровень'!J108</f>
        <v>95.877075904922734</v>
      </c>
      <c r="J30" s="104"/>
      <c r="L30" s="729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17" t="s">
        <v>109</v>
      </c>
      <c r="B31" s="50">
        <f>'2 уровень'!C109</f>
        <v>24072</v>
      </c>
      <c r="C31" s="50">
        <f>'2 уровень'!D109</f>
        <v>8024</v>
      </c>
      <c r="D31" s="50">
        <f>'2 уровень'!E109</f>
        <v>7372</v>
      </c>
      <c r="E31" s="181">
        <f>'2 уровень'!F109</f>
        <v>91.874376869391824</v>
      </c>
      <c r="F31" s="63">
        <f>'2 уровень'!G109</f>
        <v>23594.411520000001</v>
      </c>
      <c r="G31" s="63">
        <f>'2 уровень'!H109</f>
        <v>7864.8</v>
      </c>
      <c r="H31" s="63">
        <f>'2 уровень'!I109</f>
        <v>7995.0204199999998</v>
      </c>
      <c r="I31" s="63">
        <f>'2 уровень'!J109</f>
        <v>101.65573720882921</v>
      </c>
      <c r="J31" s="104"/>
      <c r="L31" s="729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68" t="s">
        <v>123</v>
      </c>
      <c r="B32" s="545">
        <f>'2 уровень'!C110</f>
        <v>125063</v>
      </c>
      <c r="C32" s="545">
        <f>'2 уровень'!D110</f>
        <v>41689</v>
      </c>
      <c r="D32" s="545">
        <f>'2 уровень'!E110</f>
        <v>41436</v>
      </c>
      <c r="E32" s="546">
        <f>'2 уровень'!F110</f>
        <v>99.393125284847315</v>
      </c>
      <c r="F32" s="547">
        <f>'2 уровень'!G110</f>
        <v>121713.81286000001</v>
      </c>
      <c r="G32" s="547">
        <f>'2 уровень'!H110</f>
        <v>40571.279999999999</v>
      </c>
      <c r="H32" s="547">
        <f>'2 уровень'!I110</f>
        <v>39830.570380000005</v>
      </c>
      <c r="I32" s="547">
        <f>'2 уровень'!J110</f>
        <v>98.174300588988089</v>
      </c>
      <c r="J32" s="104"/>
      <c r="K32" s="104"/>
      <c r="L32" s="104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68" t="s">
        <v>124</v>
      </c>
      <c r="B33" s="545">
        <f>'2 уровень'!C111</f>
        <v>20100</v>
      </c>
      <c r="C33" s="545">
        <f>'2 уровень'!D111</f>
        <v>6700</v>
      </c>
      <c r="D33" s="545">
        <f>'2 уровень'!E111</f>
        <v>7186</v>
      </c>
      <c r="E33" s="546">
        <f>'2 уровень'!F111</f>
        <v>107.25373134328358</v>
      </c>
      <c r="F33" s="547">
        <f>'2 уровень'!G111</f>
        <v>19561.721999999998</v>
      </c>
      <c r="G33" s="547">
        <f>'2 уровень'!H111</f>
        <v>6520.5700000000006</v>
      </c>
      <c r="H33" s="547">
        <f>'2 уровень'!I111</f>
        <v>6834.3528200000001</v>
      </c>
      <c r="I33" s="547">
        <f>'2 уровень'!J111</f>
        <v>0</v>
      </c>
      <c r="J33" s="104"/>
      <c r="K33" s="104"/>
      <c r="L33" s="104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68" t="s">
        <v>125</v>
      </c>
      <c r="B34" s="545">
        <f>'2 уровень'!C112</f>
        <v>13611</v>
      </c>
      <c r="C34" s="545">
        <f>'2 уровень'!D112</f>
        <v>4538</v>
      </c>
      <c r="D34" s="545">
        <f>'2 уровень'!E112</f>
        <v>7935</v>
      </c>
      <c r="E34" s="546">
        <f>'2 уровень'!F112</f>
        <v>174.85676509475542</v>
      </c>
      <c r="F34" s="547">
        <f>'2 уровень'!G112</f>
        <v>13246.49742</v>
      </c>
      <c r="G34" s="547">
        <f>'2 уровень'!H112</f>
        <v>4415.49</v>
      </c>
      <c r="H34" s="547">
        <f>'2 уровень'!I112</f>
        <v>7691.6558299999997</v>
      </c>
      <c r="I34" s="547">
        <f>'2 уровень'!J112</f>
        <v>174.19710677637136</v>
      </c>
      <c r="J34" s="104"/>
      <c r="K34" s="104"/>
      <c r="L34" s="104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49" t="s">
        <v>106</v>
      </c>
      <c r="B35" s="550">
        <f>'2 уровень'!C113</f>
        <v>0</v>
      </c>
      <c r="C35" s="550">
        <f>'2 уровень'!D113</f>
        <v>0</v>
      </c>
      <c r="D35" s="550">
        <f>'2 уровень'!E113</f>
        <v>0</v>
      </c>
      <c r="E35" s="551">
        <f>'2 уровень'!F113</f>
        <v>0</v>
      </c>
      <c r="F35" s="552">
        <f>'2 уровень'!G113</f>
        <v>392706.47283000004</v>
      </c>
      <c r="G35" s="552">
        <f>'2 уровень'!H113</f>
        <v>130902.13999999998</v>
      </c>
      <c r="H35" s="552">
        <f>'2 уровень'!I113</f>
        <v>133707.37234</v>
      </c>
      <c r="I35" s="552">
        <f>'2 уровень'!J113</f>
        <v>102.14299960260391</v>
      </c>
      <c r="J35" s="104"/>
      <c r="L35" s="729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3"/>
      <c r="F36" s="65"/>
      <c r="G36" s="65"/>
      <c r="H36" s="65"/>
      <c r="I36" s="65"/>
      <c r="J36" s="104"/>
      <c r="L36" s="729"/>
    </row>
    <row r="37" spans="1:185" ht="30" x14ac:dyDescent="0.25">
      <c r="A37" s="543" t="s">
        <v>120</v>
      </c>
      <c r="B37" s="540">
        <f>'2 уровень'!C131</f>
        <v>9871</v>
      </c>
      <c r="C37" s="540">
        <f>'2 уровень'!D131</f>
        <v>3291</v>
      </c>
      <c r="D37" s="540">
        <f>'2 уровень'!E131</f>
        <v>2780</v>
      </c>
      <c r="E37" s="541">
        <f>'2 уровень'!F131</f>
        <v>84.472804618656937</v>
      </c>
      <c r="F37" s="544">
        <f>'2 уровень'!G131</f>
        <v>16458.894070000002</v>
      </c>
      <c r="G37" s="544">
        <f>'2 уровень'!H131</f>
        <v>5486.3</v>
      </c>
      <c r="H37" s="544">
        <f>'2 уровень'!I131</f>
        <v>4711.64156</v>
      </c>
      <c r="I37" s="544">
        <f>'2 уровень'!J131</f>
        <v>85.880129777810183</v>
      </c>
      <c r="J37" s="104"/>
      <c r="L37" s="729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17" t="s">
        <v>79</v>
      </c>
      <c r="B38" s="50">
        <f>'2 уровень'!C132</f>
        <v>7286</v>
      </c>
      <c r="C38" s="50">
        <f>'2 уровень'!D132</f>
        <v>2429</v>
      </c>
      <c r="D38" s="50">
        <f>'2 уровень'!E132</f>
        <v>2404</v>
      </c>
      <c r="E38" s="181">
        <f>'2 уровень'!F132</f>
        <v>98.970769864141616</v>
      </c>
      <c r="F38" s="63">
        <f>'2 уровень'!G132</f>
        <v>9954.481600000001</v>
      </c>
      <c r="G38" s="63">
        <f>'2 уровень'!H132</f>
        <v>3318.16</v>
      </c>
      <c r="H38" s="63">
        <f>'2 уровень'!I132</f>
        <v>3375.1639299999997</v>
      </c>
      <c r="I38" s="63">
        <f>'2 уровень'!J132</f>
        <v>101.71793795356463</v>
      </c>
      <c r="J38" s="104"/>
      <c r="L38" s="729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17" t="s">
        <v>80</v>
      </c>
      <c r="B39" s="50">
        <f>'2 уровень'!C133</f>
        <v>2186</v>
      </c>
      <c r="C39" s="50">
        <f>'2 уровень'!D133</f>
        <v>729</v>
      </c>
      <c r="D39" s="50">
        <f>'2 уровень'!E133</f>
        <v>233</v>
      </c>
      <c r="E39" s="181">
        <f>'2 уровень'!F133</f>
        <v>31.961591220850483</v>
      </c>
      <c r="F39" s="63">
        <f>'2 уровень'!G133</f>
        <v>3886.14255</v>
      </c>
      <c r="G39" s="63">
        <f>'2 уровень'!H133</f>
        <v>1295.3800000000001</v>
      </c>
      <c r="H39" s="63">
        <f>'2 уровень'!I133</f>
        <v>398.10018999999994</v>
      </c>
      <c r="I39" s="63">
        <f>'2 уровень'!J133</f>
        <v>30.732309438157134</v>
      </c>
      <c r="J39" s="104"/>
      <c r="L39" s="729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17" t="s">
        <v>99</v>
      </c>
      <c r="B40" s="50">
        <f>'2 уровень'!C134</f>
        <v>49</v>
      </c>
      <c r="C40" s="50">
        <f>'2 уровень'!D134</f>
        <v>16</v>
      </c>
      <c r="D40" s="50">
        <f>'2 уровень'!E134</f>
        <v>43</v>
      </c>
      <c r="E40" s="181">
        <f>'2 уровень'!F134</f>
        <v>268.75</v>
      </c>
      <c r="F40" s="63">
        <f>'2 уровень'!G134</f>
        <v>321.54192</v>
      </c>
      <c r="G40" s="63">
        <f>'2 уровень'!H134</f>
        <v>107.18</v>
      </c>
      <c r="H40" s="63">
        <f>'2 уровень'!I134</f>
        <v>282.16944000000001</v>
      </c>
      <c r="I40" s="63">
        <f>'2 уровень'!J134</f>
        <v>263.2668781489084</v>
      </c>
      <c r="J40" s="104"/>
      <c r="L40" s="729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17" t="s">
        <v>100</v>
      </c>
      <c r="B41" s="50">
        <f>'2 уровень'!C135</f>
        <v>350</v>
      </c>
      <c r="C41" s="50">
        <f>'2 уровень'!D135</f>
        <v>117</v>
      </c>
      <c r="D41" s="50">
        <f>'2 уровень'!E135</f>
        <v>100</v>
      </c>
      <c r="E41" s="181">
        <f>'2 уровень'!F135</f>
        <v>0</v>
      </c>
      <c r="F41" s="63">
        <f>'2 уровень'!G135</f>
        <v>2296.7280000000001</v>
      </c>
      <c r="G41" s="63">
        <f>'2 уровень'!H135</f>
        <v>765.58</v>
      </c>
      <c r="H41" s="63">
        <f>'2 уровень'!I135</f>
        <v>656.20799999999997</v>
      </c>
      <c r="I41" s="63">
        <f>'2 уровень'!J135</f>
        <v>85.713837874552624</v>
      </c>
      <c r="J41" s="104"/>
      <c r="L41" s="729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43" t="s">
        <v>112</v>
      </c>
      <c r="B42" s="540">
        <f>'2 уровень'!C136</f>
        <v>16426</v>
      </c>
      <c r="C42" s="540">
        <f>'2 уровень'!D136</f>
        <v>5475</v>
      </c>
      <c r="D42" s="540">
        <f>'2 уровень'!E136</f>
        <v>5826</v>
      </c>
      <c r="E42" s="541">
        <f>'2 уровень'!F136</f>
        <v>106.41095890410959</v>
      </c>
      <c r="F42" s="544">
        <f>'2 уровень'!G136</f>
        <v>36959.141160000006</v>
      </c>
      <c r="G42" s="544">
        <f>'2 уровень'!H136</f>
        <v>12319.72</v>
      </c>
      <c r="H42" s="544">
        <f>'2 уровень'!I136</f>
        <v>11628.58743</v>
      </c>
      <c r="I42" s="544">
        <f>'2 уровень'!J136</f>
        <v>94.390030211725602</v>
      </c>
      <c r="J42" s="104"/>
      <c r="L42" s="729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17" t="s">
        <v>108</v>
      </c>
      <c r="B43" s="50">
        <f>'2 уровень'!C137</f>
        <v>1500</v>
      </c>
      <c r="C43" s="50">
        <f>'2 уровень'!D137</f>
        <v>500</v>
      </c>
      <c r="D43" s="50">
        <f>'2 уровень'!E137</f>
        <v>199</v>
      </c>
      <c r="E43" s="181">
        <f>'2 уровень'!F137</f>
        <v>39.800000000000004</v>
      </c>
      <c r="F43" s="63">
        <f>'2 уровень'!G137</f>
        <v>3180.7649999999999</v>
      </c>
      <c r="G43" s="63">
        <f>'2 уровень'!H137</f>
        <v>1060.26</v>
      </c>
      <c r="H43" s="63">
        <f>'2 уровень'!I137</f>
        <v>421.33565000000004</v>
      </c>
      <c r="I43" s="63">
        <f>'2 уровень'!J137</f>
        <v>39.738898949314319</v>
      </c>
      <c r="J43" s="104"/>
      <c r="L43" s="729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17" t="s">
        <v>81</v>
      </c>
      <c r="B44" s="50">
        <f>'2 уровень'!C138</f>
        <v>10800</v>
      </c>
      <c r="C44" s="50">
        <f>'2 уровень'!D138</f>
        <v>3600</v>
      </c>
      <c r="D44" s="50">
        <f>'2 уровень'!E138</f>
        <v>4059</v>
      </c>
      <c r="E44" s="181">
        <f>'2 уровень'!F138</f>
        <v>112.75</v>
      </c>
      <c r="F44" s="63">
        <f>'2 уровень'!G138</f>
        <v>29734.236000000001</v>
      </c>
      <c r="G44" s="63">
        <f>'2 уровень'!H138</f>
        <v>9911.41</v>
      </c>
      <c r="H44" s="63">
        <f>'2 уровень'!I138</f>
        <v>9521.4869299999991</v>
      </c>
      <c r="I44" s="63">
        <f>'2 уровень'!J138</f>
        <v>96.065917261015329</v>
      </c>
      <c r="J44" s="104"/>
      <c r="L44" s="729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17" t="s">
        <v>109</v>
      </c>
      <c r="B45" s="50">
        <f>'2 уровень'!C139</f>
        <v>4126</v>
      </c>
      <c r="C45" s="50">
        <f>'2 уровень'!D139</f>
        <v>1375</v>
      </c>
      <c r="D45" s="50">
        <f>'2 уровень'!E139</f>
        <v>1568</v>
      </c>
      <c r="E45" s="181">
        <f>'2 уровень'!F139</f>
        <v>114.03636363636365</v>
      </c>
      <c r="F45" s="63">
        <f>'2 уровень'!G139</f>
        <v>4044.1401599999999</v>
      </c>
      <c r="G45" s="63">
        <f>'2 уровень'!H139</f>
        <v>1348.05</v>
      </c>
      <c r="H45" s="63">
        <f>'2 уровень'!I139</f>
        <v>1685.76485</v>
      </c>
      <c r="I45" s="63">
        <f>'2 уровень'!J139</f>
        <v>125.05210118319054</v>
      </c>
      <c r="J45" s="104"/>
      <c r="L45" s="729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68" t="s">
        <v>123</v>
      </c>
      <c r="B46" s="545">
        <f>'2 уровень'!C140</f>
        <v>38095</v>
      </c>
      <c r="C46" s="545">
        <f>'2 уровень'!D140</f>
        <v>12698</v>
      </c>
      <c r="D46" s="545">
        <f>'2 уровень'!E140</f>
        <v>14386</v>
      </c>
      <c r="E46" s="546">
        <f>'2 уровень'!F140</f>
        <v>113.29343203654119</v>
      </c>
      <c r="F46" s="547">
        <f>'2 уровень'!G140</f>
        <v>37074.815900000001</v>
      </c>
      <c r="G46" s="547">
        <f>'2 уровень'!H140</f>
        <v>12358.27</v>
      </c>
      <c r="H46" s="547">
        <f>'2 уровень'!I140</f>
        <v>13983.779739999998</v>
      </c>
      <c r="I46" s="547">
        <f>'2 уровень'!J140</f>
        <v>113.15321432530602</v>
      </c>
      <c r="J46" s="104"/>
      <c r="K46" s="104"/>
      <c r="L46" s="104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68" t="s">
        <v>124</v>
      </c>
      <c r="B47" s="545">
        <f>'2 уровень'!C141</f>
        <v>2640</v>
      </c>
      <c r="C47" s="545">
        <f>'2 уровень'!D141</f>
        <v>880</v>
      </c>
      <c r="D47" s="545">
        <f>'2 уровень'!E141</f>
        <v>844</v>
      </c>
      <c r="E47" s="546">
        <f>'2 уровень'!F141</f>
        <v>95.909090909090907</v>
      </c>
      <c r="F47" s="547">
        <f>'2 уровень'!G141</f>
        <v>2569.3008000000004</v>
      </c>
      <c r="G47" s="547">
        <f>'2 уровень'!H141</f>
        <v>856.43</v>
      </c>
      <c r="H47" s="547">
        <f>'2 уровень'!I141</f>
        <v>820.58858999999995</v>
      </c>
      <c r="I47" s="547">
        <f>'2 уровень'!J141</f>
        <v>95.815021659680298</v>
      </c>
      <c r="J47" s="104"/>
      <c r="K47" s="104"/>
      <c r="L47" s="104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68" t="s">
        <v>125</v>
      </c>
      <c r="B48" s="545">
        <f>'2 уровень'!C142</f>
        <v>3143</v>
      </c>
      <c r="C48" s="545">
        <f>'2 уровень'!D142</f>
        <v>1048</v>
      </c>
      <c r="D48" s="545">
        <f>'2 уровень'!E142</f>
        <v>583</v>
      </c>
      <c r="E48" s="546">
        <f>'2 уровень'!F142</f>
        <v>55.62977099236641</v>
      </c>
      <c r="F48" s="547">
        <f>'2 уровень'!G142</f>
        <v>3058.8304600000001</v>
      </c>
      <c r="G48" s="547">
        <f>'2 уровень'!H142</f>
        <v>1019.61</v>
      </c>
      <c r="H48" s="547">
        <f>'2 уровень'!I142</f>
        <v>566.89487000000008</v>
      </c>
      <c r="I48" s="547">
        <f>'2 уровень'!J142</f>
        <v>55.599186944027622</v>
      </c>
      <c r="J48" s="104"/>
      <c r="K48" s="104"/>
      <c r="L48" s="104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49" t="s">
        <v>106</v>
      </c>
      <c r="B49" s="550">
        <f>'2 уровень'!C143</f>
        <v>0</v>
      </c>
      <c r="C49" s="550">
        <f>'2 уровень'!D143</f>
        <v>0</v>
      </c>
      <c r="D49" s="550">
        <f>'2 уровень'!E143</f>
        <v>0</v>
      </c>
      <c r="E49" s="551">
        <f>'2 уровень'!F143</f>
        <v>0</v>
      </c>
      <c r="F49" s="552">
        <f>'2 уровень'!G143</f>
        <v>90492.85113000001</v>
      </c>
      <c r="G49" s="552">
        <f>'2 уровень'!H143</f>
        <v>30164.29</v>
      </c>
      <c r="H49" s="552">
        <f>'2 уровень'!I143</f>
        <v>30324.008729999998</v>
      </c>
      <c r="I49" s="552">
        <f>'2 уровень'!J143</f>
        <v>100.52949606969035</v>
      </c>
      <c r="J49" s="104"/>
      <c r="L49" s="729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7" t="s">
        <v>18</v>
      </c>
      <c r="B50" s="98"/>
      <c r="C50" s="98"/>
      <c r="D50" s="98"/>
      <c r="E50" s="184"/>
      <c r="F50" s="99"/>
      <c r="G50" s="99"/>
      <c r="H50" s="99"/>
      <c r="I50" s="99"/>
      <c r="J50" s="104"/>
      <c r="L50" s="729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43" t="s">
        <v>120</v>
      </c>
      <c r="B51" s="581">
        <f>'Аян '!B21</f>
        <v>505</v>
      </c>
      <c r="C51" s="581">
        <f>'Аян '!C21</f>
        <v>169</v>
      </c>
      <c r="D51" s="581">
        <f>'Аян '!D21</f>
        <v>179</v>
      </c>
      <c r="E51" s="582">
        <f>'Аян '!E21</f>
        <v>105.91715976331362</v>
      </c>
      <c r="F51" s="544">
        <f>'Аян '!F21</f>
        <v>1382.8329799999999</v>
      </c>
      <c r="G51" s="544">
        <f>'Аян '!G21</f>
        <v>460.94</v>
      </c>
      <c r="H51" s="544">
        <f>'Аян '!H21</f>
        <v>409.16269999999997</v>
      </c>
      <c r="I51" s="544">
        <f>'Аян '!I21</f>
        <v>88.767019568707411</v>
      </c>
      <c r="J51" s="104"/>
      <c r="L51" s="729"/>
    </row>
    <row r="52" spans="1:185" ht="30" x14ac:dyDescent="0.25">
      <c r="A52" s="117" t="s">
        <v>79</v>
      </c>
      <c r="B52" s="57">
        <f>'Аян '!B22</f>
        <v>323</v>
      </c>
      <c r="C52" s="57">
        <f>'Аян '!C22</f>
        <v>108</v>
      </c>
      <c r="D52" s="57">
        <f>'Аян '!D22</f>
        <v>122</v>
      </c>
      <c r="E52" s="185">
        <f>'Аян '!E22</f>
        <v>112.96296296296295</v>
      </c>
      <c r="F52" s="63">
        <f>'Аян '!F22</f>
        <v>711.52359999999999</v>
      </c>
      <c r="G52" s="63">
        <f>'Аян '!G22</f>
        <v>237.17</v>
      </c>
      <c r="H52" s="63">
        <f>'Аян '!H22</f>
        <v>269.27945999999997</v>
      </c>
      <c r="I52" s="63">
        <f>'Аян '!I22</f>
        <v>113.5385841379601</v>
      </c>
      <c r="J52" s="104"/>
      <c r="L52" s="729"/>
    </row>
    <row r="53" spans="1:185" ht="30" x14ac:dyDescent="0.25">
      <c r="A53" s="117" t="s">
        <v>80</v>
      </c>
      <c r="B53" s="57">
        <f>'Аян '!B23</f>
        <v>131</v>
      </c>
      <c r="C53" s="57">
        <f>'Аян '!C23</f>
        <v>44</v>
      </c>
      <c r="D53" s="57">
        <f>'Аян '!D23</f>
        <v>57</v>
      </c>
      <c r="E53" s="185">
        <f>'Аян '!E23</f>
        <v>129.54545454545453</v>
      </c>
      <c r="F53" s="63">
        <f>'Аян '!F23</f>
        <v>327.08008000000001</v>
      </c>
      <c r="G53" s="63">
        <f>'Аян '!G23</f>
        <v>109.03</v>
      </c>
      <c r="H53" s="63">
        <f>'Аян '!H23</f>
        <v>139.88324</v>
      </c>
      <c r="I53" s="63">
        <f>'Аян '!I23</f>
        <v>128.29793634779418</v>
      </c>
      <c r="J53" s="104"/>
      <c r="L53" s="729"/>
    </row>
    <row r="54" spans="1:185" ht="45" x14ac:dyDescent="0.25">
      <c r="A54" s="117" t="s">
        <v>99</v>
      </c>
      <c r="B54" s="57">
        <f>'Аян '!B24</f>
        <v>8</v>
      </c>
      <c r="C54" s="57">
        <f>'Аян '!C24</f>
        <v>3</v>
      </c>
      <c r="D54" s="57">
        <f>'Аян '!D24</f>
        <v>0</v>
      </c>
      <c r="E54" s="185">
        <f>'Аян '!E24</f>
        <v>0</v>
      </c>
      <c r="F54" s="63">
        <f>'Аян '!F24</f>
        <v>19.683</v>
      </c>
      <c r="G54" s="63">
        <f>'Аян '!G24</f>
        <v>6.56</v>
      </c>
      <c r="H54" s="63">
        <f>'Аян '!H24</f>
        <v>0</v>
      </c>
      <c r="I54" s="63">
        <f>'Аян '!I24</f>
        <v>0</v>
      </c>
      <c r="J54" s="104"/>
      <c r="L54" s="729"/>
    </row>
    <row r="55" spans="1:185" ht="30" x14ac:dyDescent="0.25">
      <c r="A55" s="117" t="s">
        <v>100</v>
      </c>
      <c r="B55" s="57">
        <f>'Аян '!B25</f>
        <v>43</v>
      </c>
      <c r="C55" s="57">
        <f>'Аян '!C25</f>
        <v>14</v>
      </c>
      <c r="D55" s="57">
        <f>'Аян '!D25</f>
        <v>0</v>
      </c>
      <c r="E55" s="185">
        <f>'Аян '!E25</f>
        <v>0</v>
      </c>
      <c r="F55" s="63">
        <f>'Аян '!F25</f>
        <v>324.54629999999997</v>
      </c>
      <c r="G55" s="63">
        <f>'Аян '!G25</f>
        <v>108.18</v>
      </c>
      <c r="H55" s="63">
        <f>'Аян '!H25</f>
        <v>0</v>
      </c>
      <c r="I55" s="63">
        <f>'Аян '!I25</f>
        <v>0</v>
      </c>
      <c r="J55" s="104"/>
      <c r="L55" s="729"/>
    </row>
    <row r="56" spans="1:185" ht="30" x14ac:dyDescent="0.25">
      <c r="A56" s="543" t="s">
        <v>112</v>
      </c>
      <c r="B56" s="581">
        <f>'Аян '!B26</f>
        <v>961</v>
      </c>
      <c r="C56" s="581">
        <f>'Аян '!C26</f>
        <v>321</v>
      </c>
      <c r="D56" s="581">
        <f>'Аян '!D26</f>
        <v>127</v>
      </c>
      <c r="E56" s="582">
        <f>'Аян '!E26</f>
        <v>39.563862928348911</v>
      </c>
      <c r="F56" s="544">
        <f>'Аян '!F26</f>
        <v>2684.9690000000001</v>
      </c>
      <c r="G56" s="544">
        <f>'Аян '!G26</f>
        <v>894.99</v>
      </c>
      <c r="H56" s="544">
        <f>'Аян '!H26</f>
        <v>400.43511000000001</v>
      </c>
      <c r="I56" s="544">
        <f>'Аян '!I26</f>
        <v>44.74185298159756</v>
      </c>
      <c r="J56" s="104"/>
      <c r="L56" s="729"/>
    </row>
    <row r="57" spans="1:185" ht="30" x14ac:dyDescent="0.25">
      <c r="A57" s="117" t="s">
        <v>108</v>
      </c>
      <c r="B57" s="57">
        <f>'Аян '!B27</f>
        <v>200</v>
      </c>
      <c r="C57" s="57">
        <f>'Аян '!C27</f>
        <v>67</v>
      </c>
      <c r="D57" s="57">
        <f>'Аян '!D27</f>
        <v>36</v>
      </c>
      <c r="E57" s="185">
        <f>'Аян '!E27</f>
        <v>53.731343283582092</v>
      </c>
      <c r="F57" s="63">
        <f>'Аян '!F27</f>
        <v>542.94600000000003</v>
      </c>
      <c r="G57" s="63">
        <f>'Аян '!G27</f>
        <v>180.98</v>
      </c>
      <c r="H57" s="63">
        <f>'Аян '!H27</f>
        <v>98.733720000000005</v>
      </c>
      <c r="I57" s="63">
        <f>'Аян '!I27</f>
        <v>54.555044756326673</v>
      </c>
      <c r="J57" s="104"/>
      <c r="L57" s="729"/>
    </row>
    <row r="58" spans="1:185" ht="60" x14ac:dyDescent="0.25">
      <c r="A58" s="117" t="s">
        <v>81</v>
      </c>
      <c r="B58" s="57">
        <f>'Аян '!B28</f>
        <v>551</v>
      </c>
      <c r="C58" s="57">
        <f>'Аян '!C28</f>
        <v>184</v>
      </c>
      <c r="D58" s="57">
        <f>'Аян '!D28</f>
        <v>58</v>
      </c>
      <c r="E58" s="185">
        <f>'Аян '!E28</f>
        <v>31.521739130434785</v>
      </c>
      <c r="F58" s="63">
        <f>'Аян '!F28</f>
        <v>1878.8025</v>
      </c>
      <c r="G58" s="63">
        <f>'Аян '!G28</f>
        <v>626.27</v>
      </c>
      <c r="H58" s="63">
        <f>'Аян '!H28</f>
        <v>259.90078999999997</v>
      </c>
      <c r="I58" s="63">
        <f>'Аян '!I28</f>
        <v>41.499798808820479</v>
      </c>
      <c r="J58" s="104"/>
      <c r="L58" s="729"/>
    </row>
    <row r="59" spans="1:185" ht="45" x14ac:dyDescent="0.25">
      <c r="A59" s="117" t="s">
        <v>109</v>
      </c>
      <c r="B59" s="57">
        <f>'Аян '!B29</f>
        <v>210</v>
      </c>
      <c r="C59" s="57">
        <f>'Аян '!C29</f>
        <v>70</v>
      </c>
      <c r="D59" s="57">
        <f>'Аян '!D29</f>
        <v>33</v>
      </c>
      <c r="E59" s="185">
        <f>'Аян '!E29</f>
        <v>47.142857142857139</v>
      </c>
      <c r="F59" s="63">
        <f>'Аян '!F29</f>
        <v>263.22050000000002</v>
      </c>
      <c r="G59" s="63">
        <f>'Аян '!G29</f>
        <v>87.74</v>
      </c>
      <c r="H59" s="63">
        <f>'Аян '!H29</f>
        <v>41.800600000000003</v>
      </c>
      <c r="I59" s="63">
        <f>'Аян '!I29</f>
        <v>47.641440620013682</v>
      </c>
      <c r="J59" s="104"/>
      <c r="L59" s="729"/>
    </row>
    <row r="60" spans="1:185" ht="30.75" thickBot="1" x14ac:dyDescent="0.3">
      <c r="A60" s="659" t="s">
        <v>123</v>
      </c>
      <c r="B60" s="554">
        <f>'Аян '!B30</f>
        <v>2800</v>
      </c>
      <c r="C60" s="554">
        <f>'Аян '!C30</f>
        <v>933</v>
      </c>
      <c r="D60" s="554">
        <f>'Аян '!D30</f>
        <v>971</v>
      </c>
      <c r="E60" s="555">
        <f>'Аян '!E30</f>
        <v>104.07288317256163</v>
      </c>
      <c r="F60" s="547">
        <f>'Аян '!F30</f>
        <v>3617.152</v>
      </c>
      <c r="G60" s="547">
        <f>'Аян '!G30</f>
        <v>1205.72</v>
      </c>
      <c r="H60" s="547">
        <f>'Аян '!H30</f>
        <v>1250.4888100000001</v>
      </c>
      <c r="I60" s="547">
        <f>'Аян '!I30</f>
        <v>103.71303536476131</v>
      </c>
      <c r="J60" s="104"/>
      <c r="K60" s="104"/>
      <c r="L60" s="104"/>
    </row>
    <row r="61" spans="1:185" ht="15.75" thickBot="1" x14ac:dyDescent="0.3">
      <c r="A61" s="549" t="s">
        <v>4</v>
      </c>
      <c r="B61" s="556">
        <f>'Аян '!B31</f>
        <v>0</v>
      </c>
      <c r="C61" s="556">
        <f>'Аян '!C31</f>
        <v>0</v>
      </c>
      <c r="D61" s="556">
        <f>'Аян '!D31</f>
        <v>0</v>
      </c>
      <c r="E61" s="557">
        <f>'Аян '!E31</f>
        <v>0</v>
      </c>
      <c r="F61" s="552">
        <f>'Аян '!F31</f>
        <v>7684.9539800000002</v>
      </c>
      <c r="G61" s="552">
        <f>'Аян '!G31</f>
        <v>2561.65</v>
      </c>
      <c r="H61" s="552">
        <f>'Аян '!H31</f>
        <v>2060.08662</v>
      </c>
      <c r="I61" s="552">
        <f>'Аян '!I31</f>
        <v>80.420300197138559</v>
      </c>
      <c r="J61" s="104"/>
      <c r="L61" s="729"/>
    </row>
    <row r="62" spans="1:185" ht="15" customHeight="1" x14ac:dyDescent="0.25">
      <c r="A62" s="97" t="s">
        <v>19</v>
      </c>
      <c r="B62" s="98"/>
      <c r="C62" s="98"/>
      <c r="D62" s="98"/>
      <c r="E62" s="184"/>
      <c r="F62" s="99"/>
      <c r="G62" s="99"/>
      <c r="H62" s="99"/>
      <c r="I62" s="99"/>
      <c r="J62" s="104"/>
      <c r="L62" s="729"/>
    </row>
    <row r="63" spans="1:185" ht="30" x14ac:dyDescent="0.25">
      <c r="A63" s="543" t="s">
        <v>120</v>
      </c>
      <c r="B63" s="540">
        <f>'1 уровень'!C271</f>
        <v>2987</v>
      </c>
      <c r="C63" s="540">
        <f>'1 уровень'!D271</f>
        <v>995</v>
      </c>
      <c r="D63" s="540">
        <f>'1 уровень'!E271</f>
        <v>657</v>
      </c>
      <c r="E63" s="541">
        <f>'1 уровень'!F271</f>
        <v>66.030150753768851</v>
      </c>
      <c r="F63" s="544">
        <f>'1 уровень'!G271</f>
        <v>5092.2485500000003</v>
      </c>
      <c r="G63" s="544">
        <f>'1 уровень'!H271</f>
        <v>1697.41</v>
      </c>
      <c r="H63" s="544">
        <f>'1 уровень'!I271</f>
        <v>792.66564999999991</v>
      </c>
      <c r="I63" s="544">
        <f>'1 уровень'!J271</f>
        <v>46.698537772253012</v>
      </c>
      <c r="J63" s="104"/>
      <c r="L63" s="729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17" t="s">
        <v>79</v>
      </c>
      <c r="B64" s="50">
        <f>'1 уровень'!C272</f>
        <v>2121</v>
      </c>
      <c r="C64" s="50">
        <f>'1 уровень'!D272</f>
        <v>707</v>
      </c>
      <c r="D64" s="50">
        <f>'1 уровень'!E272</f>
        <v>657</v>
      </c>
      <c r="E64" s="181">
        <f>'1 уровень'!F272</f>
        <v>92.927864214992923</v>
      </c>
      <c r="F64" s="63">
        <f>'1 уровень'!G272</f>
        <v>2919.2939999999999</v>
      </c>
      <c r="G64" s="63">
        <f>'1 уровень'!H272</f>
        <v>973.1</v>
      </c>
      <c r="H64" s="63">
        <f>'1 уровень'!I272</f>
        <v>810.86140999999986</v>
      </c>
      <c r="I64" s="63">
        <f>'1 уровень'!J272</f>
        <v>83.327654917274671</v>
      </c>
      <c r="J64" s="104"/>
      <c r="L64" s="729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17" t="s">
        <v>80</v>
      </c>
      <c r="B65" s="50">
        <f>'1 уровень'!C273</f>
        <v>636</v>
      </c>
      <c r="C65" s="50">
        <f>'1 уровень'!D273</f>
        <v>212</v>
      </c>
      <c r="D65" s="50">
        <f>'1 уровень'!E273</f>
        <v>0</v>
      </c>
      <c r="E65" s="181">
        <f>'1 уровень'!F273</f>
        <v>0</v>
      </c>
      <c r="F65" s="63">
        <f>'1 уровень'!G273</f>
        <v>915.22255000000007</v>
      </c>
      <c r="G65" s="63">
        <f>'1 уровень'!H273</f>
        <v>305.07</v>
      </c>
      <c r="H65" s="63">
        <f>'1 уровень'!I273</f>
        <v>-18.19576</v>
      </c>
      <c r="I65" s="63">
        <f>'1 уровень'!J273</f>
        <v>-5.9644540597239972</v>
      </c>
      <c r="J65" s="104"/>
      <c r="L65" s="729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17" t="s">
        <v>110</v>
      </c>
      <c r="B66" s="50">
        <f>'1 уровень'!C274</f>
        <v>130</v>
      </c>
      <c r="C66" s="50">
        <f>'1 уровень'!D274</f>
        <v>43</v>
      </c>
      <c r="D66" s="50">
        <f>'1 уровень'!E274</f>
        <v>0</v>
      </c>
      <c r="E66" s="181">
        <f>'1 уровень'!F274</f>
        <v>0</v>
      </c>
      <c r="F66" s="63">
        <f>'1 уровень'!G274</f>
        <v>710.89200000000005</v>
      </c>
      <c r="G66" s="63">
        <f>'1 уровень'!H274</f>
        <v>236.96</v>
      </c>
      <c r="H66" s="63">
        <f>'1 уровень'!I274</f>
        <v>0</v>
      </c>
      <c r="I66" s="63">
        <f>'1 уровень'!J274</f>
        <v>0</v>
      </c>
      <c r="J66" s="104"/>
      <c r="L66" s="729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17" t="s">
        <v>111</v>
      </c>
      <c r="B67" s="70">
        <f>'1 уровень'!C275</f>
        <v>100</v>
      </c>
      <c r="C67" s="70">
        <f>'1 уровень'!D275</f>
        <v>33</v>
      </c>
      <c r="D67" s="70">
        <f>'1 уровень'!E275</f>
        <v>0</v>
      </c>
      <c r="E67" s="187">
        <f>'1 уровень'!F275</f>
        <v>0</v>
      </c>
      <c r="F67" s="700">
        <f>'1 уровень'!G275</f>
        <v>546.84</v>
      </c>
      <c r="G67" s="700">
        <f>'1 уровень'!H275</f>
        <v>182.28</v>
      </c>
      <c r="H67" s="700">
        <f>'1 уровень'!I275</f>
        <v>0</v>
      </c>
      <c r="I67" s="700">
        <f>'1 уровень'!J275</f>
        <v>0</v>
      </c>
      <c r="J67" s="104"/>
      <c r="K67" s="728"/>
      <c r="L67" s="729"/>
    </row>
    <row r="68" spans="1:185" ht="30" x14ac:dyDescent="0.25">
      <c r="A68" s="543" t="s">
        <v>112</v>
      </c>
      <c r="B68" s="540">
        <f>'1 уровень'!C276</f>
        <v>6270</v>
      </c>
      <c r="C68" s="540">
        <f>'1 уровень'!D276</f>
        <v>2090</v>
      </c>
      <c r="D68" s="540">
        <f>'1 уровень'!E276</f>
        <v>377</v>
      </c>
      <c r="E68" s="541">
        <f>'1 уровень'!F276</f>
        <v>18.038277511961724</v>
      </c>
      <c r="F68" s="544">
        <f>'1 уровень'!G276</f>
        <v>11715.552</v>
      </c>
      <c r="G68" s="544">
        <f>'1 уровень'!H276</f>
        <v>3905.1800000000003</v>
      </c>
      <c r="H68" s="544">
        <f>'1 уровень'!I276</f>
        <v>548.15764999999999</v>
      </c>
      <c r="I68" s="544">
        <f>'1 уровень'!J276</f>
        <v>14.036680767595858</v>
      </c>
      <c r="J68" s="104"/>
      <c r="L68" s="729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17" t="s">
        <v>108</v>
      </c>
      <c r="B69" s="50">
        <f>'1 уровень'!C277</f>
        <v>720</v>
      </c>
      <c r="C69" s="50">
        <f>'1 уровень'!D277</f>
        <v>240</v>
      </c>
      <c r="D69" s="50">
        <f>'1 уровень'!E277</f>
        <v>229</v>
      </c>
      <c r="E69" s="181">
        <f>'1 уровень'!F277</f>
        <v>95.416666666666671</v>
      </c>
      <c r="F69" s="63">
        <f>'1 уровень'!G277</f>
        <v>1272.3119999999999</v>
      </c>
      <c r="G69" s="63">
        <f>'1 уровень'!H277</f>
        <v>424.1</v>
      </c>
      <c r="H69" s="63">
        <f>'1 уровень'!I277</f>
        <v>408.00538999999998</v>
      </c>
      <c r="I69" s="63">
        <f>'1 уровень'!J277</f>
        <v>96.204996463098311</v>
      </c>
      <c r="J69" s="104"/>
      <c r="L69" s="729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17" t="s">
        <v>81</v>
      </c>
      <c r="B70" s="50">
        <f>'1 уровень'!C278</f>
        <v>4000</v>
      </c>
      <c r="C70" s="50">
        <f>'1 уровень'!D278</f>
        <v>1333</v>
      </c>
      <c r="D70" s="50">
        <f>'1 уровень'!E278</f>
        <v>50</v>
      </c>
      <c r="E70" s="181">
        <f>'1 уровень'!F278</f>
        <v>3.7509377344336086</v>
      </c>
      <c r="F70" s="63">
        <f>'1 уровень'!G278</f>
        <v>9177.2000000000007</v>
      </c>
      <c r="G70" s="63">
        <f>'1 уровень'!H278</f>
        <v>3059.07</v>
      </c>
      <c r="H70" s="63">
        <f>'1 уровень'!I278</f>
        <v>67.314549999999997</v>
      </c>
      <c r="I70" s="63">
        <f>'1 уровень'!J278</f>
        <v>2.2004906720016213</v>
      </c>
      <c r="J70" s="104"/>
      <c r="L70" s="729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17" t="s">
        <v>109</v>
      </c>
      <c r="B71" s="50">
        <f>'1 уровень'!C279</f>
        <v>1550</v>
      </c>
      <c r="C71" s="50">
        <f>'1 уровень'!D279</f>
        <v>517</v>
      </c>
      <c r="D71" s="50">
        <f>'1 уровень'!E279</f>
        <v>98</v>
      </c>
      <c r="E71" s="181">
        <f>'1 уровень'!F279</f>
        <v>18.955512572533848</v>
      </c>
      <c r="F71" s="63">
        <f>'1 уровень'!G279</f>
        <v>1266.04</v>
      </c>
      <c r="G71" s="63">
        <f>'1 уровень'!H279</f>
        <v>422.01</v>
      </c>
      <c r="H71" s="63">
        <f>'1 уровень'!I279</f>
        <v>72.837709999999987</v>
      </c>
      <c r="I71" s="63">
        <f>'1 уровень'!J279</f>
        <v>17.259711855169307</v>
      </c>
      <c r="J71" s="104"/>
      <c r="L71" s="729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86" t="s">
        <v>123</v>
      </c>
      <c r="B72" s="545">
        <f>'1 уровень'!C280</f>
        <v>10781</v>
      </c>
      <c r="C72" s="545">
        <f>'1 уровень'!D280</f>
        <v>3594</v>
      </c>
      <c r="D72" s="545">
        <f>'1 уровень'!E280</f>
        <v>3355</v>
      </c>
      <c r="E72" s="546">
        <f>'1 уровень'!F280</f>
        <v>93.350027824151354</v>
      </c>
      <c r="F72" s="547">
        <f>'1 уровень'!G280</f>
        <v>8743.6066199999987</v>
      </c>
      <c r="G72" s="547">
        <f>'1 уровень'!H280</f>
        <v>2914.54</v>
      </c>
      <c r="H72" s="547">
        <f>'1 уровень'!I280</f>
        <v>2685.7956999999997</v>
      </c>
      <c r="I72" s="547">
        <f>'1 уровень'!J280</f>
        <v>92.151615692356245</v>
      </c>
      <c r="J72" s="104"/>
      <c r="K72" s="104"/>
      <c r="L72" s="104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68" t="s">
        <v>125</v>
      </c>
      <c r="B73" s="545">
        <f>'1 уровень'!C281</f>
        <v>0</v>
      </c>
      <c r="C73" s="545">
        <f>'1 уровень'!D281</f>
        <v>0</v>
      </c>
      <c r="D73" s="545">
        <f>'1 уровень'!E281</f>
        <v>0</v>
      </c>
      <c r="E73" s="546">
        <f>'1 уровень'!F281</f>
        <v>0</v>
      </c>
      <c r="F73" s="547">
        <f>'1 уровень'!G281</f>
        <v>0</v>
      </c>
      <c r="G73" s="547">
        <f>'1 уровень'!H281</f>
        <v>0</v>
      </c>
      <c r="H73" s="547">
        <f>'1 уровень'!I281</f>
        <v>-4.0454400000000001</v>
      </c>
      <c r="I73" s="547" t="e">
        <f>'1 уровень'!J281</f>
        <v>#DIV/0!</v>
      </c>
      <c r="J73" s="104"/>
      <c r="K73" s="104"/>
      <c r="L73" s="104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58" t="s">
        <v>106</v>
      </c>
      <c r="B74" s="550">
        <f>'1 уровень'!C282</f>
        <v>0</v>
      </c>
      <c r="C74" s="550">
        <f>'1 уровень'!D282</f>
        <v>0</v>
      </c>
      <c r="D74" s="550">
        <f>'1 уровень'!E282</f>
        <v>0</v>
      </c>
      <c r="E74" s="551">
        <f>'1 уровень'!F282</f>
        <v>0</v>
      </c>
      <c r="F74" s="552">
        <f>'1 уровень'!G282</f>
        <v>25551.407169999999</v>
      </c>
      <c r="G74" s="552">
        <f>'1 уровень'!H282</f>
        <v>8517.130000000001</v>
      </c>
      <c r="H74" s="552">
        <f>'1 уровень'!I282</f>
        <v>4026.6189999999997</v>
      </c>
      <c r="I74" s="552">
        <f>'1 уровень'!J282</f>
        <v>47.276711756190167</v>
      </c>
      <c r="J74" s="104"/>
      <c r="L74" s="729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5">
      <c r="A75" s="222" t="s">
        <v>20</v>
      </c>
      <c r="B75" s="249"/>
      <c r="C75" s="249"/>
      <c r="D75" s="688"/>
      <c r="E75" s="250"/>
      <c r="F75" s="195"/>
      <c r="G75" s="195"/>
      <c r="H75" s="692"/>
      <c r="I75" s="195"/>
      <c r="J75" s="104"/>
      <c r="K75" s="728"/>
      <c r="L75" s="729"/>
    </row>
    <row r="76" spans="1:185" ht="30" x14ac:dyDescent="0.25">
      <c r="A76" s="543" t="s">
        <v>120</v>
      </c>
      <c r="B76" s="540">
        <f>'2 уровень'!C170</f>
        <v>5693</v>
      </c>
      <c r="C76" s="540">
        <f>'2 уровень'!D170</f>
        <v>1897</v>
      </c>
      <c r="D76" s="540">
        <f>'2 уровень'!E170</f>
        <v>1372</v>
      </c>
      <c r="E76" s="541">
        <f>'2 уровень'!F170</f>
        <v>72.32472324723247</v>
      </c>
      <c r="F76" s="544">
        <f>'2 уровень'!G170</f>
        <v>8756.3448399999997</v>
      </c>
      <c r="G76" s="544">
        <f>'2 уровень'!H170</f>
        <v>2918.78</v>
      </c>
      <c r="H76" s="544">
        <f>'2 уровень'!I170</f>
        <v>2120.2328100000004</v>
      </c>
      <c r="I76" s="544">
        <f>'2 уровень'!J170</f>
        <v>72.641062704280571</v>
      </c>
      <c r="J76" s="104"/>
      <c r="L76" s="729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17" t="s">
        <v>79</v>
      </c>
      <c r="B77" s="252">
        <f>'2 уровень'!C171</f>
        <v>4199</v>
      </c>
      <c r="C77" s="252">
        <f>'2 уровень'!D171</f>
        <v>1399</v>
      </c>
      <c r="D77" s="50">
        <f>'2 уровень'!E171</f>
        <v>1122</v>
      </c>
      <c r="E77" s="253">
        <f>'2 уровень'!F171</f>
        <v>80.20014295925661</v>
      </c>
      <c r="F77" s="194">
        <f>'2 уровень'!G171</f>
        <v>5149.6494000000002</v>
      </c>
      <c r="G77" s="194">
        <f>'2 уровень'!H171</f>
        <v>1716.55</v>
      </c>
      <c r="H77" s="63">
        <f>'2 уровень'!I171</f>
        <v>1448.3648500000002</v>
      </c>
      <c r="I77" s="194">
        <f>'2 уровень'!J171</f>
        <v>84.376502286563166</v>
      </c>
      <c r="J77" s="104"/>
      <c r="L77" s="729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17" t="s">
        <v>80</v>
      </c>
      <c r="B78" s="252">
        <f>'2 уровень'!C172</f>
        <v>1260</v>
      </c>
      <c r="C78" s="252">
        <f>'2 уровень'!D172</f>
        <v>420</v>
      </c>
      <c r="D78" s="50">
        <f>'2 уровень'!E172</f>
        <v>180</v>
      </c>
      <c r="E78" s="253">
        <f>'2 уровень'!F172</f>
        <v>42.857142857142854</v>
      </c>
      <c r="F78" s="194">
        <f>'2 уровень'!G172</f>
        <v>2071.1687199999997</v>
      </c>
      <c r="G78" s="194">
        <f>'2 уровень'!H172</f>
        <v>690.3900000000001</v>
      </c>
      <c r="H78" s="63">
        <f>'2 уровень'!I172</f>
        <v>249.92737</v>
      </c>
      <c r="I78" s="194">
        <f>'2 уровень'!J172</f>
        <v>36.200896594678369</v>
      </c>
      <c r="J78" s="104"/>
      <c r="L78" s="729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17" t="s">
        <v>130</v>
      </c>
      <c r="B79" s="252">
        <f>'2 уровень'!C173</f>
        <v>54</v>
      </c>
      <c r="C79" s="252">
        <f>'2 уровень'!D173</f>
        <v>18</v>
      </c>
      <c r="D79" s="50">
        <f>'2 уровень'!E173</f>
        <v>46</v>
      </c>
      <c r="E79" s="253">
        <f>'2 уровень'!F173</f>
        <v>255.55555555555554</v>
      </c>
      <c r="F79" s="194">
        <f>'2 уровень'!G173</f>
        <v>354.35232000000002</v>
      </c>
      <c r="G79" s="194">
        <f>'2 уровень'!H173</f>
        <v>118.12</v>
      </c>
      <c r="H79" s="63">
        <f>'2 уровень'!I173</f>
        <v>301.85568000000001</v>
      </c>
      <c r="I79" s="194">
        <f>'2 уровень'!J173</f>
        <v>255.55001693193361</v>
      </c>
      <c r="J79" s="104"/>
      <c r="L79" s="729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17" t="s">
        <v>111</v>
      </c>
      <c r="B80" s="252">
        <f>'2 уровень'!C174</f>
        <v>180</v>
      </c>
      <c r="C80" s="252">
        <f>'2 уровень'!D174</f>
        <v>60</v>
      </c>
      <c r="D80" s="50">
        <f>'2 уровень'!E174</f>
        <v>24</v>
      </c>
      <c r="E80" s="253">
        <f>'2 уровень'!F174</f>
        <v>40</v>
      </c>
      <c r="F80" s="194">
        <f>'2 уровень'!G174</f>
        <v>1181.1743999999999</v>
      </c>
      <c r="G80" s="194">
        <f>'2 уровень'!H174</f>
        <v>393.72</v>
      </c>
      <c r="H80" s="63">
        <f>'2 уровень'!I174</f>
        <v>120.08490999999998</v>
      </c>
      <c r="I80" s="194">
        <f>'2 уровень'!J174</f>
        <v>30.500078736157672</v>
      </c>
      <c r="J80" s="104"/>
      <c r="L80" s="729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43" t="s">
        <v>112</v>
      </c>
      <c r="B81" s="540">
        <f>'2 уровень'!C175</f>
        <v>6994</v>
      </c>
      <c r="C81" s="540">
        <f>'2 уровень'!D175</f>
        <v>2332</v>
      </c>
      <c r="D81" s="540">
        <f>'2 уровень'!E175</f>
        <v>1396</v>
      </c>
      <c r="E81" s="541">
        <f>'2 уровень'!F175</f>
        <v>89.152910941978831</v>
      </c>
      <c r="F81" s="544">
        <f>'2 уровень'!G175</f>
        <v>15168.001750000001</v>
      </c>
      <c r="G81" s="544">
        <f>'2 уровень'!H175</f>
        <v>5056</v>
      </c>
      <c r="H81" s="544">
        <f>'2 уровень'!I175</f>
        <v>3015.8582499999998</v>
      </c>
      <c r="I81" s="544">
        <f>'2 уровень'!J175</f>
        <v>59.64909513449367</v>
      </c>
      <c r="J81" s="104"/>
      <c r="L81" s="729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17" t="s">
        <v>108</v>
      </c>
      <c r="B82" s="252">
        <f>'2 уровень'!C176</f>
        <v>1138</v>
      </c>
      <c r="C82" s="252">
        <f>'2 уровень'!D176</f>
        <v>380</v>
      </c>
      <c r="D82" s="50">
        <f>'2 уровень'!E176</f>
        <v>245</v>
      </c>
      <c r="E82" s="253">
        <f>'2 уровень'!F176</f>
        <v>100.56268179867436</v>
      </c>
      <c r="F82" s="194">
        <f>'2 уровень'!G176</f>
        <v>2413.1403799999998</v>
      </c>
      <c r="G82" s="194">
        <f>'2 уровень'!H176</f>
        <v>804.38</v>
      </c>
      <c r="H82" s="63">
        <f>'2 уровень'!I176</f>
        <v>521.83909000000006</v>
      </c>
      <c r="I82" s="194">
        <f>'2 уровень'!J176</f>
        <v>64.874697282378975</v>
      </c>
      <c r="J82" s="104"/>
      <c r="L82" s="729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17" t="s">
        <v>81</v>
      </c>
      <c r="B83" s="252">
        <f>'2 уровень'!C177</f>
        <v>5141</v>
      </c>
      <c r="C83" s="252">
        <f>'2 уровень'!D177</f>
        <v>1714</v>
      </c>
      <c r="D83" s="50">
        <f>'2 уровень'!E177</f>
        <v>768</v>
      </c>
      <c r="E83" s="253">
        <f>'2 уровень'!F177</f>
        <v>44.807467911318554</v>
      </c>
      <c r="F83" s="194">
        <f>'2 уровень'!G177</f>
        <v>12054.046970000001</v>
      </c>
      <c r="G83" s="194">
        <f>'2 уровень'!H177</f>
        <v>4018.02</v>
      </c>
      <c r="H83" s="63">
        <f>'2 уровень'!I177</f>
        <v>2096.5528100000001</v>
      </c>
      <c r="I83" s="194">
        <f>'2 уровень'!J177</f>
        <v>52.178754958910112</v>
      </c>
      <c r="J83" s="104"/>
      <c r="L83" s="729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17" t="s">
        <v>109</v>
      </c>
      <c r="B84" s="252">
        <f>'2 уровень'!C178</f>
        <v>715</v>
      </c>
      <c r="C84" s="252">
        <f>'2 уровень'!D178</f>
        <v>238</v>
      </c>
      <c r="D84" s="50">
        <f>'2 уровень'!E178</f>
        <v>383</v>
      </c>
      <c r="E84" s="253">
        <f>'2 уровень'!F178</f>
        <v>160.92436974789916</v>
      </c>
      <c r="F84" s="194">
        <f>'2 уровень'!G178</f>
        <v>700.81439999999998</v>
      </c>
      <c r="G84" s="194">
        <f>'2 уровень'!H178</f>
        <v>233.6</v>
      </c>
      <c r="H84" s="63">
        <f>'2 уровень'!I178</f>
        <v>397.46634999999992</v>
      </c>
      <c r="I84" s="194">
        <f>'2 уровень'!J178</f>
        <v>170.14826626712326</v>
      </c>
      <c r="J84" s="104"/>
      <c r="L84" s="729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59" t="s">
        <v>123</v>
      </c>
      <c r="B85" s="559">
        <f>'2 уровень'!C179</f>
        <v>14487</v>
      </c>
      <c r="C85" s="559">
        <f>'2 уровень'!D179</f>
        <v>4829</v>
      </c>
      <c r="D85" s="545">
        <f>'2 уровень'!E179</f>
        <v>1976</v>
      </c>
      <c r="E85" s="560">
        <f>'2 уровень'!F179</f>
        <v>37.455516014234874</v>
      </c>
      <c r="F85" s="548">
        <f>'2 уровень'!G179</f>
        <v>14099.038140000001</v>
      </c>
      <c r="G85" s="548">
        <f>'2 уровень'!H179</f>
        <v>4699.68</v>
      </c>
      <c r="H85" s="547">
        <f>'2 уровень'!I179</f>
        <v>1840.0550200000002</v>
      </c>
      <c r="I85" s="548">
        <f>'2 уровень'!J179</f>
        <v>39.152772529193477</v>
      </c>
      <c r="J85" s="104"/>
      <c r="K85" s="104"/>
      <c r="L85" s="104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74" t="s">
        <v>124</v>
      </c>
      <c r="B86" s="559">
        <f>'2 уровень'!C180</f>
        <v>700</v>
      </c>
      <c r="C86" s="559">
        <f>'2 уровень'!D180</f>
        <v>233</v>
      </c>
      <c r="D86" s="545">
        <f>'2 уровень'!E180</f>
        <v>181</v>
      </c>
      <c r="E86" s="560">
        <f>'2 уровень'!F180</f>
        <v>77.682403433476395</v>
      </c>
      <c r="F86" s="548">
        <f>'2 уровень'!G180</f>
        <v>681.25400000000002</v>
      </c>
      <c r="G86" s="548">
        <f>'2 уровень'!H180</f>
        <v>227.08</v>
      </c>
      <c r="H86" s="547">
        <f>'2 уровень'!I180</f>
        <v>173.86654999999999</v>
      </c>
      <c r="I86" s="548">
        <f>'2 уровень'!J180</f>
        <v>0</v>
      </c>
      <c r="J86" s="104"/>
      <c r="K86" s="104"/>
      <c r="L86" s="104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59" t="s">
        <v>125</v>
      </c>
      <c r="B87" s="559">
        <f>'2 уровень'!C181</f>
        <v>600</v>
      </c>
      <c r="C87" s="559">
        <f>'2 уровень'!D181</f>
        <v>200</v>
      </c>
      <c r="D87" s="545">
        <f>'2 уровень'!E181</f>
        <v>141</v>
      </c>
      <c r="E87" s="560">
        <f>'2 уровень'!F181</f>
        <v>41</v>
      </c>
      <c r="F87" s="548">
        <f>'2 уровень'!G181</f>
        <v>583.93200000000002</v>
      </c>
      <c r="G87" s="548">
        <f>'2 уровень'!H181</f>
        <v>194.64</v>
      </c>
      <c r="H87" s="547">
        <f>'2 уровень'!I181</f>
        <v>131.30379000000002</v>
      </c>
      <c r="I87" s="548">
        <f>'2 уровень'!J181</f>
        <v>0</v>
      </c>
      <c r="J87" s="104"/>
      <c r="K87" s="104"/>
      <c r="L87" s="104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49" t="s">
        <v>4</v>
      </c>
      <c r="B88" s="561">
        <f>'2 уровень'!C182</f>
        <v>0</v>
      </c>
      <c r="C88" s="561">
        <f>'2 уровень'!D182</f>
        <v>0</v>
      </c>
      <c r="D88" s="550">
        <f>'2 уровень'!E182</f>
        <v>0</v>
      </c>
      <c r="E88" s="562">
        <f>'2 уровень'!F182</f>
        <v>0</v>
      </c>
      <c r="F88" s="553">
        <f>'2 уровень'!G182</f>
        <v>38023.384730000005</v>
      </c>
      <c r="G88" s="553">
        <f>'2 уровень'!H182</f>
        <v>12674.460000000001</v>
      </c>
      <c r="H88" s="552">
        <f>'2 уровень'!I182</f>
        <v>6976.1460800000004</v>
      </c>
      <c r="I88" s="553">
        <f>'2 уровень'!J182</f>
        <v>55.040972790951251</v>
      </c>
      <c r="J88" s="104"/>
      <c r="L88" s="729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2" t="s">
        <v>21</v>
      </c>
      <c r="B89" s="249"/>
      <c r="C89" s="249"/>
      <c r="D89" s="688"/>
      <c r="E89" s="250"/>
      <c r="F89" s="195"/>
      <c r="G89" s="195"/>
      <c r="H89" s="692"/>
      <c r="I89" s="195"/>
      <c r="J89" s="104"/>
      <c r="K89" s="728"/>
      <c r="L89" s="729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43" t="s">
        <v>120</v>
      </c>
      <c r="B90" s="578">
        <f>'2 уровень'!C198</f>
        <v>4185</v>
      </c>
      <c r="C90" s="578">
        <f>'2 уровень'!D198</f>
        <v>1396</v>
      </c>
      <c r="D90" s="578">
        <f>'2 уровень'!E198</f>
        <v>666</v>
      </c>
      <c r="E90" s="579">
        <f>'2 уровень'!F198</f>
        <v>47.707736389684811</v>
      </c>
      <c r="F90" s="580">
        <f>'2 уровень'!G198</f>
        <v>7005.2602500000003</v>
      </c>
      <c r="G90" s="580">
        <f>'2 уровень'!H198</f>
        <v>2335.08</v>
      </c>
      <c r="H90" s="580">
        <f>'2 уровень'!I198</f>
        <v>991.72753999999998</v>
      </c>
      <c r="I90" s="580">
        <f>'2 уровень'!J198</f>
        <v>42.470816417424672</v>
      </c>
      <c r="J90" s="104"/>
      <c r="K90" s="728"/>
      <c r="L90" s="729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17" t="s">
        <v>79</v>
      </c>
      <c r="B91" s="277">
        <f>'2 уровень'!C199</f>
        <v>3071</v>
      </c>
      <c r="C91" s="277">
        <f>'2 уровень'!D199</f>
        <v>1024</v>
      </c>
      <c r="D91" s="70">
        <f>'2 уровень'!E199</f>
        <v>666</v>
      </c>
      <c r="E91" s="278">
        <f>'2 уровень'!F199</f>
        <v>65.0390625</v>
      </c>
      <c r="F91" s="279">
        <f>'2 уровень'!G199</f>
        <v>4181.0510000000004</v>
      </c>
      <c r="G91" s="279">
        <f>'2 уровень'!H199</f>
        <v>1393.68</v>
      </c>
      <c r="H91" s="693">
        <f>'2 уровень'!I199</f>
        <v>1061.8716899999999</v>
      </c>
      <c r="I91" s="279">
        <f>'2 уровень'!J199</f>
        <v>76.191929998277928</v>
      </c>
      <c r="J91" s="104"/>
      <c r="K91" s="728"/>
      <c r="L91" s="729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17" t="s">
        <v>80</v>
      </c>
      <c r="B92" s="277">
        <f>'2 уровень'!C200</f>
        <v>921</v>
      </c>
      <c r="C92" s="277">
        <f>'2 уровень'!D200</f>
        <v>307</v>
      </c>
      <c r="D92" s="70">
        <f>'2 уровень'!E200</f>
        <v>0</v>
      </c>
      <c r="E92" s="278">
        <f>'2 уровень'!F200</f>
        <v>0</v>
      </c>
      <c r="F92" s="279">
        <f>'2 уровень'!G200</f>
        <v>1557.7278099999999</v>
      </c>
      <c r="G92" s="279">
        <f>'2 уровень'!H200</f>
        <v>519.24</v>
      </c>
      <c r="H92" s="693">
        <f>'2 уровень'!I200</f>
        <v>-63.581899999999997</v>
      </c>
      <c r="I92" s="279">
        <f>'2 уровень'!J200</f>
        <v>-12.24518527078037</v>
      </c>
      <c r="J92" s="104"/>
      <c r="K92" s="728"/>
      <c r="L92" s="729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45" customHeight="1" x14ac:dyDescent="0.25">
      <c r="A93" s="117" t="s">
        <v>110</v>
      </c>
      <c r="B93" s="277">
        <f>'2 уровень'!C201</f>
        <v>20</v>
      </c>
      <c r="C93" s="277">
        <f>'2 уровень'!D201</f>
        <v>7</v>
      </c>
      <c r="D93" s="70">
        <f>'2 уровень'!E201</f>
        <v>0</v>
      </c>
      <c r="E93" s="278">
        <f>'2 уровень'!F201</f>
        <v>0</v>
      </c>
      <c r="F93" s="279">
        <f>'2 уровень'!G201</f>
        <v>131.24160000000001</v>
      </c>
      <c r="G93" s="279">
        <f>'2 уровень'!H201</f>
        <v>43.75</v>
      </c>
      <c r="H93" s="693">
        <f>'2 уровень'!I201</f>
        <v>0</v>
      </c>
      <c r="I93" s="279">
        <f>'2 уровень'!J201</f>
        <v>0</v>
      </c>
      <c r="J93" s="104"/>
      <c r="K93" s="728"/>
      <c r="L93" s="729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17" t="s">
        <v>111</v>
      </c>
      <c r="B94" s="193">
        <f>'2 уровень'!C202</f>
        <v>173</v>
      </c>
      <c r="C94" s="193">
        <f>'2 уровень'!D202</f>
        <v>58</v>
      </c>
      <c r="D94" s="49">
        <f>'2 уровень'!E202</f>
        <v>0</v>
      </c>
      <c r="E94" s="251">
        <f>'2 уровень'!F202</f>
        <v>0</v>
      </c>
      <c r="F94" s="192">
        <f>'2 уровень'!G202</f>
        <v>1135.2398400000002</v>
      </c>
      <c r="G94" s="192">
        <f>'2 уровень'!H202</f>
        <v>378.41</v>
      </c>
      <c r="H94" s="694">
        <f>'2 уровень'!I202</f>
        <v>-6.5622499999999997</v>
      </c>
      <c r="I94" s="192">
        <f>'2 уровень'!J202</f>
        <v>-1.7341640020084033</v>
      </c>
      <c r="J94" s="104"/>
      <c r="K94" s="728"/>
      <c r="L94" s="729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43" t="s">
        <v>112</v>
      </c>
      <c r="B95" s="578">
        <f>'2 уровень'!C203</f>
        <v>4350</v>
      </c>
      <c r="C95" s="578">
        <f>'2 уровень'!D203</f>
        <v>1450</v>
      </c>
      <c r="D95" s="578">
        <f>'2 уровень'!E203</f>
        <v>439</v>
      </c>
      <c r="E95" s="579">
        <f>'2 уровень'!F203</f>
        <v>30.27586206896552</v>
      </c>
      <c r="F95" s="580">
        <f>'2 уровень'!G203</f>
        <v>10640.283499999998</v>
      </c>
      <c r="G95" s="580">
        <f>'2 уровень'!H203</f>
        <v>3546.76</v>
      </c>
      <c r="H95" s="580">
        <f>'2 уровень'!I203</f>
        <v>458.01679999999993</v>
      </c>
      <c r="I95" s="580">
        <f>'2 уровень'!J203</f>
        <v>12.913667685436847</v>
      </c>
      <c r="J95" s="104"/>
      <c r="K95" s="728"/>
      <c r="L95" s="729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17" t="s">
        <v>108</v>
      </c>
      <c r="B96" s="277">
        <f>'2 уровень'!C204</f>
        <v>150</v>
      </c>
      <c r="C96" s="277">
        <f>'2 уровень'!D204</f>
        <v>50</v>
      </c>
      <c r="D96" s="70">
        <f>'2 уровень'!E204</f>
        <v>17</v>
      </c>
      <c r="E96" s="278">
        <f>'2 уровень'!F204</f>
        <v>34</v>
      </c>
      <c r="F96" s="279">
        <f>'2 уровень'!G204</f>
        <v>318.07650000000001</v>
      </c>
      <c r="G96" s="279">
        <f>'2 уровень'!H204</f>
        <v>106.03</v>
      </c>
      <c r="H96" s="693">
        <f>'2 уровень'!I204</f>
        <v>35.777940000000001</v>
      </c>
      <c r="I96" s="279">
        <f>'2 уровень'!J204</f>
        <v>33.743223615957746</v>
      </c>
      <c r="J96" s="104"/>
      <c r="K96" s="728"/>
      <c r="L96" s="729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17" t="s">
        <v>81</v>
      </c>
      <c r="B97" s="277">
        <f>'2 уровень'!C205</f>
        <v>3500</v>
      </c>
      <c r="C97" s="277">
        <f>'2 уровень'!D205</f>
        <v>1167</v>
      </c>
      <c r="D97" s="70">
        <f>'2 уровень'!E205</f>
        <v>109</v>
      </c>
      <c r="E97" s="278">
        <f>'2 уровень'!F205</f>
        <v>9.3401885175664106</v>
      </c>
      <c r="F97" s="279">
        <f>'2 уровень'!G205</f>
        <v>9636.0949999999993</v>
      </c>
      <c r="G97" s="279">
        <f>'2 уровень'!H205</f>
        <v>3212.03</v>
      </c>
      <c r="H97" s="693">
        <f>'2 уровень'!I205</f>
        <v>140.46066999999999</v>
      </c>
      <c r="I97" s="279">
        <f>'2 уровень'!J205</f>
        <v>4.3729563547040344</v>
      </c>
      <c r="J97" s="104"/>
      <c r="K97" s="728"/>
      <c r="L97" s="729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17" t="s">
        <v>109</v>
      </c>
      <c r="B98" s="277">
        <f>'2 уровень'!C206</f>
        <v>700</v>
      </c>
      <c r="C98" s="277">
        <f>'2 уровень'!D206</f>
        <v>233</v>
      </c>
      <c r="D98" s="70">
        <f>'2 уровень'!E206</f>
        <v>313</v>
      </c>
      <c r="E98" s="278">
        <f>'2 уровень'!F206</f>
        <v>134.33476394849785</v>
      </c>
      <c r="F98" s="279">
        <f>'2 уровень'!G206</f>
        <v>686.11199999999997</v>
      </c>
      <c r="G98" s="279">
        <f>'2 уровень'!H206</f>
        <v>228.7</v>
      </c>
      <c r="H98" s="693">
        <f>'2 уровень'!I206</f>
        <v>281.77818999999994</v>
      </c>
      <c r="I98" s="279">
        <f>'2 уровень'!J206</f>
        <v>123.20865325754262</v>
      </c>
      <c r="J98" s="104"/>
      <c r="K98" s="728"/>
      <c r="L98" s="729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68" t="s">
        <v>123</v>
      </c>
      <c r="B99" s="563">
        <f>'2 уровень'!C207</f>
        <v>6950</v>
      </c>
      <c r="C99" s="563">
        <f>'2 уровень'!D207</f>
        <v>2317</v>
      </c>
      <c r="D99" s="689">
        <f>'2 уровень'!E207</f>
        <v>2712</v>
      </c>
      <c r="E99" s="564">
        <f>'2 уровень'!F207</f>
        <v>117.04790677600346</v>
      </c>
      <c r="F99" s="565">
        <f>'2 уровень'!G207</f>
        <v>6763.8789999999999</v>
      </c>
      <c r="G99" s="565">
        <f>'2 уровень'!H207</f>
        <v>2254.63</v>
      </c>
      <c r="H99" s="695">
        <f>'2 уровень'!I207</f>
        <v>2614.0018499999996</v>
      </c>
      <c r="I99" s="565">
        <f>'2 уровень'!J207</f>
        <v>115.93928272044636</v>
      </c>
      <c r="J99" s="104"/>
      <c r="K99" s="104"/>
      <c r="L99" s="104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68" t="s">
        <v>125</v>
      </c>
      <c r="B100" s="563">
        <f>'2 уровень'!C208</f>
        <v>1850</v>
      </c>
      <c r="C100" s="563">
        <f>'2 уровень'!D208</f>
        <v>617</v>
      </c>
      <c r="D100" s="689">
        <f>'2 уровень'!E208</f>
        <v>634</v>
      </c>
      <c r="E100" s="564">
        <f>'2 уровень'!F208</f>
        <v>102.7552674230146</v>
      </c>
      <c r="F100" s="565">
        <f>'2 уровень'!G208</f>
        <v>1800.4569999999999</v>
      </c>
      <c r="G100" s="565">
        <f>'2 уровень'!H208</f>
        <v>600.15</v>
      </c>
      <c r="H100" s="695">
        <f>'2 уровень'!I208</f>
        <v>609.01379000000009</v>
      </c>
      <c r="I100" s="565">
        <f>'2 уровень'!J208</f>
        <v>101.47692910105808</v>
      </c>
      <c r="J100" s="104"/>
      <c r="K100" s="104"/>
      <c r="L100" s="104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3">
      <c r="A101" s="549" t="s">
        <v>107</v>
      </c>
      <c r="B101" s="566">
        <f>'2 уровень'!C209</f>
        <v>0</v>
      </c>
      <c r="C101" s="566">
        <f>'2 уровень'!D209</f>
        <v>0</v>
      </c>
      <c r="D101" s="690">
        <f>'2 уровень'!E209</f>
        <v>0</v>
      </c>
      <c r="E101" s="567">
        <f>'2 уровень'!F209</f>
        <v>0</v>
      </c>
      <c r="F101" s="568">
        <f>'2 уровень'!G209</f>
        <v>24409.422749999998</v>
      </c>
      <c r="G101" s="568">
        <f>'2 уровень'!H209</f>
        <v>8136.47</v>
      </c>
      <c r="H101" s="696">
        <f>'2 уровень'!I209</f>
        <v>4063.7461899999998</v>
      </c>
      <c r="I101" s="568">
        <f>'2 уровень'!J209</f>
        <v>49.944830989360241</v>
      </c>
      <c r="J101" s="104"/>
      <c r="K101" s="728"/>
      <c r="L101" s="729"/>
    </row>
    <row r="102" spans="1:185" ht="15" customHeight="1" x14ac:dyDescent="0.25">
      <c r="A102" s="222" t="s">
        <v>22</v>
      </c>
      <c r="B102" s="98"/>
      <c r="C102" s="98"/>
      <c r="D102" s="98"/>
      <c r="E102" s="184"/>
      <c r="F102" s="99"/>
      <c r="G102" s="99"/>
      <c r="H102" s="99"/>
      <c r="I102" s="99"/>
      <c r="J102" s="104"/>
      <c r="L102" s="729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43" t="s">
        <v>120</v>
      </c>
      <c r="B103" s="540">
        <f>'1 уровень'!C298</f>
        <v>4015</v>
      </c>
      <c r="C103" s="540">
        <f>'1 уровень'!D298</f>
        <v>1338</v>
      </c>
      <c r="D103" s="540">
        <f>'1 уровень'!E298</f>
        <v>298</v>
      </c>
      <c r="E103" s="541">
        <f>'1 уровень'!F298</f>
        <v>22.272047832585951</v>
      </c>
      <c r="F103" s="544">
        <f>'1 уровень'!G298</f>
        <v>7369.6050500000001</v>
      </c>
      <c r="G103" s="544">
        <f>'1 уровень'!H298</f>
        <v>2456.54</v>
      </c>
      <c r="H103" s="544">
        <f>'1 уровень'!I298</f>
        <v>511.8152399999999</v>
      </c>
      <c r="I103" s="544">
        <f>'1 уровень'!J298</f>
        <v>20.834801794393737</v>
      </c>
      <c r="J103" s="104"/>
      <c r="L103" s="729"/>
    </row>
    <row r="104" spans="1:185" ht="30" x14ac:dyDescent="0.25">
      <c r="A104" s="117" t="s">
        <v>79</v>
      </c>
      <c r="B104" s="50">
        <f>'1 уровень'!C299</f>
        <v>2788</v>
      </c>
      <c r="C104" s="50">
        <f>'1 уровень'!D299</f>
        <v>929</v>
      </c>
      <c r="D104" s="50">
        <f>'1 уровень'!E299</f>
        <v>266</v>
      </c>
      <c r="E104" s="181">
        <f>'1 уровень'!F299</f>
        <v>28.632938643702904</v>
      </c>
      <c r="F104" s="63">
        <f>'1 уровень'!G299</f>
        <v>3965.808</v>
      </c>
      <c r="G104" s="63">
        <f>'1 уровень'!H299</f>
        <v>1321.94</v>
      </c>
      <c r="H104" s="63">
        <f>'1 уровень'!I299</f>
        <v>343.19110999999998</v>
      </c>
      <c r="I104" s="63">
        <f>'1 уровень'!J299</f>
        <v>25.961171460126781</v>
      </c>
      <c r="J104" s="104"/>
      <c r="L104" s="729"/>
    </row>
    <row r="105" spans="1:185" ht="30" x14ac:dyDescent="0.25">
      <c r="A105" s="117" t="s">
        <v>80</v>
      </c>
      <c r="B105" s="50">
        <f>'1 уровень'!C300</f>
        <v>837</v>
      </c>
      <c r="C105" s="50">
        <f>'1 уровень'!D300</f>
        <v>279</v>
      </c>
      <c r="D105" s="50">
        <f>'1 уровень'!E300</f>
        <v>1</v>
      </c>
      <c r="E105" s="181">
        <f>'1 уровень'!F300</f>
        <v>0.35842293906810035</v>
      </c>
      <c r="F105" s="63">
        <f>'1 уровень'!G300</f>
        <v>1271.12105</v>
      </c>
      <c r="G105" s="63">
        <f>'1 уровень'!H300</f>
        <v>423.71</v>
      </c>
      <c r="H105" s="63">
        <f>'1 уровень'!I300</f>
        <v>-0.8962699999999999</v>
      </c>
      <c r="I105" s="63">
        <f>'1 уровень'!J300</f>
        <v>-0.21152911189256801</v>
      </c>
      <c r="J105" s="104"/>
      <c r="L105" s="729"/>
    </row>
    <row r="106" spans="1:185" s="46" customFormat="1" ht="45" x14ac:dyDescent="0.25">
      <c r="A106" s="117" t="s">
        <v>110</v>
      </c>
      <c r="B106" s="70">
        <f>'1 уровень'!C301</f>
        <v>160</v>
      </c>
      <c r="C106" s="70">
        <f>'1 уровень'!D301</f>
        <v>53</v>
      </c>
      <c r="D106" s="49">
        <f>'1 уровень'!E301</f>
        <v>21</v>
      </c>
      <c r="E106" s="180">
        <f>'1 уровень'!F301</f>
        <v>39.622641509433961</v>
      </c>
      <c r="F106" s="47">
        <f>'1 уровень'!G301</f>
        <v>874.94399999999996</v>
      </c>
      <c r="G106" s="47">
        <f>'1 уровень'!H301</f>
        <v>291.64999999999998</v>
      </c>
      <c r="H106" s="47">
        <f>'1 уровень'!I301</f>
        <v>114.8364</v>
      </c>
      <c r="I106" s="47">
        <f>'1 уровень'!J301</f>
        <v>39.37472998457055</v>
      </c>
      <c r="J106" s="104"/>
      <c r="K106" s="728"/>
      <c r="L106" s="729"/>
    </row>
    <row r="107" spans="1:185" ht="30" x14ac:dyDescent="0.25">
      <c r="A107" s="117" t="s">
        <v>111</v>
      </c>
      <c r="B107" s="50">
        <f>'1 уровень'!C302</f>
        <v>230</v>
      </c>
      <c r="C107" s="50">
        <f>'1 уровень'!D302</f>
        <v>77</v>
      </c>
      <c r="D107" s="50">
        <f>'1 уровень'!E302</f>
        <v>10</v>
      </c>
      <c r="E107" s="181">
        <f>'1 уровень'!F302</f>
        <v>12.987012987012985</v>
      </c>
      <c r="F107" s="63">
        <f>'1 уровень'!G302</f>
        <v>1257.732</v>
      </c>
      <c r="G107" s="63">
        <f>'1 уровень'!H302</f>
        <v>419.24</v>
      </c>
      <c r="H107" s="63">
        <f>'1 уровень'!I302</f>
        <v>54.683999999999997</v>
      </c>
      <c r="I107" s="63">
        <f>'1 уровень'!J302</f>
        <v>13.043602709665109</v>
      </c>
      <c r="J107" s="104"/>
      <c r="L107" s="729"/>
    </row>
    <row r="108" spans="1:185" ht="30" x14ac:dyDescent="0.25">
      <c r="A108" s="543" t="s">
        <v>112</v>
      </c>
      <c r="B108" s="540">
        <f>'1 уровень'!C303</f>
        <v>5859</v>
      </c>
      <c r="C108" s="540">
        <f>'1 уровень'!D303</f>
        <v>1953</v>
      </c>
      <c r="D108" s="540">
        <f>'1 уровень'!E303</f>
        <v>1404</v>
      </c>
      <c r="E108" s="541">
        <f>'1 уровень'!F303</f>
        <v>71.889400921658989</v>
      </c>
      <c r="F108" s="544">
        <f>'1 уровень'!G303</f>
        <v>12236.931200000001</v>
      </c>
      <c r="G108" s="544">
        <f>'1 уровень'!H303</f>
        <v>4078.97</v>
      </c>
      <c r="H108" s="544">
        <f>'1 уровень'!I303</f>
        <v>3830.2751400000002</v>
      </c>
      <c r="I108" s="544">
        <f>'1 уровень'!J303</f>
        <v>93.902998551104815</v>
      </c>
      <c r="J108" s="104"/>
      <c r="L108" s="729"/>
    </row>
    <row r="109" spans="1:185" ht="30" x14ac:dyDescent="0.25">
      <c r="A109" s="117" t="s">
        <v>108</v>
      </c>
      <c r="B109" s="50">
        <f>'1 уровень'!C304</f>
        <v>1000</v>
      </c>
      <c r="C109" s="50">
        <f>'1 уровень'!D304</f>
        <v>333</v>
      </c>
      <c r="D109" s="50">
        <f>'1 уровень'!E304</f>
        <v>156</v>
      </c>
      <c r="E109" s="181">
        <f>'1 уровень'!F304</f>
        <v>46.846846846846844</v>
      </c>
      <c r="F109" s="63">
        <f>'1 уровень'!G304</f>
        <v>1767.1</v>
      </c>
      <c r="G109" s="63">
        <f>'1 уровень'!H304</f>
        <v>589.03</v>
      </c>
      <c r="H109" s="63">
        <f>'1 уровень'!I304</f>
        <v>283.96679999999998</v>
      </c>
      <c r="I109" s="63">
        <f>'1 уровень'!J304</f>
        <v>48.209225336570292</v>
      </c>
      <c r="J109" s="104"/>
      <c r="L109" s="729"/>
    </row>
    <row r="110" spans="1:185" ht="60" x14ac:dyDescent="0.25">
      <c r="A110" s="117" t="s">
        <v>81</v>
      </c>
      <c r="B110" s="50">
        <f>'1 уровень'!C305</f>
        <v>4400</v>
      </c>
      <c r="C110" s="50">
        <f>'1 уровень'!D305</f>
        <v>1467</v>
      </c>
      <c r="D110" s="50">
        <f>'1 уровень'!E305</f>
        <v>1235</v>
      </c>
      <c r="E110" s="181">
        <f>'1 уровень'!F305</f>
        <v>84.185412406271297</v>
      </c>
      <c r="F110" s="63">
        <f>'1 уровень'!G305</f>
        <v>10094.92</v>
      </c>
      <c r="G110" s="63">
        <f>'1 уровень'!H305</f>
        <v>3364.97</v>
      </c>
      <c r="H110" s="63">
        <f>'1 уровень'!I305</f>
        <v>3536.3948</v>
      </c>
      <c r="I110" s="63">
        <f>'1 уровень'!J305</f>
        <v>105.09439311494606</v>
      </c>
      <c r="J110" s="104"/>
      <c r="L110" s="729"/>
    </row>
    <row r="111" spans="1:185" ht="45" x14ac:dyDescent="0.25">
      <c r="A111" s="117" t="s">
        <v>109</v>
      </c>
      <c r="B111" s="50">
        <f>'1 уровень'!C306</f>
        <v>459</v>
      </c>
      <c r="C111" s="50">
        <f>'1 уровень'!D306</f>
        <v>153</v>
      </c>
      <c r="D111" s="50">
        <f>'1 уровень'!E306</f>
        <v>13</v>
      </c>
      <c r="E111" s="181">
        <f>'1 уровень'!F306</f>
        <v>8.4967320261437909</v>
      </c>
      <c r="F111" s="63">
        <f>'1 уровень'!G306</f>
        <v>374.91120000000001</v>
      </c>
      <c r="G111" s="63">
        <f>'1 уровень'!H306</f>
        <v>124.97</v>
      </c>
      <c r="H111" s="63">
        <f>'1 уровень'!I306</f>
        <v>9.9135400000000011</v>
      </c>
      <c r="I111" s="63">
        <f>'1 уровень'!J306</f>
        <v>7.9327358566055866</v>
      </c>
      <c r="J111" s="104"/>
      <c r="L111" s="729"/>
    </row>
    <row r="112" spans="1:185" ht="30" x14ac:dyDescent="0.25">
      <c r="A112" s="286" t="s">
        <v>123</v>
      </c>
      <c r="B112" s="545">
        <f>'1 уровень'!C307</f>
        <v>12363</v>
      </c>
      <c r="C112" s="545">
        <f>'1 уровень'!D307</f>
        <v>4121</v>
      </c>
      <c r="D112" s="545">
        <f>'1 уровень'!E307</f>
        <v>1841</v>
      </c>
      <c r="E112" s="546">
        <f>'1 уровень'!F307</f>
        <v>44.673622907061393</v>
      </c>
      <c r="F112" s="547">
        <f>'1 уровень'!G307</f>
        <v>10026.64026</v>
      </c>
      <c r="G112" s="547">
        <f>'1 уровень'!H307</f>
        <v>3342.21</v>
      </c>
      <c r="H112" s="547">
        <f>'1 уровень'!I307</f>
        <v>1489.6972999999998</v>
      </c>
      <c r="I112" s="547">
        <f>'1 уровень'!J307</f>
        <v>44.572223169699086</v>
      </c>
      <c r="J112" s="104"/>
      <c r="K112" s="104"/>
      <c r="L112" s="104"/>
    </row>
    <row r="113" spans="1:185" s="46" customFormat="1" ht="30.75" thickBot="1" x14ac:dyDescent="0.3">
      <c r="A113" s="668" t="s">
        <v>125</v>
      </c>
      <c r="B113" s="545">
        <f>'1 уровень'!C308</f>
        <v>6500</v>
      </c>
      <c r="C113" s="545">
        <f>'1 уровень'!D308</f>
        <v>2167</v>
      </c>
      <c r="D113" s="545">
        <f>'1 уровень'!E308</f>
        <v>371</v>
      </c>
      <c r="E113" s="546">
        <f>'1 уровень'!F308</f>
        <v>17.120443008767882</v>
      </c>
      <c r="F113" s="547">
        <f>'1 уровень'!G308</f>
        <v>5271.63</v>
      </c>
      <c r="G113" s="547">
        <f>'1 уровень'!H308</f>
        <v>1757.21</v>
      </c>
      <c r="H113" s="547">
        <f>'1 уровень'!I308</f>
        <v>298.8657</v>
      </c>
      <c r="I113" s="547">
        <f>'1 уровень'!J308</f>
        <v>17.007967175238019</v>
      </c>
      <c r="J113" s="104"/>
      <c r="K113" s="104"/>
      <c r="L113" s="104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58" t="s">
        <v>105</v>
      </c>
      <c r="B114" s="550">
        <f>'1 уровень'!C309</f>
        <v>0</v>
      </c>
      <c r="C114" s="550">
        <f>'1 уровень'!D309</f>
        <v>0</v>
      </c>
      <c r="D114" s="550">
        <f>'1 уровень'!E309</f>
        <v>0</v>
      </c>
      <c r="E114" s="551">
        <f>'1 уровень'!F309</f>
        <v>0</v>
      </c>
      <c r="F114" s="552">
        <f>'1 уровень'!G309</f>
        <v>29633.176510000001</v>
      </c>
      <c r="G114" s="552">
        <f>'1 уровень'!H309</f>
        <v>9877.7200000000012</v>
      </c>
      <c r="H114" s="552">
        <f>'1 уровень'!I309</f>
        <v>5831.7876799999995</v>
      </c>
      <c r="I114" s="552">
        <f>'1 уровень'!J309</f>
        <v>59.039815665963388</v>
      </c>
      <c r="J114" s="104"/>
      <c r="L114" s="729"/>
    </row>
    <row r="115" spans="1:185" ht="15" customHeight="1" x14ac:dyDescent="0.25">
      <c r="A115" s="222" t="s">
        <v>23</v>
      </c>
      <c r="B115" s="98"/>
      <c r="C115" s="98"/>
      <c r="D115" s="98"/>
      <c r="E115" s="184"/>
      <c r="F115" s="99"/>
      <c r="G115" s="99"/>
      <c r="H115" s="99"/>
      <c r="I115" s="99"/>
      <c r="J115" s="104"/>
      <c r="L115" s="729"/>
    </row>
    <row r="116" spans="1:185" ht="30" x14ac:dyDescent="0.25">
      <c r="A116" s="543" t="s">
        <v>120</v>
      </c>
      <c r="B116" s="540">
        <f>'2 уровень'!C224</f>
        <v>5336</v>
      </c>
      <c r="C116" s="540">
        <f>'2 уровень'!D224</f>
        <v>1779</v>
      </c>
      <c r="D116" s="540">
        <f>'2 уровень'!E224</f>
        <v>2267</v>
      </c>
      <c r="E116" s="541">
        <f>'2 уровень'!F224</f>
        <v>127.43114109050029</v>
      </c>
      <c r="F116" s="544">
        <f>'2 уровень'!G224</f>
        <v>10257.084710000001</v>
      </c>
      <c r="G116" s="544">
        <f>'2 уровень'!H224</f>
        <v>3419.0299999999997</v>
      </c>
      <c r="H116" s="544">
        <f>'2 уровень'!I224</f>
        <v>4852.6366799999996</v>
      </c>
      <c r="I116" s="544">
        <f>'2 уровень'!J224</f>
        <v>141.93021646490379</v>
      </c>
      <c r="J116" s="104"/>
      <c r="L116" s="729"/>
    </row>
    <row r="117" spans="1:185" ht="30" x14ac:dyDescent="0.25">
      <c r="A117" s="117" t="s">
        <v>79</v>
      </c>
      <c r="B117" s="50">
        <f>'2 уровень'!C225</f>
        <v>3917</v>
      </c>
      <c r="C117" s="50">
        <f>'2 уровень'!D225</f>
        <v>1306</v>
      </c>
      <c r="D117" s="50">
        <f>'2 уровень'!E225</f>
        <v>1805</v>
      </c>
      <c r="E117" s="181">
        <f>'2 уровень'!F225</f>
        <v>138.20826952526798</v>
      </c>
      <c r="F117" s="63">
        <f>'2 уровень'!G225</f>
        <v>6449.5396000000001</v>
      </c>
      <c r="G117" s="63">
        <f>'2 уровень'!H225</f>
        <v>2149.85</v>
      </c>
      <c r="H117" s="63">
        <f>'2 уровень'!I225</f>
        <v>2902.73279</v>
      </c>
      <c r="I117" s="63">
        <f>'2 уровень'!J225</f>
        <v>135.02024745912507</v>
      </c>
      <c r="J117" s="104"/>
      <c r="L117" s="729"/>
    </row>
    <row r="118" spans="1:185" ht="30" x14ac:dyDescent="0.25">
      <c r="A118" s="117" t="s">
        <v>80</v>
      </c>
      <c r="B118" s="50">
        <f>'2 уровень'!C226</f>
        <v>1175</v>
      </c>
      <c r="C118" s="50">
        <f>'2 уровень'!D226</f>
        <v>392</v>
      </c>
      <c r="D118" s="50">
        <f>'2 уровень'!E226</f>
        <v>228</v>
      </c>
      <c r="E118" s="181">
        <f>'2 уровень'!F226</f>
        <v>58.163265306122447</v>
      </c>
      <c r="F118" s="63">
        <f>'2 уровень'!G226</f>
        <v>2206.39759</v>
      </c>
      <c r="G118" s="63">
        <f>'2 уровень'!H226</f>
        <v>735.47</v>
      </c>
      <c r="H118" s="63">
        <f>'2 уровень'!I226</f>
        <v>414.37716999999992</v>
      </c>
      <c r="I118" s="63">
        <f>'2 уровень'!J226</f>
        <v>56.34181815709681</v>
      </c>
      <c r="J118" s="104"/>
      <c r="L118" s="729"/>
    </row>
    <row r="119" spans="1:185" ht="45" x14ac:dyDescent="0.25">
      <c r="A119" s="117" t="s">
        <v>110</v>
      </c>
      <c r="B119" s="50">
        <f>'2 уровень'!C227</f>
        <v>52</v>
      </c>
      <c r="C119" s="50">
        <f>'2 уровень'!D227</f>
        <v>17</v>
      </c>
      <c r="D119" s="50">
        <f>'2 уровень'!E227</f>
        <v>56</v>
      </c>
      <c r="E119" s="181">
        <f>'2 уровень'!F227</f>
        <v>329.41176470588232</v>
      </c>
      <c r="F119" s="63">
        <f>'2 уровень'!G227</f>
        <v>341.22816</v>
      </c>
      <c r="G119" s="63">
        <f>'2 уровень'!H227</f>
        <v>113.74</v>
      </c>
      <c r="H119" s="63">
        <f>'2 уровень'!I227</f>
        <v>367.47647999999998</v>
      </c>
      <c r="I119" s="63">
        <f>'2 уровень'!J227</f>
        <v>323.08464919992963</v>
      </c>
      <c r="J119" s="104"/>
      <c r="L119" s="729"/>
    </row>
    <row r="120" spans="1:185" ht="30" x14ac:dyDescent="0.25">
      <c r="A120" s="117" t="s">
        <v>111</v>
      </c>
      <c r="B120" s="50">
        <f>'2 уровень'!C228</f>
        <v>192</v>
      </c>
      <c r="C120" s="50">
        <f>'2 уровень'!D228</f>
        <v>64</v>
      </c>
      <c r="D120" s="50">
        <f>'2 уровень'!E228</f>
        <v>178</v>
      </c>
      <c r="E120" s="181">
        <f>'2 уровень'!F228</f>
        <v>278.125</v>
      </c>
      <c r="F120" s="63">
        <f>'2 уровень'!G228</f>
        <v>1259.9193599999999</v>
      </c>
      <c r="G120" s="63">
        <f>'2 уровень'!H228</f>
        <v>419.97</v>
      </c>
      <c r="H120" s="63">
        <f>'2 уровень'!I228</f>
        <v>1168.05024</v>
      </c>
      <c r="I120" s="63">
        <f>'2 уровень'!J228</f>
        <v>278.1270662190156</v>
      </c>
      <c r="J120" s="104"/>
      <c r="L120" s="729"/>
    </row>
    <row r="121" spans="1:185" ht="30" x14ac:dyDescent="0.25">
      <c r="A121" s="543" t="s">
        <v>112</v>
      </c>
      <c r="B121" s="540">
        <f>'2 уровень'!C229</f>
        <v>8769</v>
      </c>
      <c r="C121" s="540">
        <f>'2 уровень'!D229</f>
        <v>2923</v>
      </c>
      <c r="D121" s="540">
        <f>'2 уровень'!E229</f>
        <v>2364</v>
      </c>
      <c r="E121" s="541">
        <f>'2 уровень'!F229</f>
        <v>80.875812521382144</v>
      </c>
      <c r="F121" s="544">
        <f>'2 уровень'!G229</f>
        <v>22940.131579999997</v>
      </c>
      <c r="G121" s="544">
        <f>'2 уровень'!H229</f>
        <v>7646.71</v>
      </c>
      <c r="H121" s="544">
        <f>'2 уровень'!I229</f>
        <v>5811.65038</v>
      </c>
      <c r="I121" s="544">
        <f>'2 уровень'!J229</f>
        <v>76.00197182840725</v>
      </c>
      <c r="J121" s="104"/>
      <c r="L121" s="729"/>
    </row>
    <row r="122" spans="1:185" ht="30" x14ac:dyDescent="0.25">
      <c r="A122" s="117" t="s">
        <v>108</v>
      </c>
      <c r="B122" s="50">
        <f>'2 уровень'!C230</f>
        <v>2900</v>
      </c>
      <c r="C122" s="50">
        <f>'2 уровень'!D230</f>
        <v>967</v>
      </c>
      <c r="D122" s="50">
        <f>'2 уровень'!E230</f>
        <v>911</v>
      </c>
      <c r="E122" s="181">
        <f>'2 уровень'!F230</f>
        <v>94.208893485005177</v>
      </c>
      <c r="F122" s="63">
        <f>'2 уровень'!G230</f>
        <v>6149.4790000000003</v>
      </c>
      <c r="G122" s="63">
        <f>'2 уровень'!H230</f>
        <v>2049.83</v>
      </c>
      <c r="H122" s="63">
        <f>'2 уровень'!I230</f>
        <v>1931.1581299999998</v>
      </c>
      <c r="I122" s="63">
        <f>'2 уровень'!J230</f>
        <v>94.210648200094639</v>
      </c>
      <c r="J122" s="104"/>
      <c r="L122" s="729"/>
    </row>
    <row r="123" spans="1:185" ht="60" x14ac:dyDescent="0.25">
      <c r="A123" s="117" t="s">
        <v>81</v>
      </c>
      <c r="B123" s="50">
        <f>'2 уровень'!C231</f>
        <v>5154</v>
      </c>
      <c r="C123" s="50">
        <f>'2 уровень'!D231</f>
        <v>1718</v>
      </c>
      <c r="D123" s="50">
        <f>'2 уровень'!E231</f>
        <v>1262</v>
      </c>
      <c r="E123" s="181">
        <f>'2 уровень'!F231</f>
        <v>73.457508731082655</v>
      </c>
      <c r="F123" s="63">
        <f>'2 уровень'!G231</f>
        <v>16089.838179999999</v>
      </c>
      <c r="G123" s="63">
        <f>'2 уровень'!H231</f>
        <v>5363.28</v>
      </c>
      <c r="H123" s="63">
        <f>'2 уровень'!I231</f>
        <v>3724.9646400000001</v>
      </c>
      <c r="I123" s="63">
        <f>'2 уровень'!J231</f>
        <v>69.453107799704668</v>
      </c>
      <c r="J123" s="104"/>
      <c r="L123" s="729"/>
    </row>
    <row r="124" spans="1:185" ht="45" x14ac:dyDescent="0.25">
      <c r="A124" s="117" t="s">
        <v>109</v>
      </c>
      <c r="B124" s="50">
        <f>'2 уровень'!C232</f>
        <v>715</v>
      </c>
      <c r="C124" s="50">
        <f>'2 уровень'!D232</f>
        <v>238</v>
      </c>
      <c r="D124" s="50">
        <f>'2 уровень'!E232</f>
        <v>191</v>
      </c>
      <c r="E124" s="181">
        <f>'2 уровень'!F232</f>
        <v>80.252100840336141</v>
      </c>
      <c r="F124" s="63">
        <f>'2 уровень'!G232</f>
        <v>700.81439999999998</v>
      </c>
      <c r="G124" s="63">
        <f>'2 уровень'!H232</f>
        <v>233.6</v>
      </c>
      <c r="H124" s="63">
        <f>'2 уровень'!I232</f>
        <v>155.52760999999998</v>
      </c>
      <c r="I124" s="63">
        <f>'2 уровень'!J232</f>
        <v>66.578600171232864</v>
      </c>
      <c r="J124" s="104"/>
      <c r="L124" s="729"/>
    </row>
    <row r="125" spans="1:185" ht="30" x14ac:dyDescent="0.25">
      <c r="A125" s="117" t="s">
        <v>123</v>
      </c>
      <c r="B125" s="50">
        <f>'2 уровень'!C233</f>
        <v>12000</v>
      </c>
      <c r="C125" s="50">
        <f>'2 уровень'!D233</f>
        <v>4000</v>
      </c>
      <c r="D125" s="50">
        <f>'2 уровень'!E233</f>
        <v>4317</v>
      </c>
      <c r="E125" s="181">
        <f>'2 уровень'!F233</f>
        <v>107.92500000000001</v>
      </c>
      <c r="F125" s="63">
        <f>'2 уровень'!G233</f>
        <v>11678.64</v>
      </c>
      <c r="G125" s="63">
        <f>'2 уровень'!H233</f>
        <v>3892.88</v>
      </c>
      <c r="H125" s="63">
        <f>'2 уровень'!I233</f>
        <v>4168.1000599999998</v>
      </c>
      <c r="I125" s="63">
        <f>'2 уровень'!J233</f>
        <v>107.06983158997964</v>
      </c>
      <c r="J125" s="104"/>
      <c r="K125" s="104"/>
      <c r="L125" s="104"/>
    </row>
    <row r="126" spans="1:185" ht="15.75" thickBot="1" x14ac:dyDescent="0.3">
      <c r="A126" s="113" t="s">
        <v>107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1">
        <f>'2 уровень'!F234</f>
        <v>0</v>
      </c>
      <c r="F126" s="63">
        <f>'2 уровень'!G234</f>
        <v>44875.856289999996</v>
      </c>
      <c r="G126" s="63">
        <f>'2 уровень'!H234</f>
        <v>14958.619999999999</v>
      </c>
      <c r="H126" s="63">
        <f>'2 уровень'!I234</f>
        <v>14832.387119999999</v>
      </c>
      <c r="I126" s="63">
        <f>'2 уровень'!J234</f>
        <v>99.156119481609934</v>
      </c>
      <c r="J126" s="104"/>
      <c r="L126" s="729"/>
    </row>
    <row r="127" spans="1:185" ht="15" customHeight="1" x14ac:dyDescent="0.25">
      <c r="A127" s="97" t="s">
        <v>24</v>
      </c>
      <c r="B127" s="98"/>
      <c r="C127" s="98"/>
      <c r="D127" s="98"/>
      <c r="E127" s="184"/>
      <c r="F127" s="99"/>
      <c r="G127" s="99"/>
      <c r="H127" s="99"/>
      <c r="I127" s="99"/>
      <c r="J127" s="104"/>
      <c r="L127" s="729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43" t="s">
        <v>120</v>
      </c>
      <c r="B128" s="540">
        <f>'1 уровень'!C326</f>
        <v>8257</v>
      </c>
      <c r="C128" s="540">
        <f>'1 уровень'!D326</f>
        <v>2752</v>
      </c>
      <c r="D128" s="540">
        <f>'1 уровень'!E326</f>
        <v>3435</v>
      </c>
      <c r="E128" s="541">
        <f>'1 уровень'!F326</f>
        <v>124.81831395348837</v>
      </c>
      <c r="F128" s="544">
        <f>'1 уровень'!G326</f>
        <v>13714.10334</v>
      </c>
      <c r="G128" s="544">
        <f>'1 уровень'!H326</f>
        <v>4571.37</v>
      </c>
      <c r="H128" s="544">
        <f>'1 уровень'!I326</f>
        <v>5222.3756100000001</v>
      </c>
      <c r="I128" s="544">
        <f>'1 уровень'!J326</f>
        <v>114.24093018066795</v>
      </c>
      <c r="J128" s="104"/>
      <c r="L128" s="729"/>
    </row>
    <row r="129" spans="1:185" ht="30" x14ac:dyDescent="0.25">
      <c r="A129" s="117" t="s">
        <v>79</v>
      </c>
      <c r="B129" s="50">
        <f>'1 уровень'!C327</f>
        <v>6003</v>
      </c>
      <c r="C129" s="50">
        <f>'1 уровень'!D327</f>
        <v>2001</v>
      </c>
      <c r="D129" s="50">
        <f>'1 уровень'!E327</f>
        <v>2614</v>
      </c>
      <c r="E129" s="181">
        <f>'1 уровень'!F327</f>
        <v>130.63468265867067</v>
      </c>
      <c r="F129" s="63">
        <f>'1 уровень'!G327</f>
        <v>8459.4328000000005</v>
      </c>
      <c r="G129" s="63">
        <f>'1 уровень'!H327</f>
        <v>2819.81</v>
      </c>
      <c r="H129" s="63">
        <f>'1 уровень'!I327</f>
        <v>2488.7455400000003</v>
      </c>
      <c r="I129" s="63">
        <f>'1 уровень'!J327</f>
        <v>88.259334494168058</v>
      </c>
      <c r="J129" s="104"/>
      <c r="L129" s="729"/>
    </row>
    <row r="130" spans="1:185" ht="30" x14ac:dyDescent="0.25">
      <c r="A130" s="117" t="s">
        <v>80</v>
      </c>
      <c r="B130" s="50">
        <f>'1 уровень'!C328</f>
        <v>1801</v>
      </c>
      <c r="C130" s="50">
        <f>'1 уровень'!D328</f>
        <v>600</v>
      </c>
      <c r="D130" s="50">
        <f>'1 уровень'!E328</f>
        <v>447</v>
      </c>
      <c r="E130" s="181">
        <f>'1 уровень'!F328</f>
        <v>74.5</v>
      </c>
      <c r="F130" s="63">
        <f>'1 уровень'!G328</f>
        <v>2777.4853399999997</v>
      </c>
      <c r="G130" s="63">
        <f>'1 уровень'!H328</f>
        <v>925.83</v>
      </c>
      <c r="H130" s="63">
        <f>'1 уровень'!I328</f>
        <v>688.44846999999993</v>
      </c>
      <c r="I130" s="63">
        <f>'1 уровень'!J328</f>
        <v>74.360138470345518</v>
      </c>
      <c r="J130" s="104"/>
      <c r="L130" s="729"/>
    </row>
    <row r="131" spans="1:185" ht="45" x14ac:dyDescent="0.25">
      <c r="A131" s="117" t="s">
        <v>110</v>
      </c>
      <c r="B131" s="50">
        <f>'1 уровень'!C329</f>
        <v>82</v>
      </c>
      <c r="C131" s="50">
        <f>'1 уровень'!D329</f>
        <v>27</v>
      </c>
      <c r="D131" s="50">
        <f>'1 уровень'!E329</f>
        <v>94</v>
      </c>
      <c r="E131" s="181">
        <f>'1 уровень'!F329</f>
        <v>348.14814814814815</v>
      </c>
      <c r="F131" s="63">
        <f>'1 уровень'!G329</f>
        <v>448.40879999999999</v>
      </c>
      <c r="G131" s="63">
        <f>'1 уровень'!H329</f>
        <v>149.47</v>
      </c>
      <c r="H131" s="63">
        <f>'1 уровень'!I329</f>
        <v>514.02959999999996</v>
      </c>
      <c r="I131" s="63">
        <f>'1 уровень'!J329</f>
        <v>343.90151869940456</v>
      </c>
      <c r="J131" s="104"/>
      <c r="L131" s="729"/>
    </row>
    <row r="132" spans="1:185" ht="30" x14ac:dyDescent="0.25">
      <c r="A132" s="117" t="s">
        <v>111</v>
      </c>
      <c r="B132" s="50">
        <f>'1 уровень'!C330</f>
        <v>371</v>
      </c>
      <c r="C132" s="50">
        <f>'1 уровень'!D330</f>
        <v>124</v>
      </c>
      <c r="D132" s="50">
        <f>'1 уровень'!E330</f>
        <v>280</v>
      </c>
      <c r="E132" s="181">
        <f>'1 уровень'!F330</f>
        <v>225.80645161290326</v>
      </c>
      <c r="F132" s="63">
        <f>'1 уровень'!G330</f>
        <v>2028.7764</v>
      </c>
      <c r="G132" s="63">
        <f>'1 уровень'!H330</f>
        <v>676.26</v>
      </c>
      <c r="H132" s="63">
        <f>'1 уровень'!I330</f>
        <v>1531.152</v>
      </c>
      <c r="I132" s="63">
        <f>'1 уровень'!J330</f>
        <v>226.41469257386214</v>
      </c>
      <c r="J132" s="104"/>
      <c r="L132" s="729"/>
    </row>
    <row r="133" spans="1:185" ht="30" x14ac:dyDescent="0.25">
      <c r="A133" s="543" t="s">
        <v>112</v>
      </c>
      <c r="B133" s="540">
        <f>'1 уровень'!C331</f>
        <v>14763</v>
      </c>
      <c r="C133" s="540">
        <f>'1 уровень'!D331</f>
        <v>4921</v>
      </c>
      <c r="D133" s="540">
        <f>'1 уровень'!E331</f>
        <v>4733</v>
      </c>
      <c r="E133" s="541">
        <f>'1 уровень'!F331</f>
        <v>96.179638284901444</v>
      </c>
      <c r="F133" s="544">
        <f>'1 уровень'!G331</f>
        <v>29050.4709</v>
      </c>
      <c r="G133" s="544">
        <f>'1 уровень'!H331</f>
        <v>9683.49</v>
      </c>
      <c r="H133" s="544">
        <f>'1 уровень'!I331</f>
        <v>7525.7958100000014</v>
      </c>
      <c r="I133" s="544">
        <f>'1 уровень'!J331</f>
        <v>77.717804324680472</v>
      </c>
      <c r="J133" s="104"/>
      <c r="L133" s="729"/>
    </row>
    <row r="134" spans="1:185" ht="30" x14ac:dyDescent="0.25">
      <c r="A134" s="117" t="s">
        <v>108</v>
      </c>
      <c r="B134" s="50">
        <f>'1 уровень'!C332</f>
        <v>3000</v>
      </c>
      <c r="C134" s="50">
        <f>'1 уровень'!D332</f>
        <v>1000</v>
      </c>
      <c r="D134" s="50">
        <f>'1 уровень'!E332</f>
        <v>664</v>
      </c>
      <c r="E134" s="181">
        <f>'1 уровень'!F332</f>
        <v>66.400000000000006</v>
      </c>
      <c r="F134" s="63">
        <f>'1 уровень'!G332</f>
        <v>5301.3</v>
      </c>
      <c r="G134" s="63">
        <f>'1 уровень'!H332</f>
        <v>1767.1</v>
      </c>
      <c r="H134" s="63">
        <f>'1 уровень'!I332</f>
        <v>1176.8435200000001</v>
      </c>
      <c r="I134" s="63">
        <f>'1 уровень'!J332</f>
        <v>66.597448927621542</v>
      </c>
      <c r="J134" s="104"/>
      <c r="L134" s="729"/>
    </row>
    <row r="135" spans="1:185" ht="60" x14ac:dyDescent="0.25">
      <c r="A135" s="117" t="s">
        <v>81</v>
      </c>
      <c r="B135" s="50">
        <f>'1 уровень'!C333</f>
        <v>9571</v>
      </c>
      <c r="C135" s="50">
        <f>'1 уровень'!D333</f>
        <v>3190</v>
      </c>
      <c r="D135" s="50">
        <f>'1 уровень'!E333</f>
        <v>2769</v>
      </c>
      <c r="E135" s="181">
        <f>'1 уровень'!F333</f>
        <v>86.8025078369906</v>
      </c>
      <c r="F135" s="63">
        <f>'1 уровень'!G333</f>
        <v>21958.745300000002</v>
      </c>
      <c r="G135" s="63">
        <f>'1 уровень'!H333</f>
        <v>7319.58</v>
      </c>
      <c r="H135" s="63">
        <f>'1 уровень'!I333</f>
        <v>5206.5584000000008</v>
      </c>
      <c r="I135" s="63">
        <f>'1 уровень'!J333</f>
        <v>71.131928334685881</v>
      </c>
      <c r="J135" s="104"/>
      <c r="L135" s="729"/>
    </row>
    <row r="136" spans="1:185" ht="45" x14ac:dyDescent="0.25">
      <c r="A136" s="117" t="s">
        <v>109</v>
      </c>
      <c r="B136" s="50">
        <f>'1 уровень'!C334</f>
        <v>2192</v>
      </c>
      <c r="C136" s="50">
        <f>'1 уровень'!D334</f>
        <v>731</v>
      </c>
      <c r="D136" s="50">
        <f>'1 уровень'!E334</f>
        <v>1300</v>
      </c>
      <c r="E136" s="181">
        <f>'1 уровень'!F334</f>
        <v>177.83857729138165</v>
      </c>
      <c r="F136" s="63">
        <f>'1 уровень'!G334</f>
        <v>1790.4256</v>
      </c>
      <c r="G136" s="63">
        <f>'1 уровень'!H334</f>
        <v>596.80999999999995</v>
      </c>
      <c r="H136" s="63">
        <f>'1 уровень'!I334</f>
        <v>1142.3938899999998</v>
      </c>
      <c r="I136" s="63">
        <f>'1 уровень'!J334</f>
        <v>191.4166803505303</v>
      </c>
      <c r="J136" s="104"/>
      <c r="L136" s="729"/>
    </row>
    <row r="137" spans="1:185" ht="30" x14ac:dyDescent="0.25">
      <c r="A137" s="668" t="s">
        <v>123</v>
      </c>
      <c r="B137" s="50">
        <f>'1 уровень'!C335</f>
        <v>33786</v>
      </c>
      <c r="C137" s="50">
        <f>'1 уровень'!D335</f>
        <v>11262</v>
      </c>
      <c r="D137" s="50">
        <f>'1 уровень'!E335</f>
        <v>11341</v>
      </c>
      <c r="E137" s="181">
        <f>'1 уровень'!F335</f>
        <v>100.70147398330668</v>
      </c>
      <c r="F137" s="63">
        <f>'1 уровень'!G335</f>
        <v>27401.121719999999</v>
      </c>
      <c r="G137" s="63">
        <f>'1 уровень'!H335</f>
        <v>9133.7099999999991</v>
      </c>
      <c r="H137" s="63">
        <f>'1 уровень'!I335</f>
        <v>9187.3576299999986</v>
      </c>
      <c r="I137" s="63">
        <f>'1 уровень'!J335</f>
        <v>100.58735858703636</v>
      </c>
      <c r="J137" s="104"/>
      <c r="L137" s="729"/>
    </row>
    <row r="138" spans="1:185" ht="30" x14ac:dyDescent="0.25">
      <c r="A138" s="117" t="s">
        <v>124</v>
      </c>
      <c r="B138" s="50">
        <f>'1 уровень'!C336</f>
        <v>670</v>
      </c>
      <c r="C138" s="50">
        <f>'1 уровень'!D336</f>
        <v>223</v>
      </c>
      <c r="D138" s="50">
        <f>'1 уровень'!E336</f>
        <v>250</v>
      </c>
      <c r="E138" s="181">
        <f>'1 уровень'!F336</f>
        <v>112.10762331838563</v>
      </c>
      <c r="F138" s="63">
        <f>'1 уровень'!G336</f>
        <v>543.38339999999994</v>
      </c>
      <c r="G138" s="63">
        <f>'1 уровень'!H336</f>
        <v>181.13</v>
      </c>
      <c r="H138" s="63">
        <f>'1 уровень'!I336</f>
        <v>202.07109999999997</v>
      </c>
      <c r="I138" s="63">
        <f>'1 уровень'!J336</f>
        <v>111.56136476563793</v>
      </c>
      <c r="J138" s="104"/>
      <c r="K138" s="104"/>
      <c r="L138" s="104"/>
    </row>
    <row r="139" spans="1:185" ht="30" x14ac:dyDescent="0.25">
      <c r="A139" s="117" t="s">
        <v>125</v>
      </c>
      <c r="B139" s="50">
        <f>'1 уровень'!C337</f>
        <v>400</v>
      </c>
      <c r="C139" s="50">
        <f>'1 уровень'!D337</f>
        <v>133</v>
      </c>
      <c r="D139" s="50">
        <f>'1 уровень'!E337</f>
        <v>278</v>
      </c>
      <c r="E139" s="181">
        <f>'1 уровень'!F337</f>
        <v>209.02255639097746</v>
      </c>
      <c r="F139" s="63">
        <f>'1 уровень'!G337</f>
        <v>324.40799999999996</v>
      </c>
      <c r="G139" s="63">
        <f>'1 уровень'!H337</f>
        <v>108.14</v>
      </c>
      <c r="H139" s="63">
        <f>'1 уровень'!I337</f>
        <v>223.10373000000001</v>
      </c>
      <c r="I139" s="63">
        <f>'1 уровень'!J337</f>
        <v>206.31008877381171</v>
      </c>
      <c r="J139" s="104"/>
      <c r="K139" s="104"/>
      <c r="L139" s="104"/>
    </row>
    <row r="140" spans="1:185" ht="15.75" thickBot="1" x14ac:dyDescent="0.3">
      <c r="A140" s="109" t="s">
        <v>105</v>
      </c>
      <c r="B140" s="50">
        <f>'1 уровень'!C338</f>
        <v>0</v>
      </c>
      <c r="C140" s="50">
        <f>'1 уровень'!D338</f>
        <v>0</v>
      </c>
      <c r="D140" s="50">
        <f>'1 уровень'!E338</f>
        <v>0</v>
      </c>
      <c r="E140" s="181">
        <f>'1 уровень'!F338</f>
        <v>0</v>
      </c>
      <c r="F140" s="63">
        <f>'1 уровень'!G338</f>
        <v>70165.695959999997</v>
      </c>
      <c r="G140" s="63">
        <f>'1 уровень'!H338</f>
        <v>23388.57</v>
      </c>
      <c r="H140" s="63">
        <f>'1 уровень'!I338</f>
        <v>21935.529050000001</v>
      </c>
      <c r="I140" s="63">
        <f>'1 уровень'!J338</f>
        <v>93.787388668909642</v>
      </c>
      <c r="J140" s="104"/>
      <c r="L140" s="729"/>
    </row>
    <row r="141" spans="1:185" ht="15" customHeight="1" x14ac:dyDescent="0.25">
      <c r="A141" s="97" t="s">
        <v>25</v>
      </c>
      <c r="B141" s="98"/>
      <c r="C141" s="98"/>
      <c r="D141" s="98"/>
      <c r="E141" s="184"/>
      <c r="F141" s="99"/>
      <c r="G141" s="99"/>
      <c r="H141" s="99"/>
      <c r="I141" s="99"/>
      <c r="J141" s="104"/>
      <c r="L141" s="729"/>
    </row>
    <row r="142" spans="1:185" ht="30" x14ac:dyDescent="0.25">
      <c r="A142" s="543" t="s">
        <v>120</v>
      </c>
      <c r="B142" s="540">
        <f>'1 уровень'!C352</f>
        <v>3368</v>
      </c>
      <c r="C142" s="540">
        <f>'1 уровень'!D352</f>
        <v>1123</v>
      </c>
      <c r="D142" s="540">
        <f>'1 уровень'!E352</f>
        <v>1018</v>
      </c>
      <c r="E142" s="541">
        <f>'1 уровень'!F352</f>
        <v>90.650044523597501</v>
      </c>
      <c r="F142" s="544">
        <f>'1 уровень'!G352</f>
        <v>5553.6662100000003</v>
      </c>
      <c r="G142" s="544">
        <f>'1 уровень'!H352</f>
        <v>1851.2199999999998</v>
      </c>
      <c r="H142" s="544">
        <f>'1 уровень'!I352</f>
        <v>2021.9455999999998</v>
      </c>
      <c r="I142" s="544">
        <f>'1 уровень'!J352</f>
        <v>109.22232905867482</v>
      </c>
      <c r="J142" s="104"/>
      <c r="L142" s="729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17" t="s">
        <v>79</v>
      </c>
      <c r="B143" s="50">
        <f>'1 уровень'!C353</f>
        <v>2428</v>
      </c>
      <c r="C143" s="50">
        <f>'1 уровень'!D353</f>
        <v>809</v>
      </c>
      <c r="D143" s="50">
        <f>'1 уровень'!E353</f>
        <v>734</v>
      </c>
      <c r="E143" s="181">
        <f>'1 уровень'!F353</f>
        <v>90.72929542645241</v>
      </c>
      <c r="F143" s="63">
        <f>'1 уровень'!G353</f>
        <v>3299.7075999999997</v>
      </c>
      <c r="G143" s="63">
        <f>'1 уровень'!H353</f>
        <v>1099.9000000000001</v>
      </c>
      <c r="H143" s="63">
        <f>'1 уровень'!I353</f>
        <v>852.2530099999999</v>
      </c>
      <c r="I143" s="63">
        <f>'1 уровень'!J353</f>
        <v>77.484590417310656</v>
      </c>
      <c r="J143" s="104"/>
      <c r="L143" s="729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17" t="s">
        <v>80</v>
      </c>
      <c r="B144" s="50">
        <f>'1 уровень'!C354</f>
        <v>728</v>
      </c>
      <c r="C144" s="50">
        <f>'1 уровень'!D354</f>
        <v>243</v>
      </c>
      <c r="D144" s="50">
        <f>'1 уровень'!E354</f>
        <v>96</v>
      </c>
      <c r="E144" s="181">
        <f>'1 уровень'!F354</f>
        <v>39.506172839506171</v>
      </c>
      <c r="F144" s="63">
        <f>'1 уровень'!G354</f>
        <v>1094.6578100000002</v>
      </c>
      <c r="G144" s="63">
        <f>'1 уровень'!H354</f>
        <v>364.89</v>
      </c>
      <c r="H144" s="63">
        <f>'1 уровень'!I354</f>
        <v>141.63339000000002</v>
      </c>
      <c r="I144" s="63">
        <f>'1 уровень'!J354</f>
        <v>38.81536627476774</v>
      </c>
      <c r="J144" s="104"/>
      <c r="L144" s="729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17" t="s">
        <v>110</v>
      </c>
      <c r="B145" s="50">
        <f>'1 уровень'!C355</f>
        <v>36</v>
      </c>
      <c r="C145" s="50">
        <f>'1 уровень'!D355</f>
        <v>12</v>
      </c>
      <c r="D145" s="50">
        <f>'1 уровень'!E355</f>
        <v>38</v>
      </c>
      <c r="E145" s="181">
        <f>'1 уровень'!F355</f>
        <v>316.66666666666663</v>
      </c>
      <c r="F145" s="63">
        <f>'1 уровень'!G355</f>
        <v>196.86240000000001</v>
      </c>
      <c r="G145" s="63">
        <f>'1 уровень'!H355</f>
        <v>65.62</v>
      </c>
      <c r="H145" s="63">
        <f>'1 уровень'!I355</f>
        <v>207.79919999999998</v>
      </c>
      <c r="I145" s="63">
        <f>'1 уровень'!J355</f>
        <v>316.67052727826876</v>
      </c>
      <c r="J145" s="104"/>
      <c r="L145" s="729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17" t="s">
        <v>111</v>
      </c>
      <c r="B146" s="50">
        <f>'1 уровень'!C356</f>
        <v>176</v>
      </c>
      <c r="C146" s="50">
        <f>'1 уровень'!D356</f>
        <v>59</v>
      </c>
      <c r="D146" s="50">
        <f>'1 уровень'!E356</f>
        <v>150</v>
      </c>
      <c r="E146" s="181">
        <f>'1 уровень'!F356</f>
        <v>254.23728813559322</v>
      </c>
      <c r="F146" s="63">
        <f>'1 уровень'!G356</f>
        <v>962.43839999999989</v>
      </c>
      <c r="G146" s="63">
        <f>'1 уровень'!H356</f>
        <v>320.81</v>
      </c>
      <c r="H146" s="63">
        <f>'1 уровень'!I356</f>
        <v>820.26</v>
      </c>
      <c r="I146" s="63">
        <f>'1 уровень'!J356</f>
        <v>255.68404974907267</v>
      </c>
      <c r="J146" s="104"/>
      <c r="L146" s="729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43" t="s">
        <v>112</v>
      </c>
      <c r="B147" s="540">
        <f>'1 уровень'!C357</f>
        <v>5552</v>
      </c>
      <c r="C147" s="540">
        <f>'1 уровень'!D357</f>
        <v>1851</v>
      </c>
      <c r="D147" s="540">
        <f>'1 уровень'!E357</f>
        <v>1699</v>
      </c>
      <c r="E147" s="541">
        <f>'1 уровень'!F357</f>
        <v>91.788222582387903</v>
      </c>
      <c r="F147" s="544">
        <f>'1 уровень'!G357</f>
        <v>10392.8236</v>
      </c>
      <c r="G147" s="544">
        <f>'1 уровень'!H357</f>
        <v>3464.2700000000004</v>
      </c>
      <c r="H147" s="544">
        <f>'1 уровень'!I357</f>
        <v>3101.91554</v>
      </c>
      <c r="I147" s="544">
        <f>'1 уровень'!J357</f>
        <v>89.540236182514633</v>
      </c>
      <c r="J147" s="104"/>
      <c r="L147" s="729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17" t="s">
        <v>108</v>
      </c>
      <c r="B148" s="50">
        <f>'1 уровень'!C358</f>
        <v>1500</v>
      </c>
      <c r="C148" s="50">
        <f>'1 уровень'!D358</f>
        <v>500</v>
      </c>
      <c r="D148" s="50">
        <f>'1 уровень'!E358</f>
        <v>327</v>
      </c>
      <c r="E148" s="181">
        <f>'1 уровень'!F358</f>
        <v>65.400000000000006</v>
      </c>
      <c r="F148" s="63">
        <f>'1 уровень'!G358</f>
        <v>2650.65</v>
      </c>
      <c r="G148" s="63">
        <f>'1 уровень'!H358</f>
        <v>883.55</v>
      </c>
      <c r="H148" s="63">
        <f>'1 уровень'!I358</f>
        <v>583.29971999999998</v>
      </c>
      <c r="I148" s="63">
        <f>'1 уровень'!J358</f>
        <v>66.017737536076055</v>
      </c>
      <c r="J148" s="104"/>
      <c r="L148" s="729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17" t="s">
        <v>81</v>
      </c>
      <c r="B149" s="50">
        <f>'1 уровень'!C359</f>
        <v>3000</v>
      </c>
      <c r="C149" s="50">
        <f>'1 уровень'!D359</f>
        <v>1000</v>
      </c>
      <c r="D149" s="50">
        <f>'1 уровень'!E359</f>
        <v>995</v>
      </c>
      <c r="E149" s="181">
        <f>'1 уровень'!F359</f>
        <v>99.5</v>
      </c>
      <c r="F149" s="63">
        <f>'1 уровень'!G359</f>
        <v>6882.9</v>
      </c>
      <c r="G149" s="63">
        <f>'1 уровень'!H359</f>
        <v>2294.3000000000002</v>
      </c>
      <c r="H149" s="63">
        <f>'1 уровень'!I359</f>
        <v>2214.9833100000001</v>
      </c>
      <c r="I149" s="63">
        <f>'1 уровень'!J359</f>
        <v>96.542880617181709</v>
      </c>
      <c r="J149" s="104"/>
      <c r="L149" s="729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17" t="s">
        <v>109</v>
      </c>
      <c r="B150" s="50">
        <f>'1 уровень'!C360</f>
        <v>1052</v>
      </c>
      <c r="C150" s="50">
        <f>'1 уровень'!D360</f>
        <v>351</v>
      </c>
      <c r="D150" s="50">
        <f>'1 уровень'!E360</f>
        <v>377</v>
      </c>
      <c r="E150" s="181">
        <f>'1 уровень'!F360</f>
        <v>107.40740740740742</v>
      </c>
      <c r="F150" s="63">
        <f>'1 уровень'!G360</f>
        <v>859.27359999999999</v>
      </c>
      <c r="G150" s="63">
        <f>'1 уровень'!H360</f>
        <v>286.42</v>
      </c>
      <c r="H150" s="63">
        <f>'1 уровень'!I360</f>
        <v>303.63251000000002</v>
      </c>
      <c r="I150" s="63">
        <f>'1 уровень'!J360</f>
        <v>106.00953494867677</v>
      </c>
      <c r="J150" s="104"/>
      <c r="L150" s="729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68" t="s">
        <v>123</v>
      </c>
      <c r="B151" s="50">
        <f>'1 уровень'!C349</f>
        <v>8400</v>
      </c>
      <c r="C151" s="50">
        <f>'1 уровень'!D349</f>
        <v>2800</v>
      </c>
      <c r="D151" s="50">
        <f>'1 уровень'!E349</f>
        <v>1857</v>
      </c>
      <c r="E151" s="181">
        <f>'1 уровень'!F349</f>
        <v>66.321428571428569</v>
      </c>
      <c r="F151" s="63">
        <f>'1 уровень'!G349</f>
        <v>6812.5680000000002</v>
      </c>
      <c r="G151" s="63">
        <f>'1 уровень'!H349</f>
        <v>2270.86</v>
      </c>
      <c r="H151" s="63">
        <f>'1 уровень'!I349</f>
        <v>1478.1314299999999</v>
      </c>
      <c r="I151" s="63">
        <f>'1 уровень'!J349</f>
        <v>65.091261900777681</v>
      </c>
      <c r="J151" s="104"/>
      <c r="K151" s="104"/>
      <c r="L151" s="104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09" t="s">
        <v>106</v>
      </c>
      <c r="B152" s="50">
        <f>'1 уровень'!C362</f>
        <v>0</v>
      </c>
      <c r="C152" s="50">
        <f>'1 уровень'!D362</f>
        <v>0</v>
      </c>
      <c r="D152" s="50">
        <f>'1 уровень'!E362</f>
        <v>0</v>
      </c>
      <c r="E152" s="181">
        <f>'1 уровень'!F362</f>
        <v>0</v>
      </c>
      <c r="F152" s="63">
        <f>'1 уровень'!G362</f>
        <v>22759.057809999998</v>
      </c>
      <c r="G152" s="63">
        <f>'1 уровень'!H362</f>
        <v>7586.35</v>
      </c>
      <c r="H152" s="63">
        <f>'1 уровень'!I362</f>
        <v>6601.9925700000003</v>
      </c>
      <c r="I152" s="63">
        <f>'1 уровень'!J362</f>
        <v>87.024624094590948</v>
      </c>
      <c r="J152" s="104"/>
      <c r="L152" s="729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7" t="s">
        <v>26</v>
      </c>
      <c r="B153" s="98"/>
      <c r="C153" s="98"/>
      <c r="D153" s="98"/>
      <c r="E153" s="184"/>
      <c r="F153" s="100"/>
      <c r="G153" s="100"/>
      <c r="H153" s="100"/>
      <c r="I153" s="100"/>
      <c r="J153" s="104"/>
      <c r="L153" s="729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43" t="s">
        <v>120</v>
      </c>
      <c r="B154" s="540">
        <f>'2 уровень'!C251</f>
        <v>4546</v>
      </c>
      <c r="C154" s="540">
        <f>'2 уровень'!D251</f>
        <v>1516</v>
      </c>
      <c r="D154" s="540">
        <f>'2 уровень'!E251</f>
        <v>1820</v>
      </c>
      <c r="E154" s="541">
        <f>'2 уровень'!F251</f>
        <v>120.05277044854881</v>
      </c>
      <c r="F154" s="544">
        <f>'2 уровень'!G251</f>
        <v>7810.0555000000004</v>
      </c>
      <c r="G154" s="544">
        <f>'2 уровень'!H251</f>
        <v>2603.34</v>
      </c>
      <c r="H154" s="544">
        <f>'2 уровень'!I251</f>
        <v>3269.8073700000004</v>
      </c>
      <c r="I154" s="544">
        <f>'2 уровень'!J251</f>
        <v>125.6004736223467</v>
      </c>
      <c r="J154" s="104"/>
      <c r="L154" s="729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17" t="s">
        <v>79</v>
      </c>
      <c r="B155" s="252">
        <f>'2 уровень'!C252</f>
        <v>3338</v>
      </c>
      <c r="C155" s="252">
        <f>'2 уровень'!D252</f>
        <v>1113</v>
      </c>
      <c r="D155" s="50">
        <f>'2 уровень'!E252</f>
        <v>1273</v>
      </c>
      <c r="E155" s="253">
        <f>'2 уровень'!F252</f>
        <v>114.37556154537288</v>
      </c>
      <c r="F155" s="194">
        <f>'2 уровень'!G252</f>
        <v>4656.8214000000007</v>
      </c>
      <c r="G155" s="194">
        <f>'2 уровень'!H252</f>
        <v>1552.27</v>
      </c>
      <c r="H155" s="63">
        <f>'2 уровень'!I252</f>
        <v>1857.7019500000001</v>
      </c>
      <c r="I155" s="194">
        <f>'2 уровень'!J252</f>
        <v>119.67647058823529</v>
      </c>
      <c r="J155" s="104"/>
      <c r="L155" s="729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17" t="s">
        <v>80</v>
      </c>
      <c r="B156" s="252">
        <f>'2 уровень'!C253</f>
        <v>1001</v>
      </c>
      <c r="C156" s="252">
        <f>'2 уровень'!D253</f>
        <v>334</v>
      </c>
      <c r="D156" s="50">
        <f>'2 уровень'!E253</f>
        <v>445</v>
      </c>
      <c r="E156" s="253">
        <f>'2 уровень'!F253</f>
        <v>133.23353293413174</v>
      </c>
      <c r="F156" s="194">
        <f>'2 уровень'!G253</f>
        <v>1794.88354</v>
      </c>
      <c r="G156" s="194">
        <f>'2 уровень'!H253</f>
        <v>598.29</v>
      </c>
      <c r="H156" s="63">
        <f>'2 уровень'!I253</f>
        <v>742.77326000000016</v>
      </c>
      <c r="I156" s="194">
        <f>'2 уровень'!J253</f>
        <v>124.14936903508335</v>
      </c>
      <c r="J156" s="104"/>
      <c r="L156" s="729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17" t="s">
        <v>110</v>
      </c>
      <c r="B157" s="252">
        <f>'2 уровень'!C254</f>
        <v>67</v>
      </c>
      <c r="C157" s="252">
        <f>'2 уровень'!D254</f>
        <v>22</v>
      </c>
      <c r="D157" s="50">
        <f>'2 уровень'!E254</f>
        <v>0</v>
      </c>
      <c r="E157" s="253">
        <f>'2 уровень'!F254</f>
        <v>0</v>
      </c>
      <c r="F157" s="194">
        <f>'2 уровень'!G254</f>
        <v>439.65935999999999</v>
      </c>
      <c r="G157" s="194">
        <f>'2 уровень'!H254</f>
        <v>146.55000000000001</v>
      </c>
      <c r="H157" s="63">
        <f>'2 уровень'!I254</f>
        <v>0</v>
      </c>
      <c r="I157" s="194">
        <f>'2 уровень'!J254</f>
        <v>0</v>
      </c>
      <c r="J157" s="104"/>
      <c r="L157" s="729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17" t="s">
        <v>111</v>
      </c>
      <c r="B158" s="252">
        <f>'2 уровень'!C255</f>
        <v>140</v>
      </c>
      <c r="C158" s="252">
        <f>'2 уровень'!D255</f>
        <v>47</v>
      </c>
      <c r="D158" s="50">
        <f>'2 уровень'!E255</f>
        <v>102</v>
      </c>
      <c r="E158" s="253">
        <f>'2 уровень'!F255</f>
        <v>217.02127659574467</v>
      </c>
      <c r="F158" s="194">
        <f>'2 уровень'!G255</f>
        <v>918.69119999999998</v>
      </c>
      <c r="G158" s="194">
        <f>'2 уровень'!H255</f>
        <v>306.23</v>
      </c>
      <c r="H158" s="63">
        <f>'2 уровень'!I255</f>
        <v>669.33216000000004</v>
      </c>
      <c r="I158" s="194">
        <f>'2 уровень'!J255</f>
        <v>218.57171407112301</v>
      </c>
      <c r="J158" s="104"/>
      <c r="L158" s="729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43" t="s">
        <v>112</v>
      </c>
      <c r="B159" s="540">
        <f>'2 уровень'!C256</f>
        <v>8964</v>
      </c>
      <c r="C159" s="540">
        <f>'2 уровень'!D256</f>
        <v>2987</v>
      </c>
      <c r="D159" s="540">
        <f>'2 уровень'!E256</f>
        <v>3053</v>
      </c>
      <c r="E159" s="541">
        <f>'2 уровень'!F256</f>
        <v>102.20957482423836</v>
      </c>
      <c r="F159" s="544">
        <f>'2 уровень'!G256</f>
        <v>20554.01211</v>
      </c>
      <c r="G159" s="544">
        <f>'2 уровень'!H256</f>
        <v>6851.34</v>
      </c>
      <c r="H159" s="544">
        <f>'2 уровень'!I256</f>
        <v>9502.4985800000013</v>
      </c>
      <c r="I159" s="544">
        <f>'2 уровень'!J256</f>
        <v>138.69547533767118</v>
      </c>
      <c r="J159" s="104"/>
      <c r="L159" s="729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17" t="s">
        <v>108</v>
      </c>
      <c r="B160" s="252">
        <f>'2 уровень'!C257</f>
        <v>700</v>
      </c>
      <c r="C160" s="252">
        <f>'2 уровень'!D257</f>
        <v>233</v>
      </c>
      <c r="D160" s="50">
        <f>'2 уровень'!E257</f>
        <v>339</v>
      </c>
      <c r="E160" s="253">
        <f>'2 уровень'!F257</f>
        <v>145.49356223175965</v>
      </c>
      <c r="F160" s="194">
        <f>'2 уровень'!G257</f>
        <v>1484.357</v>
      </c>
      <c r="G160" s="194">
        <f>'2 уровень'!H257</f>
        <v>494.79</v>
      </c>
      <c r="H160" s="63">
        <f>'2 уровень'!I257</f>
        <v>712.15985000000001</v>
      </c>
      <c r="I160" s="194">
        <f>'2 уровень'!J257</f>
        <v>143.93173871743568</v>
      </c>
      <c r="J160" s="104"/>
      <c r="L160" s="729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17" t="s">
        <v>81</v>
      </c>
      <c r="B161" s="252">
        <f>'2 уровень'!C258</f>
        <v>6187</v>
      </c>
      <c r="C161" s="252">
        <f>'2 уровень'!D258</f>
        <v>2062</v>
      </c>
      <c r="D161" s="50">
        <f>'2 уровень'!E258</f>
        <v>1878</v>
      </c>
      <c r="E161" s="253">
        <f>'2 уровень'!F258</f>
        <v>91.076624636275454</v>
      </c>
      <c r="F161" s="194">
        <f>'2 уровень'!G258</f>
        <v>17033.862789999999</v>
      </c>
      <c r="G161" s="194">
        <f>'2 уровень'!H258</f>
        <v>5677.95</v>
      </c>
      <c r="H161" s="63">
        <f>'2 уровень'!I258</f>
        <v>7902.6480900000006</v>
      </c>
      <c r="I161" s="194">
        <f>'2 уровень'!J258</f>
        <v>139.18136105460599</v>
      </c>
      <c r="J161" s="104"/>
      <c r="L161" s="729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17" t="s">
        <v>109</v>
      </c>
      <c r="B162" s="252">
        <f>'2 уровень'!C259</f>
        <v>2077</v>
      </c>
      <c r="C162" s="252">
        <f>'2 уровень'!D259</f>
        <v>692</v>
      </c>
      <c r="D162" s="50">
        <f>'2 уровень'!E259</f>
        <v>836</v>
      </c>
      <c r="E162" s="253">
        <f>'2 уровень'!F259</f>
        <v>120.80924855491328</v>
      </c>
      <c r="F162" s="194">
        <f>'2 уровень'!G259</f>
        <v>2035.79232</v>
      </c>
      <c r="G162" s="194">
        <f>'2 уровень'!H259</f>
        <v>678.6</v>
      </c>
      <c r="H162" s="63">
        <f>'2 уровень'!I259</f>
        <v>887.69063999999992</v>
      </c>
      <c r="I162" s="194">
        <f>'2 уровень'!J259</f>
        <v>130.81206012378425</v>
      </c>
      <c r="J162" s="104"/>
      <c r="L162" s="729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17" t="s">
        <v>123</v>
      </c>
      <c r="B163" s="252">
        <f>'2 уровень'!C260</f>
        <v>9234</v>
      </c>
      <c r="C163" s="252">
        <f>'2 уровень'!D260</f>
        <v>3078</v>
      </c>
      <c r="D163" s="50">
        <f>'2 уровень'!E260</f>
        <v>3056</v>
      </c>
      <c r="E163" s="253">
        <f>'2 уровень'!F260</f>
        <v>99.285250162443134</v>
      </c>
      <c r="F163" s="194">
        <f>'2 уровень'!G260</f>
        <v>8986.7134800000003</v>
      </c>
      <c r="G163" s="194">
        <f>'2 уровень'!H260</f>
        <v>2995.57</v>
      </c>
      <c r="H163" s="63">
        <f>'2 уровень'!I260</f>
        <v>2935.4725400000007</v>
      </c>
      <c r="I163" s="194">
        <f>'2 уровень'!J260</f>
        <v>97.993788828169613</v>
      </c>
      <c r="J163" s="104"/>
      <c r="K163" s="104"/>
      <c r="L163" s="104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17" t="s">
        <v>124</v>
      </c>
      <c r="B164" s="252">
        <f>'2 уровень'!C261</f>
        <v>910</v>
      </c>
      <c r="C164" s="252">
        <f>'2 уровень'!D261</f>
        <v>303</v>
      </c>
      <c r="D164" s="50">
        <f>'2 уровень'!E261</f>
        <v>611</v>
      </c>
      <c r="E164" s="253">
        <f>'2 уровень'!F261</f>
        <v>201.65016501650163</v>
      </c>
      <c r="F164" s="194">
        <f>'2 уровень'!G261</f>
        <v>885.63020000000006</v>
      </c>
      <c r="G164" s="194">
        <f>'2 уровень'!H261</f>
        <v>295.20999999999998</v>
      </c>
      <c r="H164" s="63">
        <f>'2 уровень'!I261</f>
        <v>583.19751000000008</v>
      </c>
      <c r="I164" s="194">
        <f>'2 уровень'!J261</f>
        <v>197.55343992412185</v>
      </c>
      <c r="J164" s="104"/>
      <c r="K164" s="104"/>
      <c r="L164" s="104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17" t="s">
        <v>125</v>
      </c>
      <c r="B165" s="252">
        <f>'2 уровень'!C262</f>
        <v>0</v>
      </c>
      <c r="C165" s="252">
        <f>'2 уровень'!D262</f>
        <v>0</v>
      </c>
      <c r="D165" s="50">
        <f>'2 уровень'!E262</f>
        <v>0</v>
      </c>
      <c r="E165" s="253">
        <f>'2 уровень'!F262</f>
        <v>0</v>
      </c>
      <c r="F165" s="194">
        <f>'2 уровень'!G262</f>
        <v>0</v>
      </c>
      <c r="G165" s="194">
        <f>'2 уровень'!H262</f>
        <v>0</v>
      </c>
      <c r="H165" s="63">
        <f>'2 уровень'!I262</f>
        <v>0</v>
      </c>
      <c r="I165" s="194">
        <f>'2 уровень'!J262</f>
        <v>0</v>
      </c>
      <c r="J165" s="104"/>
      <c r="K165" s="104"/>
      <c r="L165" s="104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3" t="s">
        <v>4</v>
      </c>
      <c r="B166" s="252">
        <f>'2 уровень'!C263</f>
        <v>0</v>
      </c>
      <c r="C166" s="252">
        <f>'2 уровень'!D263</f>
        <v>0</v>
      </c>
      <c r="D166" s="50">
        <f>'2 уровень'!E263</f>
        <v>0</v>
      </c>
      <c r="E166" s="253">
        <f>'2 уровень'!F263</f>
        <v>0</v>
      </c>
      <c r="F166" s="194">
        <f>'2 уровень'!G263</f>
        <v>37350.781089999997</v>
      </c>
      <c r="G166" s="194">
        <f>'2 уровень'!H263</f>
        <v>12450.25</v>
      </c>
      <c r="H166" s="63">
        <f>'2 уровень'!I263</f>
        <v>15707.778490000002</v>
      </c>
      <c r="I166" s="194">
        <f>'2 уровень'!J263</f>
        <v>126.16436208108273</v>
      </c>
      <c r="J166" s="104"/>
      <c r="L166" s="729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7" t="s">
        <v>14</v>
      </c>
      <c r="B167" s="98"/>
      <c r="C167" s="98"/>
      <c r="D167" s="98"/>
      <c r="E167" s="184"/>
      <c r="F167" s="99"/>
      <c r="G167" s="99"/>
      <c r="H167" s="99"/>
      <c r="I167" s="99"/>
      <c r="J167" s="104"/>
      <c r="L167" s="729"/>
    </row>
    <row r="168" spans="1:185" ht="30" x14ac:dyDescent="0.25">
      <c r="A168" s="543" t="s">
        <v>120</v>
      </c>
      <c r="B168" s="540">
        <f>'2 уровень'!C280</f>
        <v>7401</v>
      </c>
      <c r="C168" s="540">
        <f>'2 уровень'!D280</f>
        <v>2467</v>
      </c>
      <c r="D168" s="540">
        <f>'2 уровень'!E280</f>
        <v>2851</v>
      </c>
      <c r="E168" s="541">
        <f>'2 уровень'!F280</f>
        <v>115.56546412646939</v>
      </c>
      <c r="F168" s="544">
        <f>'2 уровень'!G280</f>
        <v>12361.96379</v>
      </c>
      <c r="G168" s="544">
        <f>'2 уровень'!H280</f>
        <v>4120.6500000000005</v>
      </c>
      <c r="H168" s="544">
        <f>'2 уровень'!I280</f>
        <v>5191.5599999999995</v>
      </c>
      <c r="I168" s="544">
        <f>'2 уровень'!J280</f>
        <v>125.98886098067051</v>
      </c>
      <c r="J168" s="104"/>
      <c r="L168" s="729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17" t="s">
        <v>79</v>
      </c>
      <c r="B169" s="50">
        <f>'2 уровень'!C281</f>
        <v>5485</v>
      </c>
      <c r="C169" s="50">
        <f>'2 уровень'!D281</f>
        <v>1828</v>
      </c>
      <c r="D169" s="50">
        <f>'2 уровень'!E281</f>
        <v>2273</v>
      </c>
      <c r="E169" s="181">
        <f>'2 уровень'!F281</f>
        <v>124.34354485776807</v>
      </c>
      <c r="F169" s="63">
        <f>'2 уровень'!G281</f>
        <v>7514.5098000000007</v>
      </c>
      <c r="G169" s="63">
        <f>'2 уровень'!H281</f>
        <v>2504.84</v>
      </c>
      <c r="H169" s="63">
        <f>'2 уровень'!I281</f>
        <v>2898.4552899999999</v>
      </c>
      <c r="I169" s="63">
        <f>'2 уровень'!J281</f>
        <v>115.71418893023106</v>
      </c>
      <c r="J169" s="104"/>
      <c r="L169" s="729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17" t="s">
        <v>80</v>
      </c>
      <c r="B170" s="50">
        <f>'2 уровень'!C282</f>
        <v>1646</v>
      </c>
      <c r="C170" s="50">
        <f>'2 уровень'!D282</f>
        <v>549</v>
      </c>
      <c r="D170" s="50">
        <f>'2 уровень'!E282</f>
        <v>320</v>
      </c>
      <c r="E170" s="181">
        <f>'2 уровень'!F282</f>
        <v>58.287795992714031</v>
      </c>
      <c r="F170" s="63">
        <f>'2 уровень'!G282</f>
        <v>3075.6923900000002</v>
      </c>
      <c r="G170" s="63">
        <f>'2 уровень'!H282</f>
        <v>1025.23</v>
      </c>
      <c r="H170" s="63">
        <f>'2 уровень'!I282</f>
        <v>600.0880699999999</v>
      </c>
      <c r="I170" s="63">
        <f>'2 уровень'!J282</f>
        <v>58.532043541449227</v>
      </c>
      <c r="J170" s="104"/>
      <c r="L170" s="729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17" t="s">
        <v>110</v>
      </c>
      <c r="B171" s="50">
        <f>'2 уровень'!C283</f>
        <v>120</v>
      </c>
      <c r="C171" s="50">
        <f>'2 уровень'!D283</f>
        <v>40</v>
      </c>
      <c r="D171" s="50">
        <f>'2 уровень'!E283</f>
        <v>134</v>
      </c>
      <c r="E171" s="181">
        <f>'2 уровень'!F283</f>
        <v>335</v>
      </c>
      <c r="F171" s="63">
        <f>'2 уровень'!G283</f>
        <v>787.44960000000003</v>
      </c>
      <c r="G171" s="63">
        <f>'2 уровень'!H283</f>
        <v>262.48</v>
      </c>
      <c r="H171" s="63">
        <f>'2 уровень'!I283</f>
        <v>879.31871999999998</v>
      </c>
      <c r="I171" s="63">
        <f>'2 уровень'!J283</f>
        <v>335.00408412069487</v>
      </c>
      <c r="J171" s="104"/>
      <c r="L171" s="729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17" t="s">
        <v>111</v>
      </c>
      <c r="B172" s="50">
        <f>'2 уровень'!C284</f>
        <v>150</v>
      </c>
      <c r="C172" s="50">
        <f>'2 уровень'!D284</f>
        <v>50</v>
      </c>
      <c r="D172" s="50">
        <f>'2 уровень'!E284</f>
        <v>124</v>
      </c>
      <c r="E172" s="181">
        <f>'2 уровень'!F284</f>
        <v>248</v>
      </c>
      <c r="F172" s="63">
        <f>'2 уровень'!G284</f>
        <v>984.31200000000001</v>
      </c>
      <c r="G172" s="63">
        <f>'2 уровень'!H284</f>
        <v>328.1</v>
      </c>
      <c r="H172" s="63">
        <f>'2 уровень'!I284</f>
        <v>813.69792000000007</v>
      </c>
      <c r="I172" s="63">
        <f>'2 уровень'!J284</f>
        <v>248.00302346845476</v>
      </c>
      <c r="J172" s="104"/>
      <c r="L172" s="729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43" t="s">
        <v>112</v>
      </c>
      <c r="B173" s="540">
        <f>'2 уровень'!C285</f>
        <v>12174</v>
      </c>
      <c r="C173" s="540">
        <f>'2 уровень'!D285</f>
        <v>4058</v>
      </c>
      <c r="D173" s="540">
        <f>'2 уровень'!E285</f>
        <v>3599</v>
      </c>
      <c r="E173" s="541">
        <f>'2 уровень'!F285</f>
        <v>88.689009364218833</v>
      </c>
      <c r="F173" s="544">
        <f>'2 уровень'!G285</f>
        <v>23609.339840000001</v>
      </c>
      <c r="G173" s="544">
        <f>'2 уровень'!H285</f>
        <v>7869.77</v>
      </c>
      <c r="H173" s="544">
        <f>'2 уровень'!I285</f>
        <v>8302.0052599999999</v>
      </c>
      <c r="I173" s="544">
        <f>'2 уровень'!J285</f>
        <v>105.49234933168312</v>
      </c>
      <c r="J173" s="104"/>
      <c r="L173" s="729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17" t="s">
        <v>108</v>
      </c>
      <c r="B174" s="50">
        <f>'2 уровень'!C286</f>
        <v>600</v>
      </c>
      <c r="C174" s="50">
        <f>'2 уровень'!D286</f>
        <v>200</v>
      </c>
      <c r="D174" s="50">
        <f>'2 уровень'!E286</f>
        <v>215</v>
      </c>
      <c r="E174" s="181">
        <f>'2 уровень'!F286</f>
        <v>107.5</v>
      </c>
      <c r="F174" s="63">
        <f>'2 уровень'!G286</f>
        <v>1272.306</v>
      </c>
      <c r="G174" s="63">
        <f>'2 уровень'!H286</f>
        <v>424.1</v>
      </c>
      <c r="H174" s="63">
        <f>'2 уровень'!I286</f>
        <v>454.27972999999997</v>
      </c>
      <c r="I174" s="63">
        <f>'2 уровень'!J286</f>
        <v>107.11618250412639</v>
      </c>
      <c r="J174" s="104"/>
      <c r="L174" s="729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17" t="s">
        <v>81</v>
      </c>
      <c r="B175" s="50">
        <f>'2 уровень'!C287</f>
        <v>6200</v>
      </c>
      <c r="C175" s="50">
        <f>'2 уровень'!D287</f>
        <v>2067</v>
      </c>
      <c r="D175" s="50">
        <f>'2 уровень'!E287</f>
        <v>2547</v>
      </c>
      <c r="E175" s="181">
        <f>'2 уровень'!F287</f>
        <v>123.22206095791002</v>
      </c>
      <c r="F175" s="63">
        <f>'2 уровень'!G287</f>
        <v>17069.653999999999</v>
      </c>
      <c r="G175" s="63">
        <f>'2 уровень'!H287</f>
        <v>5689.88</v>
      </c>
      <c r="H175" s="63">
        <f>'2 уровень'!I287</f>
        <v>6964.4962100000002</v>
      </c>
      <c r="I175" s="63">
        <f>'2 уровень'!J287</f>
        <v>122.40146031199252</v>
      </c>
      <c r="J175" s="104"/>
      <c r="L175" s="729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17" t="s">
        <v>109</v>
      </c>
      <c r="B176" s="50">
        <f>'2 уровень'!C288</f>
        <v>5374</v>
      </c>
      <c r="C176" s="50">
        <f>'2 уровень'!D288</f>
        <v>1791</v>
      </c>
      <c r="D176" s="50">
        <f>'2 уровень'!E288</f>
        <v>837</v>
      </c>
      <c r="E176" s="181">
        <f>'2 уровень'!F288</f>
        <v>46.733668341708544</v>
      </c>
      <c r="F176" s="63">
        <f>'2 уровень'!G288</f>
        <v>5267.3798399999996</v>
      </c>
      <c r="G176" s="63">
        <f>'2 уровень'!H288</f>
        <v>1755.79</v>
      </c>
      <c r="H176" s="63">
        <f>'2 уровень'!I288</f>
        <v>883.22932000000003</v>
      </c>
      <c r="I176" s="63">
        <f>'2 уровень'!J288</f>
        <v>50.303813098377368</v>
      </c>
      <c r="J176" s="104"/>
      <c r="L176" s="729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17" t="s">
        <v>123</v>
      </c>
      <c r="B177" s="50">
        <f>'2 уровень'!C289</f>
        <v>24500</v>
      </c>
      <c r="C177" s="50">
        <f>'2 уровень'!D289</f>
        <v>8167</v>
      </c>
      <c r="D177" s="50">
        <f>'2 уровень'!E289</f>
        <v>8735</v>
      </c>
      <c r="E177" s="181">
        <f>'2 уровень'!F289</f>
        <v>106.95481817068691</v>
      </c>
      <c r="F177" s="63">
        <f>'2 уровень'!G289</f>
        <v>23843.89</v>
      </c>
      <c r="G177" s="63">
        <f>'2 уровень'!H289</f>
        <v>7947.96</v>
      </c>
      <c r="H177" s="63">
        <f>'2 уровень'!I289</f>
        <v>8427.0654099999992</v>
      </c>
      <c r="I177" s="63">
        <f>'2 уровень'!J289</f>
        <v>106.02802995988907</v>
      </c>
      <c r="J177" s="104"/>
      <c r="K177" s="104"/>
      <c r="L177" s="104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17" t="s">
        <v>124</v>
      </c>
      <c r="B178" s="50">
        <f>'2 уровень'!C290</f>
        <v>2200</v>
      </c>
      <c r="C178" s="50">
        <f>'2 уровень'!D290</f>
        <v>733</v>
      </c>
      <c r="D178" s="50">
        <f>'2 уровень'!E290</f>
        <v>285</v>
      </c>
      <c r="E178" s="181">
        <f>'2 уровень'!F290</f>
        <v>38.881309686221009</v>
      </c>
      <c r="F178" s="63">
        <f>'2 уровень'!G290</f>
        <v>2141.0839999999998</v>
      </c>
      <c r="G178" s="63">
        <f>'2 уровень'!H290</f>
        <v>713.69</v>
      </c>
      <c r="H178" s="63">
        <f>'2 уровень'!I290</f>
        <v>276.38291999999996</v>
      </c>
      <c r="I178" s="63">
        <f>'2 уровень'!J290</f>
        <v>38.725906205775608</v>
      </c>
      <c r="J178" s="104"/>
      <c r="K178" s="104"/>
      <c r="L178" s="104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17" t="s">
        <v>125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1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4"/>
      <c r="K179" s="104"/>
      <c r="L179" s="104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3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1">
        <f>'2 уровень'!F292</f>
        <v>0</v>
      </c>
      <c r="F180" s="63">
        <f>'2 уровень'!G292</f>
        <v>59815.193630000002</v>
      </c>
      <c r="G180" s="63">
        <f>'2 уровень'!H292</f>
        <v>19938.38</v>
      </c>
      <c r="H180" s="63">
        <f>'2 уровень'!I292</f>
        <v>21920.630669999999</v>
      </c>
      <c r="I180" s="63">
        <f>'2 уровень'!J292</f>
        <v>109.94188429551446</v>
      </c>
      <c r="J180" s="104"/>
      <c r="L180" s="729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7" t="s">
        <v>27</v>
      </c>
      <c r="B181" s="98"/>
      <c r="C181" s="98"/>
      <c r="D181" s="98"/>
      <c r="E181" s="184"/>
      <c r="F181" s="99"/>
      <c r="G181" s="99"/>
      <c r="H181" s="99"/>
      <c r="I181" s="99"/>
      <c r="J181" s="104"/>
      <c r="L181" s="729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43" t="s">
        <v>120</v>
      </c>
      <c r="B182" s="540">
        <f>'2 уровень'!C308</f>
        <v>4861</v>
      </c>
      <c r="C182" s="540">
        <f>'2 уровень'!D308</f>
        <v>1620</v>
      </c>
      <c r="D182" s="540">
        <f>'2 уровень'!E308</f>
        <v>1371</v>
      </c>
      <c r="E182" s="541">
        <f>'2 уровень'!F308</f>
        <v>84.629629629629633</v>
      </c>
      <c r="F182" s="544">
        <f>'2 уровень'!G308</f>
        <v>8528.838310000001</v>
      </c>
      <c r="G182" s="544">
        <f>'2 уровень'!H308</f>
        <v>2842.94</v>
      </c>
      <c r="H182" s="544">
        <f>'2 уровень'!I308</f>
        <v>3216.32564</v>
      </c>
      <c r="I182" s="544">
        <f>'2 уровень'!J308</f>
        <v>113.13378544745932</v>
      </c>
      <c r="J182" s="104"/>
      <c r="L182" s="729"/>
    </row>
    <row r="183" spans="1:185" ht="30" x14ac:dyDescent="0.25">
      <c r="A183" s="117" t="s">
        <v>79</v>
      </c>
      <c r="B183" s="50">
        <f>'2 уровень'!C309</f>
        <v>3562</v>
      </c>
      <c r="C183" s="50">
        <f>'2 уровень'!D309</f>
        <v>1187</v>
      </c>
      <c r="D183" s="50">
        <f>'2 уровень'!E309</f>
        <v>877</v>
      </c>
      <c r="E183" s="181">
        <f>'2 уровень'!F309</f>
        <v>73.883740522325198</v>
      </c>
      <c r="F183" s="63">
        <f>'2 уровень'!G309</f>
        <v>5021.9764000000005</v>
      </c>
      <c r="G183" s="63">
        <f>'2 уровень'!H309</f>
        <v>1673.99</v>
      </c>
      <c r="H183" s="63">
        <f>'2 уровень'!I309</f>
        <v>1234.93986</v>
      </c>
      <c r="I183" s="63">
        <f>'2 уровень'!J309</f>
        <v>73.772236393287898</v>
      </c>
      <c r="J183" s="104"/>
      <c r="L183" s="729"/>
    </row>
    <row r="184" spans="1:185" ht="30" x14ac:dyDescent="0.25">
      <c r="A184" s="117" t="s">
        <v>80</v>
      </c>
      <c r="B184" s="50">
        <f>'2 уровень'!C310</f>
        <v>1069</v>
      </c>
      <c r="C184" s="50">
        <f>'2 уровень'!D310</f>
        <v>356</v>
      </c>
      <c r="D184" s="50">
        <f>'2 уровень'!E310</f>
        <v>267</v>
      </c>
      <c r="E184" s="181">
        <f>'2 уровень'!F310</f>
        <v>75</v>
      </c>
      <c r="F184" s="63">
        <f>'2 уровень'!G310</f>
        <v>1997.5835100000002</v>
      </c>
      <c r="G184" s="63">
        <f>'2 уровень'!H310</f>
        <v>665.86</v>
      </c>
      <c r="H184" s="63">
        <f>'2 уровень'!I310</f>
        <v>504.91811999999999</v>
      </c>
      <c r="I184" s="63">
        <f>'2 уровень'!J310</f>
        <v>75.829471660709459</v>
      </c>
      <c r="J184" s="104"/>
      <c r="L184" s="729"/>
    </row>
    <row r="185" spans="1:185" ht="45" x14ac:dyDescent="0.25">
      <c r="A185" s="117" t="s">
        <v>110</v>
      </c>
      <c r="B185" s="50">
        <f>'2 уровень'!C311</f>
        <v>80</v>
      </c>
      <c r="C185" s="50">
        <f>'2 уровень'!D311</f>
        <v>27</v>
      </c>
      <c r="D185" s="50">
        <f>'2 уровень'!E311</f>
        <v>91</v>
      </c>
      <c r="E185" s="181">
        <f>'2 уровень'!F311</f>
        <v>337.03703703703701</v>
      </c>
      <c r="F185" s="63">
        <f>'2 уровень'!G311</f>
        <v>524.96640000000002</v>
      </c>
      <c r="G185" s="63">
        <f>'2 уровень'!H311</f>
        <v>174.99</v>
      </c>
      <c r="H185" s="63">
        <f>'2 уровень'!I311</f>
        <v>597.14927999999998</v>
      </c>
      <c r="I185" s="63">
        <f>'2 уровень'!J311</f>
        <v>341.24765986627807</v>
      </c>
      <c r="J185" s="104"/>
      <c r="L185" s="729"/>
    </row>
    <row r="186" spans="1:185" ht="30" x14ac:dyDescent="0.25">
      <c r="A186" s="117" t="s">
        <v>111</v>
      </c>
      <c r="B186" s="50">
        <f>'2 уровень'!C312</f>
        <v>150</v>
      </c>
      <c r="C186" s="50">
        <f>'2 уровень'!D312</f>
        <v>50</v>
      </c>
      <c r="D186" s="50">
        <f>'2 уровень'!E312</f>
        <v>136</v>
      </c>
      <c r="E186" s="181">
        <f>'2 уровень'!F312</f>
        <v>272</v>
      </c>
      <c r="F186" s="63">
        <f>'2 уровень'!G312</f>
        <v>984.31200000000001</v>
      </c>
      <c r="G186" s="63">
        <f>'2 уровень'!H312</f>
        <v>328.1</v>
      </c>
      <c r="H186" s="63">
        <f>'2 уровень'!I312</f>
        <v>879.31838000000016</v>
      </c>
      <c r="I186" s="63">
        <f>'2 уровень'!J312</f>
        <v>268.00316366961295</v>
      </c>
      <c r="J186" s="104"/>
      <c r="L186" s="729"/>
    </row>
    <row r="187" spans="1:185" ht="30" x14ac:dyDescent="0.25">
      <c r="A187" s="543" t="s">
        <v>112</v>
      </c>
      <c r="B187" s="540">
        <f>'2 уровень'!C313</f>
        <v>11260</v>
      </c>
      <c r="C187" s="540">
        <f>'2 уровень'!D313</f>
        <v>3753</v>
      </c>
      <c r="D187" s="540">
        <f>'2 уровень'!E313</f>
        <v>3173</v>
      </c>
      <c r="E187" s="541">
        <f>'2 уровень'!F313</f>
        <v>84.545696775912603</v>
      </c>
      <c r="F187" s="544">
        <f>'2 уровень'!G313</f>
        <v>21966.778599999998</v>
      </c>
      <c r="G187" s="544">
        <f>'2 уровень'!H313</f>
        <v>7322.26</v>
      </c>
      <c r="H187" s="544">
        <f>'2 уровень'!I313</f>
        <v>8390.1380499999996</v>
      </c>
      <c r="I187" s="544">
        <f>'2 уровень'!J313</f>
        <v>114.58399524190619</v>
      </c>
      <c r="J187" s="104"/>
      <c r="L187" s="729"/>
    </row>
    <row r="188" spans="1:185" ht="30" x14ac:dyDescent="0.25">
      <c r="A188" s="117" t="s">
        <v>108</v>
      </c>
      <c r="B188" s="50">
        <f>'2 уровень'!C314</f>
        <v>1500</v>
      </c>
      <c r="C188" s="50">
        <f>'2 уровень'!D314</f>
        <v>500</v>
      </c>
      <c r="D188" s="50">
        <f>'2 уровень'!E314</f>
        <v>350</v>
      </c>
      <c r="E188" s="181">
        <f>'2 уровень'!F314</f>
        <v>70</v>
      </c>
      <c r="F188" s="63">
        <f>'2 уровень'!G314</f>
        <v>3180.7649999999999</v>
      </c>
      <c r="G188" s="63">
        <f>'2 уровень'!H314</f>
        <v>1060.26</v>
      </c>
      <c r="H188" s="63">
        <f>'2 уровень'!I314</f>
        <v>714.38669999999991</v>
      </c>
      <c r="I188" s="63">
        <f>'2 уровень'!J314</f>
        <v>67.378444909739116</v>
      </c>
      <c r="J188" s="104"/>
      <c r="L188" s="729"/>
    </row>
    <row r="189" spans="1:185" ht="60" x14ac:dyDescent="0.25">
      <c r="A189" s="117" t="s">
        <v>81</v>
      </c>
      <c r="B189" s="50">
        <f>'2 уровень'!C315</f>
        <v>5200</v>
      </c>
      <c r="C189" s="50">
        <f>'2 уровень'!D315</f>
        <v>1733</v>
      </c>
      <c r="D189" s="50">
        <f>'2 уровень'!E315</f>
        <v>2295</v>
      </c>
      <c r="E189" s="181">
        <f>'2 уровень'!F315</f>
        <v>132.42931332948643</v>
      </c>
      <c r="F189" s="63">
        <f>'2 уровень'!G315</f>
        <v>14316.484</v>
      </c>
      <c r="G189" s="63">
        <f>'2 уровень'!H315</f>
        <v>4772.16</v>
      </c>
      <c r="H189" s="63">
        <f>'2 уровень'!I315</f>
        <v>7091.6463800000001</v>
      </c>
      <c r="I189" s="63">
        <f>'2 уровень'!J315</f>
        <v>148.60453924428353</v>
      </c>
      <c r="J189" s="104"/>
      <c r="L189" s="729"/>
    </row>
    <row r="190" spans="1:185" ht="45" x14ac:dyDescent="0.25">
      <c r="A190" s="117" t="s">
        <v>109</v>
      </c>
      <c r="B190" s="50">
        <f>'2 уровень'!C316</f>
        <v>4560</v>
      </c>
      <c r="C190" s="50">
        <f>'2 уровень'!D316</f>
        <v>1520</v>
      </c>
      <c r="D190" s="50">
        <f>'2 уровень'!E316</f>
        <v>528</v>
      </c>
      <c r="E190" s="181">
        <f>'2 уровень'!F316</f>
        <v>34.736842105263158</v>
      </c>
      <c r="F190" s="63">
        <f>'2 уровень'!G316</f>
        <v>4469.5295999999998</v>
      </c>
      <c r="G190" s="63">
        <f>'2 уровень'!H316</f>
        <v>1489.84</v>
      </c>
      <c r="H190" s="63">
        <f>'2 уровень'!I316</f>
        <v>584.10496999999998</v>
      </c>
      <c r="I190" s="63">
        <f>'2 уровень'!J316</f>
        <v>39.205885866938736</v>
      </c>
      <c r="J190" s="104"/>
      <c r="L190" s="729"/>
    </row>
    <row r="191" spans="1:185" ht="30" x14ac:dyDescent="0.25">
      <c r="A191" s="117" t="s">
        <v>123</v>
      </c>
      <c r="B191" s="50">
        <f>'2 уровень'!C317</f>
        <v>16671</v>
      </c>
      <c r="C191" s="50">
        <f>'2 уровень'!D317</f>
        <v>5557</v>
      </c>
      <c r="D191" s="50">
        <f>'2 уровень'!E317</f>
        <v>2113</v>
      </c>
      <c r="E191" s="181">
        <f>'2 уровень'!F317</f>
        <v>38.024113730430088</v>
      </c>
      <c r="F191" s="63">
        <f>'2 уровень'!G317</f>
        <v>16224.550620000002</v>
      </c>
      <c r="G191" s="63">
        <f>'2 уровень'!H317</f>
        <v>5408.18</v>
      </c>
      <c r="H191" s="63">
        <f>'2 уровень'!I317</f>
        <v>2033.2414199999998</v>
      </c>
      <c r="I191" s="63">
        <f>'2 уровень'!J317</f>
        <v>37.595668413403395</v>
      </c>
      <c r="J191" s="104"/>
      <c r="K191" s="104"/>
      <c r="L191" s="104"/>
    </row>
    <row r="192" spans="1:185" ht="30" x14ac:dyDescent="0.25">
      <c r="A192" s="117" t="s">
        <v>125</v>
      </c>
      <c r="B192" s="50">
        <f>'2 уровень'!C318</f>
        <v>1500</v>
      </c>
      <c r="C192" s="50">
        <f>'2 уровень'!D318</f>
        <v>500</v>
      </c>
      <c r="D192" s="50">
        <f>'2 уровень'!E318</f>
        <v>613</v>
      </c>
      <c r="E192" s="181">
        <f>'2 уровень'!F318</f>
        <v>122.6</v>
      </c>
      <c r="F192" s="63">
        <f>'2 уровень'!G318</f>
        <v>1459.8300000000002</v>
      </c>
      <c r="G192" s="63">
        <f>'2 уровень'!H318</f>
        <v>486.61</v>
      </c>
      <c r="H192" s="63">
        <f>'2 уровень'!I318</f>
        <v>591.00343999999996</v>
      </c>
      <c r="I192" s="63">
        <f>'2 уровень'!J318</f>
        <v>121.45320482521936</v>
      </c>
      <c r="J192" s="104"/>
      <c r="K192" s="104"/>
      <c r="L192" s="104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3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1">
        <f>'2 уровень'!F319</f>
        <v>0</v>
      </c>
      <c r="F193" s="63">
        <f>'2 уровень'!G319</f>
        <v>46720.167529999999</v>
      </c>
      <c r="G193" s="63">
        <f>'2 уровень'!H319</f>
        <v>15573.380000000001</v>
      </c>
      <c r="H193" s="63">
        <f>'2 уровень'!I319</f>
        <v>13639.705110000001</v>
      </c>
      <c r="I193" s="63">
        <f>'2 уровень'!J319</f>
        <v>87.58346043055522</v>
      </c>
      <c r="J193" s="104"/>
      <c r="L193" s="729"/>
    </row>
    <row r="194" spans="1:185" ht="15" customHeight="1" x14ac:dyDescent="0.25">
      <c r="A194" s="222" t="s">
        <v>28</v>
      </c>
      <c r="B194" s="98"/>
      <c r="C194" s="98"/>
      <c r="D194" s="98"/>
      <c r="E194" s="184"/>
      <c r="F194" s="99"/>
      <c r="G194" s="99"/>
      <c r="H194" s="99"/>
      <c r="I194" s="99"/>
      <c r="J194" s="104"/>
      <c r="L194" s="729"/>
    </row>
    <row r="195" spans="1:185" ht="30" x14ac:dyDescent="0.25">
      <c r="A195" s="543" t="s">
        <v>120</v>
      </c>
      <c r="B195" s="540">
        <f>'Охотск '!B21</f>
        <v>1227</v>
      </c>
      <c r="C195" s="540">
        <f>'Охотск '!C21</f>
        <v>409</v>
      </c>
      <c r="D195" s="540">
        <f>'Охотск '!D21</f>
        <v>249</v>
      </c>
      <c r="E195" s="541">
        <f>'Охотск '!E21</f>
        <v>60.880195599022002</v>
      </c>
      <c r="F195" s="569">
        <f>'Охотск '!F21</f>
        <v>3253.9132599999998</v>
      </c>
      <c r="G195" s="569">
        <f>'Охотск '!G21</f>
        <v>1084.6400000000001</v>
      </c>
      <c r="H195" s="569">
        <f>'Охотск '!H21</f>
        <v>583.36911000000009</v>
      </c>
      <c r="I195" s="569">
        <f>'Охотск '!I21</f>
        <v>53.784583825047946</v>
      </c>
      <c r="J195" s="104"/>
      <c r="L195" s="729"/>
    </row>
    <row r="196" spans="1:185" ht="30" x14ac:dyDescent="0.25">
      <c r="A196" s="117" t="s">
        <v>79</v>
      </c>
      <c r="B196" s="50">
        <f>'Охотск '!B22</f>
        <v>900</v>
      </c>
      <c r="C196" s="50">
        <f>'Охотск '!C22</f>
        <v>300</v>
      </c>
      <c r="D196" s="50">
        <f>'Охотск '!D22</f>
        <v>224</v>
      </c>
      <c r="E196" s="181">
        <f>'Охотск '!E22</f>
        <v>74.666666666666671</v>
      </c>
      <c r="F196" s="66">
        <f>'Охотск '!F22</f>
        <v>1940.569</v>
      </c>
      <c r="G196" s="66">
        <f>'Охотск '!G22</f>
        <v>646.86</v>
      </c>
      <c r="H196" s="66">
        <f>'Охотск '!H22</f>
        <v>378.09620000000007</v>
      </c>
      <c r="I196" s="66">
        <f>'Охотск '!I22</f>
        <v>58.451009492007557</v>
      </c>
      <c r="J196" s="104"/>
      <c r="L196" s="729"/>
    </row>
    <row r="197" spans="1:185" ht="30" x14ac:dyDescent="0.25">
      <c r="A197" s="117" t="s">
        <v>80</v>
      </c>
      <c r="B197" s="50">
        <f>'Охотск '!B23</f>
        <v>270</v>
      </c>
      <c r="C197" s="50">
        <f>'Охотск '!C23</f>
        <v>90</v>
      </c>
      <c r="D197" s="50">
        <f>'Охотск '!D23</f>
        <v>5</v>
      </c>
      <c r="E197" s="181">
        <f>'Охотск '!E23</f>
        <v>5.5555555555555554</v>
      </c>
      <c r="F197" s="66">
        <f>'Охотск '!F23</f>
        <v>741.1543200000001</v>
      </c>
      <c r="G197" s="66">
        <f>'Охотск '!G23</f>
        <v>247.05</v>
      </c>
      <c r="H197" s="66">
        <f>'Охотск '!H23</f>
        <v>4.5045100000000025</v>
      </c>
      <c r="I197" s="66">
        <f>'Охотск '!I23</f>
        <v>1.8233191661606969</v>
      </c>
      <c r="J197" s="104"/>
      <c r="L197" s="729"/>
    </row>
    <row r="198" spans="1:185" ht="45" x14ac:dyDescent="0.25">
      <c r="A198" s="117" t="s">
        <v>110</v>
      </c>
      <c r="B198" s="50">
        <f>'Охотск '!B24</f>
        <v>20</v>
      </c>
      <c r="C198" s="50">
        <f>'Охотск '!C24</f>
        <v>7</v>
      </c>
      <c r="D198" s="50">
        <f>'Охотск '!D24</f>
        <v>20</v>
      </c>
      <c r="E198" s="181">
        <f>'Охотск '!E24</f>
        <v>285.71428571428572</v>
      </c>
      <c r="F198" s="66">
        <f>'Охотск '!F24</f>
        <v>200.76839999999999</v>
      </c>
      <c r="G198" s="66">
        <f>'Охотск '!G24</f>
        <v>66.92</v>
      </c>
      <c r="H198" s="66">
        <f>'Охотск '!H24</f>
        <v>200.76839999999999</v>
      </c>
      <c r="I198" s="66">
        <f>'Охотск '!I24</f>
        <v>300.0125523012552</v>
      </c>
      <c r="J198" s="104"/>
      <c r="L198" s="729"/>
    </row>
    <row r="199" spans="1:185" ht="30" x14ac:dyDescent="0.25">
      <c r="A199" s="117" t="s">
        <v>111</v>
      </c>
      <c r="B199" s="50">
        <f>'Охотск '!B25</f>
        <v>37</v>
      </c>
      <c r="C199" s="50">
        <f>'Охотск '!C25</f>
        <v>12</v>
      </c>
      <c r="D199" s="50">
        <f>'Охотск '!D25</f>
        <v>0</v>
      </c>
      <c r="E199" s="181">
        <f>'Охотск '!E25</f>
        <v>0</v>
      </c>
      <c r="F199" s="66">
        <f>'Охотск '!F25</f>
        <v>371.42153999999999</v>
      </c>
      <c r="G199" s="66">
        <f>'Охотск '!G25</f>
        <v>123.81</v>
      </c>
      <c r="H199" s="66">
        <f>'Охотск '!H25</f>
        <v>0</v>
      </c>
      <c r="I199" s="66">
        <f>'Охотск '!I25</f>
        <v>0</v>
      </c>
      <c r="J199" s="104"/>
      <c r="L199" s="729"/>
    </row>
    <row r="200" spans="1:185" ht="30" x14ac:dyDescent="0.25">
      <c r="A200" s="543" t="s">
        <v>112</v>
      </c>
      <c r="B200" s="540">
        <f>'Охотск '!B26</f>
        <v>1519</v>
      </c>
      <c r="C200" s="540">
        <f>'Охотск '!C26</f>
        <v>506</v>
      </c>
      <c r="D200" s="540">
        <f>'Охотск '!D26</f>
        <v>269</v>
      </c>
      <c r="E200" s="541">
        <f>'Охотск '!E26</f>
        <v>53.162055335968383</v>
      </c>
      <c r="F200" s="569">
        <f>'Охотск '!F26</f>
        <v>5389.9595099999997</v>
      </c>
      <c r="G200" s="569">
        <f>'Охотск '!G26</f>
        <v>1796.65</v>
      </c>
      <c r="H200" s="569">
        <f>'Охотск '!H26</f>
        <v>940.54800999999986</v>
      </c>
      <c r="I200" s="569">
        <f>'Охотск '!I26</f>
        <v>52.3500965686138</v>
      </c>
      <c r="J200" s="104"/>
      <c r="L200" s="729"/>
    </row>
    <row r="201" spans="1:185" ht="30" x14ac:dyDescent="0.25">
      <c r="A201" s="117" t="s">
        <v>108</v>
      </c>
      <c r="B201" s="50">
        <f>'Охотск '!B27</f>
        <v>100</v>
      </c>
      <c r="C201" s="50">
        <f>'Охотск '!C27</f>
        <v>33</v>
      </c>
      <c r="D201" s="50">
        <f>'Охотск '!D27</f>
        <v>16</v>
      </c>
      <c r="E201" s="181">
        <f>'Охотск '!E27</f>
        <v>48.484848484848484</v>
      </c>
      <c r="F201" s="66">
        <f>'Охотск '!F27</f>
        <v>324.38797</v>
      </c>
      <c r="G201" s="66">
        <f>'Охотск '!G27</f>
        <v>108.13</v>
      </c>
      <c r="H201" s="66">
        <f>'Охотск '!H27</f>
        <v>49.861289999999997</v>
      </c>
      <c r="I201" s="66">
        <f>'Охотск '!I27</f>
        <v>46.112355498011652</v>
      </c>
      <c r="J201" s="104"/>
      <c r="L201" s="729"/>
    </row>
    <row r="202" spans="1:185" ht="60" x14ac:dyDescent="0.25">
      <c r="A202" s="117" t="s">
        <v>81</v>
      </c>
      <c r="B202" s="50">
        <f>'Охотск '!B28</f>
        <v>1328</v>
      </c>
      <c r="C202" s="50">
        <f>'Охотск '!C28</f>
        <v>443</v>
      </c>
      <c r="D202" s="50">
        <f>'Охотск '!D28</f>
        <v>220</v>
      </c>
      <c r="E202" s="181">
        <f>'Охотск '!E28</f>
        <v>49.661399548532728</v>
      </c>
      <c r="F202" s="66">
        <f>'Охотск '!F28</f>
        <v>4929.1243199999999</v>
      </c>
      <c r="G202" s="66">
        <f>'Охотск '!G28</f>
        <v>1643.04</v>
      </c>
      <c r="H202" s="66">
        <f>'Охотск '!H28</f>
        <v>842.51285999999993</v>
      </c>
      <c r="I202" s="66">
        <f>'Охотск '!I28</f>
        <v>51.277684049079753</v>
      </c>
      <c r="J202" s="104"/>
      <c r="L202" s="729"/>
    </row>
    <row r="203" spans="1:185" ht="45" x14ac:dyDescent="0.25">
      <c r="A203" s="117" t="s">
        <v>109</v>
      </c>
      <c r="B203" s="50">
        <f>'Охотск '!B29</f>
        <v>91</v>
      </c>
      <c r="C203" s="50">
        <f>'Охотск '!C29</f>
        <v>30</v>
      </c>
      <c r="D203" s="50">
        <f>'Охотск '!D29</f>
        <v>33</v>
      </c>
      <c r="E203" s="181">
        <f>'Охотск '!E29</f>
        <v>110.00000000000001</v>
      </c>
      <c r="F203" s="66">
        <f>'Охотск '!F29</f>
        <v>136.44721999999999</v>
      </c>
      <c r="G203" s="66">
        <f>'Охотск '!G29</f>
        <v>45.48</v>
      </c>
      <c r="H203" s="66">
        <f>'Охотск '!H29</f>
        <v>48.173859999999998</v>
      </c>
      <c r="I203" s="66">
        <f>'Охотск '!I29</f>
        <v>105.92317502198769</v>
      </c>
      <c r="J203" s="104"/>
      <c r="L203" s="729"/>
    </row>
    <row r="204" spans="1:185" ht="30" x14ac:dyDescent="0.25">
      <c r="A204" s="659" t="s">
        <v>123</v>
      </c>
      <c r="B204" s="50">
        <f>'Охотск '!B30</f>
        <v>5565</v>
      </c>
      <c r="C204" s="50">
        <f>'Охотск '!C30</f>
        <v>1855</v>
      </c>
      <c r="D204" s="50">
        <f>'Охотск '!D30</f>
        <v>2038</v>
      </c>
      <c r="E204" s="181">
        <f>'Охотск '!E30</f>
        <v>109.86522911051213</v>
      </c>
      <c r="F204" s="66">
        <f>'Охотск '!F30</f>
        <v>8285.1720000000005</v>
      </c>
      <c r="G204" s="66">
        <f>'Охотск '!G30</f>
        <v>2761.72</v>
      </c>
      <c r="H204" s="66">
        <f>'Охотск '!H30</f>
        <v>3021.0152499999999</v>
      </c>
      <c r="I204" s="66">
        <f>'Охотск '!I30</f>
        <v>109.38890437843082</v>
      </c>
      <c r="J204" s="104"/>
      <c r="K204" s="104"/>
      <c r="L204" s="104"/>
    </row>
    <row r="205" spans="1:185" ht="15.75" thickBot="1" x14ac:dyDescent="0.3">
      <c r="A205" s="113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1">
        <f>'Охотск '!E31</f>
        <v>0</v>
      </c>
      <c r="F205" s="66">
        <f>'Охотск '!F31</f>
        <v>16929.04477</v>
      </c>
      <c r="G205" s="66">
        <f>'Охотск '!G31</f>
        <v>5643.01</v>
      </c>
      <c r="H205" s="66">
        <f>'Охотск '!H31</f>
        <v>4544.9323700000004</v>
      </c>
      <c r="I205" s="66">
        <f>'Охотск '!I31</f>
        <v>80.540923549665877</v>
      </c>
      <c r="J205" s="104"/>
      <c r="L205" s="729"/>
    </row>
    <row r="206" spans="1:185" ht="15" customHeight="1" x14ac:dyDescent="0.25">
      <c r="A206" s="97" t="s">
        <v>29</v>
      </c>
      <c r="B206" s="98"/>
      <c r="C206" s="98"/>
      <c r="D206" s="98"/>
      <c r="E206" s="184"/>
      <c r="F206" s="99"/>
      <c r="G206" s="99"/>
      <c r="H206" s="99"/>
      <c r="I206" s="99"/>
      <c r="J206" s="104"/>
      <c r="L206" s="729"/>
    </row>
    <row r="207" spans="1:185" s="191" customFormat="1" ht="30" x14ac:dyDescent="0.25">
      <c r="A207" s="543" t="s">
        <v>120</v>
      </c>
      <c r="B207" s="570">
        <f>'2 уровень'!C334</f>
        <v>3295</v>
      </c>
      <c r="C207" s="570">
        <f>'2 уровень'!D334</f>
        <v>1098</v>
      </c>
      <c r="D207" s="570">
        <f>'2 уровень'!E334</f>
        <v>787</v>
      </c>
      <c r="E207" s="571">
        <f>'2 уровень'!F334</f>
        <v>71.67577413479053</v>
      </c>
      <c r="F207" s="569">
        <f>'2 уровень'!G334</f>
        <v>6315.0936700000002</v>
      </c>
      <c r="G207" s="569">
        <f>'2 уровень'!H334</f>
        <v>2105.0300000000002</v>
      </c>
      <c r="H207" s="569">
        <f>'2 уровень'!I334</f>
        <v>1225.1381699999999</v>
      </c>
      <c r="I207" s="569">
        <f>'2 уровень'!J334</f>
        <v>58.200508781347523</v>
      </c>
      <c r="J207" s="248"/>
      <c r="K207" s="728"/>
      <c r="L207" s="729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/>
      <c r="AF207" s="247"/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  <c r="BI207" s="247"/>
      <c r="BJ207" s="247"/>
      <c r="BK207" s="247"/>
      <c r="BL207" s="247"/>
      <c r="BM207" s="247"/>
      <c r="BN207" s="247"/>
      <c r="BO207" s="247"/>
      <c r="BP207" s="247"/>
      <c r="BQ207" s="247"/>
      <c r="BR207" s="247"/>
      <c r="BS207" s="247"/>
      <c r="BT207" s="247"/>
      <c r="BU207" s="247"/>
      <c r="BV207" s="247"/>
      <c r="BW207" s="247"/>
      <c r="BX207" s="247"/>
      <c r="BY207" s="247"/>
      <c r="BZ207" s="247"/>
      <c r="CA207" s="247"/>
      <c r="CB207" s="247"/>
      <c r="CC207" s="247"/>
      <c r="CD207" s="247"/>
      <c r="CE207" s="247"/>
      <c r="CF207" s="247"/>
      <c r="CG207" s="247"/>
      <c r="CH207" s="247"/>
      <c r="CI207" s="247"/>
      <c r="CJ207" s="247"/>
      <c r="CK207" s="247"/>
      <c r="CL207" s="247"/>
      <c r="CM207" s="247"/>
      <c r="CN207" s="247"/>
      <c r="CO207" s="247"/>
      <c r="CP207" s="247"/>
      <c r="CQ207" s="247"/>
      <c r="CR207" s="247"/>
      <c r="CS207" s="247"/>
      <c r="CT207" s="247"/>
      <c r="CU207" s="247"/>
      <c r="CV207" s="247"/>
      <c r="CW207" s="247"/>
      <c r="CX207" s="247"/>
      <c r="CY207" s="247"/>
      <c r="CZ207" s="247"/>
      <c r="DA207" s="247"/>
      <c r="DB207" s="247"/>
      <c r="DC207" s="247"/>
      <c r="DD207" s="247"/>
      <c r="DE207" s="247"/>
      <c r="DF207" s="247"/>
      <c r="DG207" s="247"/>
      <c r="DH207" s="247"/>
      <c r="DI207" s="247"/>
      <c r="DJ207" s="247"/>
      <c r="DK207" s="247"/>
      <c r="DL207" s="247"/>
      <c r="DM207" s="247"/>
      <c r="DN207" s="247"/>
      <c r="DO207" s="247"/>
      <c r="DP207" s="247"/>
      <c r="DQ207" s="247"/>
      <c r="DR207" s="247"/>
      <c r="DS207" s="247"/>
      <c r="DT207" s="247"/>
      <c r="DU207" s="247"/>
      <c r="DV207" s="247"/>
      <c r="DW207" s="247"/>
      <c r="DX207" s="247"/>
      <c r="DY207" s="247"/>
      <c r="DZ207" s="247"/>
      <c r="EA207" s="247"/>
      <c r="EB207" s="247"/>
      <c r="EC207" s="247"/>
      <c r="ED207" s="247"/>
      <c r="EE207" s="247"/>
      <c r="EF207" s="247"/>
      <c r="EG207" s="247"/>
      <c r="EH207" s="247"/>
      <c r="EI207" s="247"/>
      <c r="EJ207" s="247"/>
      <c r="EK207" s="247"/>
      <c r="EL207" s="247"/>
      <c r="EM207" s="247"/>
      <c r="EN207" s="247"/>
      <c r="EO207" s="247"/>
      <c r="EP207" s="247"/>
      <c r="EQ207" s="247"/>
      <c r="ER207" s="247"/>
      <c r="ES207" s="247"/>
      <c r="ET207" s="247"/>
      <c r="EU207" s="247"/>
      <c r="EV207" s="247"/>
      <c r="EW207" s="247"/>
      <c r="EX207" s="247"/>
      <c r="EY207" s="247"/>
      <c r="EZ207" s="247"/>
      <c r="FA207" s="247"/>
      <c r="FB207" s="247"/>
      <c r="FC207" s="247"/>
      <c r="FD207" s="247"/>
      <c r="FE207" s="247"/>
      <c r="FF207" s="247"/>
      <c r="FG207" s="247"/>
      <c r="FH207" s="247"/>
      <c r="FI207" s="247"/>
      <c r="FJ207" s="247"/>
      <c r="FK207" s="247"/>
      <c r="FL207" s="247"/>
      <c r="FM207" s="247"/>
      <c r="FN207" s="247"/>
      <c r="FO207" s="247"/>
      <c r="FP207" s="247"/>
      <c r="FQ207" s="247"/>
      <c r="FR207" s="247"/>
      <c r="FS207" s="247"/>
      <c r="FT207" s="247"/>
      <c r="FU207" s="247"/>
      <c r="FV207" s="247"/>
      <c r="FW207" s="247"/>
      <c r="FX207" s="247"/>
      <c r="FY207" s="247"/>
      <c r="FZ207" s="247"/>
      <c r="GA207" s="247"/>
      <c r="GB207" s="247"/>
      <c r="GC207" s="247"/>
    </row>
    <row r="208" spans="1:185" s="191" customFormat="1" ht="30" x14ac:dyDescent="0.25">
      <c r="A208" s="117" t="s">
        <v>79</v>
      </c>
      <c r="B208" s="275">
        <f>'2 уровень'!C335</f>
        <v>2326</v>
      </c>
      <c r="C208" s="275">
        <f>'2 уровень'!D335</f>
        <v>775</v>
      </c>
      <c r="D208" s="691">
        <f>'2 уровень'!E335</f>
        <v>606</v>
      </c>
      <c r="E208" s="276">
        <f>'2 уровень'!F335</f>
        <v>78.193548387096783</v>
      </c>
      <c r="F208" s="196">
        <f>'2 уровень'!G335</f>
        <v>3271.1419999999998</v>
      </c>
      <c r="G208" s="196">
        <f>'2 уровень'!H335</f>
        <v>1090.3800000000001</v>
      </c>
      <c r="H208" s="66">
        <f>'2 уровень'!I335</f>
        <v>900.57879999999989</v>
      </c>
      <c r="I208" s="196">
        <f>'2 уровень'!J335</f>
        <v>82.593114327115302</v>
      </c>
      <c r="J208" s="248"/>
      <c r="K208" s="728"/>
      <c r="L208" s="729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/>
      <c r="AF208" s="247"/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  <c r="BI208" s="247"/>
      <c r="BJ208" s="247"/>
      <c r="BK208" s="247"/>
      <c r="BL208" s="247"/>
      <c r="BM208" s="247"/>
      <c r="BN208" s="247"/>
      <c r="BO208" s="247"/>
      <c r="BP208" s="247"/>
      <c r="BQ208" s="247"/>
      <c r="BR208" s="247"/>
      <c r="BS208" s="247"/>
      <c r="BT208" s="247"/>
      <c r="BU208" s="247"/>
      <c r="BV208" s="247"/>
      <c r="BW208" s="247"/>
      <c r="BX208" s="247"/>
      <c r="BY208" s="247"/>
      <c r="BZ208" s="247"/>
      <c r="CA208" s="247"/>
      <c r="CB208" s="247"/>
      <c r="CC208" s="247"/>
      <c r="CD208" s="247"/>
      <c r="CE208" s="247"/>
      <c r="CF208" s="247"/>
      <c r="CG208" s="247"/>
      <c r="CH208" s="247"/>
      <c r="CI208" s="247"/>
      <c r="CJ208" s="247"/>
      <c r="CK208" s="247"/>
      <c r="CL208" s="247"/>
      <c r="CM208" s="247"/>
      <c r="CN208" s="247"/>
      <c r="CO208" s="247"/>
      <c r="CP208" s="247"/>
      <c r="CQ208" s="247"/>
      <c r="CR208" s="247"/>
      <c r="CS208" s="247"/>
      <c r="CT208" s="247"/>
      <c r="CU208" s="247"/>
      <c r="CV208" s="247"/>
      <c r="CW208" s="247"/>
      <c r="CX208" s="247"/>
      <c r="CY208" s="247"/>
      <c r="CZ208" s="247"/>
      <c r="DA208" s="247"/>
      <c r="DB208" s="247"/>
      <c r="DC208" s="247"/>
      <c r="DD208" s="247"/>
      <c r="DE208" s="247"/>
      <c r="DF208" s="247"/>
      <c r="DG208" s="247"/>
      <c r="DH208" s="247"/>
      <c r="DI208" s="247"/>
      <c r="DJ208" s="247"/>
      <c r="DK208" s="247"/>
      <c r="DL208" s="247"/>
      <c r="DM208" s="247"/>
      <c r="DN208" s="247"/>
      <c r="DO208" s="247"/>
      <c r="DP208" s="247"/>
      <c r="DQ208" s="247"/>
      <c r="DR208" s="247"/>
      <c r="DS208" s="247"/>
      <c r="DT208" s="247"/>
      <c r="DU208" s="247"/>
      <c r="DV208" s="247"/>
      <c r="DW208" s="247"/>
      <c r="DX208" s="247"/>
      <c r="DY208" s="247"/>
      <c r="DZ208" s="247"/>
      <c r="EA208" s="247"/>
      <c r="EB208" s="247"/>
      <c r="EC208" s="247"/>
      <c r="ED208" s="247"/>
      <c r="EE208" s="247"/>
      <c r="EF208" s="247"/>
      <c r="EG208" s="247"/>
      <c r="EH208" s="247"/>
      <c r="EI208" s="247"/>
      <c r="EJ208" s="247"/>
      <c r="EK208" s="247"/>
      <c r="EL208" s="247"/>
      <c r="EM208" s="247"/>
      <c r="EN208" s="247"/>
      <c r="EO208" s="247"/>
      <c r="EP208" s="247"/>
      <c r="EQ208" s="247"/>
      <c r="ER208" s="247"/>
      <c r="ES208" s="247"/>
      <c r="ET208" s="247"/>
      <c r="EU208" s="247"/>
      <c r="EV208" s="247"/>
      <c r="EW208" s="247"/>
      <c r="EX208" s="247"/>
      <c r="EY208" s="247"/>
      <c r="EZ208" s="247"/>
      <c r="FA208" s="247"/>
      <c r="FB208" s="247"/>
      <c r="FC208" s="247"/>
      <c r="FD208" s="247"/>
      <c r="FE208" s="247"/>
      <c r="FF208" s="247"/>
      <c r="FG208" s="247"/>
      <c r="FH208" s="247"/>
      <c r="FI208" s="247"/>
      <c r="FJ208" s="247"/>
      <c r="FK208" s="247"/>
      <c r="FL208" s="247"/>
      <c r="FM208" s="247"/>
      <c r="FN208" s="247"/>
      <c r="FO208" s="247"/>
      <c r="FP208" s="247"/>
      <c r="FQ208" s="247"/>
      <c r="FR208" s="247"/>
      <c r="FS208" s="247"/>
      <c r="FT208" s="247"/>
      <c r="FU208" s="247"/>
      <c r="FV208" s="247"/>
      <c r="FW208" s="247"/>
      <c r="FX208" s="247"/>
      <c r="FY208" s="247"/>
      <c r="FZ208" s="247"/>
      <c r="GA208" s="247"/>
      <c r="GB208" s="247"/>
      <c r="GC208" s="247"/>
    </row>
    <row r="209" spans="1:185" s="191" customFormat="1" ht="30" x14ac:dyDescent="0.25">
      <c r="A209" s="117" t="s">
        <v>80</v>
      </c>
      <c r="B209" s="275">
        <f>'2 уровень'!C336</f>
        <v>698</v>
      </c>
      <c r="C209" s="275">
        <f>'2 уровень'!D336</f>
        <v>233</v>
      </c>
      <c r="D209" s="691">
        <f>'2 уровень'!E336</f>
        <v>181</v>
      </c>
      <c r="E209" s="276">
        <f>'2 уровень'!F336</f>
        <v>77.682403433476395</v>
      </c>
      <c r="F209" s="196">
        <f>'2 уровень'!G336</f>
        <v>1265.62799</v>
      </c>
      <c r="G209" s="196">
        <f>'2 уровень'!H336</f>
        <v>421.88</v>
      </c>
      <c r="H209" s="66">
        <f>'2 уровень'!I336</f>
        <v>324.55937</v>
      </c>
      <c r="I209" s="196">
        <f>'2 уровень'!J336</f>
        <v>76.931679624537779</v>
      </c>
      <c r="J209" s="248"/>
      <c r="K209" s="728"/>
      <c r="L209" s="729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  <c r="BI209" s="247"/>
      <c r="BJ209" s="247"/>
      <c r="BK209" s="247"/>
      <c r="BL209" s="247"/>
      <c r="BM209" s="247"/>
      <c r="BN209" s="247"/>
      <c r="BO209" s="247"/>
      <c r="BP209" s="247"/>
      <c r="BQ209" s="247"/>
      <c r="BR209" s="247"/>
      <c r="BS209" s="247"/>
      <c r="BT209" s="247"/>
      <c r="BU209" s="247"/>
      <c r="BV209" s="247"/>
      <c r="BW209" s="247"/>
      <c r="BX209" s="247"/>
      <c r="BY209" s="247"/>
      <c r="BZ209" s="247"/>
      <c r="CA209" s="247"/>
      <c r="CB209" s="247"/>
      <c r="CC209" s="247"/>
      <c r="CD209" s="247"/>
      <c r="CE209" s="247"/>
      <c r="CF209" s="247"/>
      <c r="CG209" s="247"/>
      <c r="CH209" s="247"/>
      <c r="CI209" s="247"/>
      <c r="CJ209" s="247"/>
      <c r="CK209" s="247"/>
      <c r="CL209" s="247"/>
      <c r="CM209" s="247"/>
      <c r="CN209" s="247"/>
      <c r="CO209" s="247"/>
      <c r="CP209" s="247"/>
      <c r="CQ209" s="247"/>
      <c r="CR209" s="247"/>
      <c r="CS209" s="247"/>
      <c r="CT209" s="247"/>
      <c r="CU209" s="247"/>
      <c r="CV209" s="247"/>
      <c r="CW209" s="247"/>
      <c r="CX209" s="247"/>
      <c r="CY209" s="247"/>
      <c r="CZ209" s="247"/>
      <c r="DA209" s="247"/>
      <c r="DB209" s="247"/>
      <c r="DC209" s="247"/>
      <c r="DD209" s="247"/>
      <c r="DE209" s="247"/>
      <c r="DF209" s="247"/>
      <c r="DG209" s="247"/>
      <c r="DH209" s="247"/>
      <c r="DI209" s="247"/>
      <c r="DJ209" s="247"/>
      <c r="DK209" s="247"/>
      <c r="DL209" s="247"/>
      <c r="DM209" s="247"/>
      <c r="DN209" s="247"/>
      <c r="DO209" s="247"/>
      <c r="DP209" s="247"/>
      <c r="DQ209" s="247"/>
      <c r="DR209" s="247"/>
      <c r="DS209" s="247"/>
      <c r="DT209" s="247"/>
      <c r="DU209" s="247"/>
      <c r="DV209" s="247"/>
      <c r="DW209" s="247"/>
      <c r="DX209" s="247"/>
      <c r="DY209" s="247"/>
      <c r="DZ209" s="247"/>
      <c r="EA209" s="247"/>
      <c r="EB209" s="247"/>
      <c r="EC209" s="247"/>
      <c r="ED209" s="247"/>
      <c r="EE209" s="247"/>
      <c r="EF209" s="247"/>
      <c r="EG209" s="247"/>
      <c r="EH209" s="247"/>
      <c r="EI209" s="247"/>
      <c r="EJ209" s="247"/>
      <c r="EK209" s="247"/>
      <c r="EL209" s="247"/>
      <c r="EM209" s="247"/>
      <c r="EN209" s="247"/>
      <c r="EO209" s="247"/>
      <c r="EP209" s="247"/>
      <c r="EQ209" s="247"/>
      <c r="ER209" s="247"/>
      <c r="ES209" s="247"/>
      <c r="ET209" s="247"/>
      <c r="EU209" s="247"/>
      <c r="EV209" s="247"/>
      <c r="EW209" s="247"/>
      <c r="EX209" s="247"/>
      <c r="EY209" s="247"/>
      <c r="EZ209" s="247"/>
      <c r="FA209" s="247"/>
      <c r="FB209" s="247"/>
      <c r="FC209" s="247"/>
      <c r="FD209" s="247"/>
      <c r="FE209" s="247"/>
      <c r="FF209" s="247"/>
      <c r="FG209" s="247"/>
      <c r="FH209" s="247"/>
      <c r="FI209" s="247"/>
      <c r="FJ209" s="247"/>
      <c r="FK209" s="247"/>
      <c r="FL209" s="247"/>
      <c r="FM209" s="247"/>
      <c r="FN209" s="247"/>
      <c r="FO209" s="247"/>
      <c r="FP209" s="247"/>
      <c r="FQ209" s="247"/>
      <c r="FR209" s="247"/>
      <c r="FS209" s="247"/>
      <c r="FT209" s="247"/>
      <c r="FU209" s="247"/>
      <c r="FV209" s="247"/>
      <c r="FW209" s="247"/>
      <c r="FX209" s="247"/>
      <c r="FY209" s="247"/>
      <c r="FZ209" s="247"/>
      <c r="GA209" s="247"/>
      <c r="GB209" s="247"/>
      <c r="GC209" s="247"/>
    </row>
    <row r="210" spans="1:185" s="191" customFormat="1" ht="45" x14ac:dyDescent="0.25">
      <c r="A210" s="117" t="s">
        <v>110</v>
      </c>
      <c r="B210" s="275">
        <f>'2 уровень'!C337</f>
        <v>21</v>
      </c>
      <c r="C210" s="275">
        <f>'2 уровень'!D337</f>
        <v>7</v>
      </c>
      <c r="D210" s="691">
        <f>'2 уровень'!E337</f>
        <v>0</v>
      </c>
      <c r="E210" s="276">
        <f>'2 уровень'!F337</f>
        <v>0</v>
      </c>
      <c r="F210" s="196">
        <f>'2 уровень'!G337</f>
        <v>137.80367999999999</v>
      </c>
      <c r="G210" s="196">
        <f>'2 уровень'!H337</f>
        <v>45.93</v>
      </c>
      <c r="H210" s="66">
        <f>'2 уровень'!I337</f>
        <v>0</v>
      </c>
      <c r="I210" s="196">
        <f>'2 уровень'!J337</f>
        <v>0</v>
      </c>
      <c r="J210" s="248"/>
      <c r="K210" s="728"/>
      <c r="L210" s="729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/>
      <c r="AF210" s="247"/>
      <c r="AG210" s="247"/>
      <c r="AH210" s="247"/>
      <c r="AI210" s="247"/>
      <c r="AJ210" s="247"/>
      <c r="AK210" s="247"/>
      <c r="AL210" s="247"/>
      <c r="AM210" s="247"/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  <c r="BI210" s="247"/>
      <c r="BJ210" s="247"/>
      <c r="BK210" s="247"/>
      <c r="BL210" s="247"/>
      <c r="BM210" s="247"/>
      <c r="BN210" s="247"/>
      <c r="BO210" s="247"/>
      <c r="BP210" s="247"/>
      <c r="BQ210" s="247"/>
      <c r="BR210" s="247"/>
      <c r="BS210" s="247"/>
      <c r="BT210" s="247"/>
      <c r="BU210" s="247"/>
      <c r="BV210" s="247"/>
      <c r="BW210" s="247"/>
      <c r="BX210" s="247"/>
      <c r="BY210" s="247"/>
      <c r="BZ210" s="247"/>
      <c r="CA210" s="247"/>
      <c r="CB210" s="247"/>
      <c r="CC210" s="247"/>
      <c r="CD210" s="247"/>
      <c r="CE210" s="247"/>
      <c r="CF210" s="247"/>
      <c r="CG210" s="247"/>
      <c r="CH210" s="247"/>
      <c r="CI210" s="247"/>
      <c r="CJ210" s="247"/>
      <c r="CK210" s="247"/>
      <c r="CL210" s="247"/>
      <c r="CM210" s="247"/>
      <c r="CN210" s="247"/>
      <c r="CO210" s="247"/>
      <c r="CP210" s="247"/>
      <c r="CQ210" s="247"/>
      <c r="CR210" s="247"/>
      <c r="CS210" s="247"/>
      <c r="CT210" s="247"/>
      <c r="CU210" s="247"/>
      <c r="CV210" s="247"/>
      <c r="CW210" s="247"/>
      <c r="CX210" s="247"/>
      <c r="CY210" s="247"/>
      <c r="CZ210" s="247"/>
      <c r="DA210" s="247"/>
      <c r="DB210" s="247"/>
      <c r="DC210" s="247"/>
      <c r="DD210" s="247"/>
      <c r="DE210" s="247"/>
      <c r="DF210" s="247"/>
      <c r="DG210" s="247"/>
      <c r="DH210" s="247"/>
      <c r="DI210" s="247"/>
      <c r="DJ210" s="247"/>
      <c r="DK210" s="247"/>
      <c r="DL210" s="247"/>
      <c r="DM210" s="247"/>
      <c r="DN210" s="247"/>
      <c r="DO210" s="247"/>
      <c r="DP210" s="247"/>
      <c r="DQ210" s="247"/>
      <c r="DR210" s="247"/>
      <c r="DS210" s="247"/>
      <c r="DT210" s="247"/>
      <c r="DU210" s="247"/>
      <c r="DV210" s="247"/>
      <c r="DW210" s="247"/>
      <c r="DX210" s="247"/>
      <c r="DY210" s="247"/>
      <c r="DZ210" s="247"/>
      <c r="EA210" s="247"/>
      <c r="EB210" s="247"/>
      <c r="EC210" s="247"/>
      <c r="ED210" s="247"/>
      <c r="EE210" s="247"/>
      <c r="EF210" s="247"/>
      <c r="EG210" s="247"/>
      <c r="EH210" s="247"/>
      <c r="EI210" s="247"/>
      <c r="EJ210" s="247"/>
      <c r="EK210" s="247"/>
      <c r="EL210" s="247"/>
      <c r="EM210" s="247"/>
      <c r="EN210" s="247"/>
      <c r="EO210" s="247"/>
      <c r="EP210" s="247"/>
      <c r="EQ210" s="247"/>
      <c r="ER210" s="247"/>
      <c r="ES210" s="247"/>
      <c r="ET210" s="247"/>
      <c r="EU210" s="247"/>
      <c r="EV210" s="247"/>
      <c r="EW210" s="247"/>
      <c r="EX210" s="247"/>
      <c r="EY210" s="247"/>
      <c r="EZ210" s="247"/>
      <c r="FA210" s="247"/>
      <c r="FB210" s="247"/>
      <c r="FC210" s="247"/>
      <c r="FD210" s="247"/>
      <c r="FE210" s="247"/>
      <c r="FF210" s="247"/>
      <c r="FG210" s="247"/>
      <c r="FH210" s="247"/>
      <c r="FI210" s="247"/>
      <c r="FJ210" s="247"/>
      <c r="FK210" s="247"/>
      <c r="FL210" s="247"/>
      <c r="FM210" s="247"/>
      <c r="FN210" s="247"/>
      <c r="FO210" s="247"/>
      <c r="FP210" s="247"/>
      <c r="FQ210" s="247"/>
      <c r="FR210" s="247"/>
      <c r="FS210" s="247"/>
      <c r="FT210" s="247"/>
      <c r="FU210" s="247"/>
      <c r="FV210" s="247"/>
      <c r="FW210" s="247"/>
      <c r="FX210" s="247"/>
      <c r="FY210" s="247"/>
      <c r="FZ210" s="247"/>
      <c r="GA210" s="247"/>
      <c r="GB210" s="247"/>
      <c r="GC210" s="247"/>
    </row>
    <row r="211" spans="1:185" s="191" customFormat="1" ht="30" x14ac:dyDescent="0.25">
      <c r="A211" s="117" t="s">
        <v>111</v>
      </c>
      <c r="B211" s="275">
        <f>'2 уровень'!C338</f>
        <v>250</v>
      </c>
      <c r="C211" s="275">
        <f>'2 уровень'!D338</f>
        <v>83</v>
      </c>
      <c r="D211" s="691">
        <f>'2 уровень'!E338</f>
        <v>0</v>
      </c>
      <c r="E211" s="276">
        <f>'2 уровень'!F338</f>
        <v>0</v>
      </c>
      <c r="F211" s="196">
        <f>'2 уровень'!G338</f>
        <v>1640.52</v>
      </c>
      <c r="G211" s="196">
        <f>'2 уровень'!H338</f>
        <v>546.84</v>
      </c>
      <c r="H211" s="66">
        <f>'2 уровень'!I338</f>
        <v>0</v>
      </c>
      <c r="I211" s="196">
        <f>'2 уровень'!J338</f>
        <v>0</v>
      </c>
      <c r="J211" s="248"/>
      <c r="K211" s="728"/>
      <c r="L211" s="729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  <c r="BI211" s="247"/>
      <c r="BJ211" s="247"/>
      <c r="BK211" s="247"/>
      <c r="BL211" s="247"/>
      <c r="BM211" s="247"/>
      <c r="BN211" s="247"/>
      <c r="BO211" s="247"/>
      <c r="BP211" s="247"/>
      <c r="BQ211" s="247"/>
      <c r="BR211" s="247"/>
      <c r="BS211" s="247"/>
      <c r="BT211" s="247"/>
      <c r="BU211" s="247"/>
      <c r="BV211" s="247"/>
      <c r="BW211" s="247"/>
      <c r="BX211" s="247"/>
      <c r="BY211" s="247"/>
      <c r="BZ211" s="247"/>
      <c r="CA211" s="247"/>
      <c r="CB211" s="247"/>
      <c r="CC211" s="247"/>
      <c r="CD211" s="247"/>
      <c r="CE211" s="247"/>
      <c r="CF211" s="247"/>
      <c r="CG211" s="247"/>
      <c r="CH211" s="247"/>
      <c r="CI211" s="247"/>
      <c r="CJ211" s="247"/>
      <c r="CK211" s="247"/>
      <c r="CL211" s="247"/>
      <c r="CM211" s="247"/>
      <c r="CN211" s="247"/>
      <c r="CO211" s="247"/>
      <c r="CP211" s="247"/>
      <c r="CQ211" s="247"/>
      <c r="CR211" s="247"/>
      <c r="CS211" s="247"/>
      <c r="CT211" s="247"/>
      <c r="CU211" s="247"/>
      <c r="CV211" s="247"/>
      <c r="CW211" s="247"/>
      <c r="CX211" s="247"/>
      <c r="CY211" s="247"/>
      <c r="CZ211" s="247"/>
      <c r="DA211" s="247"/>
      <c r="DB211" s="247"/>
      <c r="DC211" s="247"/>
      <c r="DD211" s="247"/>
      <c r="DE211" s="247"/>
      <c r="DF211" s="247"/>
      <c r="DG211" s="247"/>
      <c r="DH211" s="247"/>
      <c r="DI211" s="247"/>
      <c r="DJ211" s="247"/>
      <c r="DK211" s="247"/>
      <c r="DL211" s="247"/>
      <c r="DM211" s="247"/>
      <c r="DN211" s="247"/>
      <c r="DO211" s="247"/>
      <c r="DP211" s="247"/>
      <c r="DQ211" s="247"/>
      <c r="DR211" s="247"/>
      <c r="DS211" s="247"/>
      <c r="DT211" s="247"/>
      <c r="DU211" s="247"/>
      <c r="DV211" s="247"/>
      <c r="DW211" s="247"/>
      <c r="DX211" s="247"/>
      <c r="DY211" s="247"/>
      <c r="DZ211" s="247"/>
      <c r="EA211" s="247"/>
      <c r="EB211" s="247"/>
      <c r="EC211" s="247"/>
      <c r="ED211" s="247"/>
      <c r="EE211" s="247"/>
      <c r="EF211" s="247"/>
      <c r="EG211" s="247"/>
      <c r="EH211" s="247"/>
      <c r="EI211" s="247"/>
      <c r="EJ211" s="247"/>
      <c r="EK211" s="247"/>
      <c r="EL211" s="247"/>
      <c r="EM211" s="247"/>
      <c r="EN211" s="247"/>
      <c r="EO211" s="247"/>
      <c r="EP211" s="247"/>
      <c r="EQ211" s="247"/>
      <c r="ER211" s="247"/>
      <c r="ES211" s="247"/>
      <c r="ET211" s="247"/>
      <c r="EU211" s="247"/>
      <c r="EV211" s="247"/>
      <c r="EW211" s="247"/>
      <c r="EX211" s="247"/>
      <c r="EY211" s="247"/>
      <c r="EZ211" s="247"/>
      <c r="FA211" s="247"/>
      <c r="FB211" s="247"/>
      <c r="FC211" s="247"/>
      <c r="FD211" s="247"/>
      <c r="FE211" s="247"/>
      <c r="FF211" s="247"/>
      <c r="FG211" s="247"/>
      <c r="FH211" s="247"/>
      <c r="FI211" s="247"/>
      <c r="FJ211" s="247"/>
      <c r="FK211" s="247"/>
      <c r="FL211" s="247"/>
      <c r="FM211" s="247"/>
      <c r="FN211" s="247"/>
      <c r="FO211" s="247"/>
      <c r="FP211" s="247"/>
      <c r="FQ211" s="247"/>
      <c r="FR211" s="247"/>
      <c r="FS211" s="247"/>
      <c r="FT211" s="247"/>
      <c r="FU211" s="247"/>
      <c r="FV211" s="247"/>
      <c r="FW211" s="247"/>
      <c r="FX211" s="247"/>
      <c r="FY211" s="247"/>
      <c r="FZ211" s="247"/>
      <c r="GA211" s="247"/>
      <c r="GB211" s="247"/>
      <c r="GC211" s="247"/>
    </row>
    <row r="212" spans="1:185" s="191" customFormat="1" ht="30" x14ac:dyDescent="0.25">
      <c r="A212" s="543" t="s">
        <v>112</v>
      </c>
      <c r="B212" s="570">
        <f>'2 уровень'!C339</f>
        <v>7360</v>
      </c>
      <c r="C212" s="570">
        <f>'2 уровень'!D339</f>
        <v>2454</v>
      </c>
      <c r="D212" s="570">
        <f>'2 уровень'!E339</f>
        <v>1605</v>
      </c>
      <c r="E212" s="571">
        <f>'2 уровень'!F339</f>
        <v>65.40342298288509</v>
      </c>
      <c r="F212" s="569">
        <f>'2 уровень'!G339</f>
        <v>15168.309600000001</v>
      </c>
      <c r="G212" s="569">
        <f>'2 уровень'!H339</f>
        <v>5056.1000000000004</v>
      </c>
      <c r="H212" s="569">
        <f>'2 уровень'!I339</f>
        <v>3533.0085699999995</v>
      </c>
      <c r="I212" s="569">
        <f>'2 уровень'!J339</f>
        <v>69.876160874982688</v>
      </c>
      <c r="J212" s="248"/>
      <c r="K212" s="728"/>
      <c r="L212" s="729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  <c r="BI212" s="247"/>
      <c r="BJ212" s="247"/>
      <c r="BK212" s="247"/>
      <c r="BL212" s="247"/>
      <c r="BM212" s="247"/>
      <c r="BN212" s="247"/>
      <c r="BO212" s="247"/>
      <c r="BP212" s="247"/>
      <c r="BQ212" s="247"/>
      <c r="BR212" s="247"/>
      <c r="BS212" s="247"/>
      <c r="BT212" s="247"/>
      <c r="BU212" s="247"/>
      <c r="BV212" s="247"/>
      <c r="BW212" s="247"/>
      <c r="BX212" s="247"/>
      <c r="BY212" s="247"/>
      <c r="BZ212" s="247"/>
      <c r="CA212" s="247"/>
      <c r="CB212" s="247"/>
      <c r="CC212" s="247"/>
      <c r="CD212" s="247"/>
      <c r="CE212" s="247"/>
      <c r="CF212" s="247"/>
      <c r="CG212" s="247"/>
      <c r="CH212" s="247"/>
      <c r="CI212" s="247"/>
      <c r="CJ212" s="247"/>
      <c r="CK212" s="247"/>
      <c r="CL212" s="247"/>
      <c r="CM212" s="247"/>
      <c r="CN212" s="247"/>
      <c r="CO212" s="247"/>
      <c r="CP212" s="247"/>
      <c r="CQ212" s="247"/>
      <c r="CR212" s="247"/>
      <c r="CS212" s="247"/>
      <c r="CT212" s="247"/>
      <c r="CU212" s="247"/>
      <c r="CV212" s="247"/>
      <c r="CW212" s="247"/>
      <c r="CX212" s="247"/>
      <c r="CY212" s="247"/>
      <c r="CZ212" s="247"/>
      <c r="DA212" s="247"/>
      <c r="DB212" s="247"/>
      <c r="DC212" s="247"/>
      <c r="DD212" s="247"/>
      <c r="DE212" s="247"/>
      <c r="DF212" s="247"/>
      <c r="DG212" s="247"/>
      <c r="DH212" s="247"/>
      <c r="DI212" s="247"/>
      <c r="DJ212" s="247"/>
      <c r="DK212" s="247"/>
      <c r="DL212" s="247"/>
      <c r="DM212" s="247"/>
      <c r="DN212" s="247"/>
      <c r="DO212" s="247"/>
      <c r="DP212" s="247"/>
      <c r="DQ212" s="247"/>
      <c r="DR212" s="247"/>
      <c r="DS212" s="247"/>
      <c r="DT212" s="247"/>
      <c r="DU212" s="247"/>
      <c r="DV212" s="247"/>
      <c r="DW212" s="247"/>
      <c r="DX212" s="247"/>
      <c r="DY212" s="247"/>
      <c r="DZ212" s="247"/>
      <c r="EA212" s="247"/>
      <c r="EB212" s="247"/>
      <c r="EC212" s="247"/>
      <c r="ED212" s="247"/>
      <c r="EE212" s="247"/>
      <c r="EF212" s="247"/>
      <c r="EG212" s="247"/>
      <c r="EH212" s="247"/>
      <c r="EI212" s="247"/>
      <c r="EJ212" s="247"/>
      <c r="EK212" s="247"/>
      <c r="EL212" s="247"/>
      <c r="EM212" s="247"/>
      <c r="EN212" s="247"/>
      <c r="EO212" s="247"/>
      <c r="EP212" s="247"/>
      <c r="EQ212" s="247"/>
      <c r="ER212" s="247"/>
      <c r="ES212" s="247"/>
      <c r="ET212" s="247"/>
      <c r="EU212" s="247"/>
      <c r="EV212" s="247"/>
      <c r="EW212" s="247"/>
      <c r="EX212" s="247"/>
      <c r="EY212" s="247"/>
      <c r="EZ212" s="247"/>
      <c r="FA212" s="247"/>
      <c r="FB212" s="247"/>
      <c r="FC212" s="247"/>
      <c r="FD212" s="247"/>
      <c r="FE212" s="247"/>
      <c r="FF212" s="247"/>
      <c r="FG212" s="247"/>
      <c r="FH212" s="247"/>
      <c r="FI212" s="247"/>
      <c r="FJ212" s="247"/>
      <c r="FK212" s="247"/>
      <c r="FL212" s="247"/>
      <c r="FM212" s="247"/>
      <c r="FN212" s="247"/>
      <c r="FO212" s="247"/>
      <c r="FP212" s="247"/>
      <c r="FQ212" s="247"/>
      <c r="FR212" s="247"/>
      <c r="FS212" s="247"/>
      <c r="FT212" s="247"/>
      <c r="FU212" s="247"/>
      <c r="FV212" s="247"/>
      <c r="FW212" s="247"/>
      <c r="FX212" s="247"/>
      <c r="FY212" s="247"/>
      <c r="FZ212" s="247"/>
      <c r="GA212" s="247"/>
      <c r="GB212" s="247"/>
      <c r="GC212" s="247"/>
    </row>
    <row r="213" spans="1:185" s="191" customFormat="1" ht="30" x14ac:dyDescent="0.25">
      <c r="A213" s="117" t="s">
        <v>108</v>
      </c>
      <c r="B213" s="275">
        <f>'2 уровень'!C340</f>
        <v>2000</v>
      </c>
      <c r="C213" s="275">
        <f>'2 уровень'!D340</f>
        <v>667</v>
      </c>
      <c r="D213" s="691">
        <f>'2 уровень'!E340</f>
        <v>493</v>
      </c>
      <c r="E213" s="276">
        <f>'2 уровень'!F340</f>
        <v>73.91304347826086</v>
      </c>
      <c r="F213" s="196">
        <f>'2 уровень'!G340</f>
        <v>4241.0200000000004</v>
      </c>
      <c r="G213" s="196">
        <f>'2 уровень'!H340</f>
        <v>1413.67</v>
      </c>
      <c r="H213" s="66">
        <f>'2 уровень'!I340</f>
        <v>1029.2516600000001</v>
      </c>
      <c r="I213" s="196">
        <f>'2 уровень'!J340</f>
        <v>72.807066712882076</v>
      </c>
      <c r="J213" s="248"/>
      <c r="K213" s="728"/>
      <c r="L213" s="729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  <c r="BI213" s="247"/>
      <c r="BJ213" s="247"/>
      <c r="BK213" s="247"/>
      <c r="BL213" s="247"/>
      <c r="BM213" s="247"/>
      <c r="BN213" s="247"/>
      <c r="BO213" s="247"/>
      <c r="BP213" s="247"/>
      <c r="BQ213" s="247"/>
      <c r="BR213" s="247"/>
      <c r="BS213" s="247"/>
      <c r="BT213" s="247"/>
      <c r="BU213" s="247"/>
      <c r="BV213" s="247"/>
      <c r="BW213" s="247"/>
      <c r="BX213" s="247"/>
      <c r="BY213" s="247"/>
      <c r="BZ213" s="247"/>
      <c r="CA213" s="247"/>
      <c r="CB213" s="247"/>
      <c r="CC213" s="247"/>
      <c r="CD213" s="247"/>
      <c r="CE213" s="247"/>
      <c r="CF213" s="247"/>
      <c r="CG213" s="247"/>
      <c r="CH213" s="247"/>
      <c r="CI213" s="247"/>
      <c r="CJ213" s="247"/>
      <c r="CK213" s="247"/>
      <c r="CL213" s="247"/>
      <c r="CM213" s="247"/>
      <c r="CN213" s="247"/>
      <c r="CO213" s="247"/>
      <c r="CP213" s="247"/>
      <c r="CQ213" s="247"/>
      <c r="CR213" s="247"/>
      <c r="CS213" s="247"/>
      <c r="CT213" s="247"/>
      <c r="CU213" s="247"/>
      <c r="CV213" s="247"/>
      <c r="CW213" s="247"/>
      <c r="CX213" s="247"/>
      <c r="CY213" s="247"/>
      <c r="CZ213" s="247"/>
      <c r="DA213" s="247"/>
      <c r="DB213" s="247"/>
      <c r="DC213" s="247"/>
      <c r="DD213" s="247"/>
      <c r="DE213" s="247"/>
      <c r="DF213" s="247"/>
      <c r="DG213" s="247"/>
      <c r="DH213" s="247"/>
      <c r="DI213" s="247"/>
      <c r="DJ213" s="247"/>
      <c r="DK213" s="247"/>
      <c r="DL213" s="247"/>
      <c r="DM213" s="247"/>
      <c r="DN213" s="247"/>
      <c r="DO213" s="247"/>
      <c r="DP213" s="247"/>
      <c r="DQ213" s="247"/>
      <c r="DR213" s="247"/>
      <c r="DS213" s="247"/>
      <c r="DT213" s="247"/>
      <c r="DU213" s="247"/>
      <c r="DV213" s="247"/>
      <c r="DW213" s="247"/>
      <c r="DX213" s="247"/>
      <c r="DY213" s="247"/>
      <c r="DZ213" s="247"/>
      <c r="EA213" s="247"/>
      <c r="EB213" s="247"/>
      <c r="EC213" s="247"/>
      <c r="ED213" s="247"/>
      <c r="EE213" s="247"/>
      <c r="EF213" s="247"/>
      <c r="EG213" s="247"/>
      <c r="EH213" s="247"/>
      <c r="EI213" s="247"/>
      <c r="EJ213" s="247"/>
      <c r="EK213" s="247"/>
      <c r="EL213" s="247"/>
      <c r="EM213" s="247"/>
      <c r="EN213" s="247"/>
      <c r="EO213" s="247"/>
      <c r="EP213" s="247"/>
      <c r="EQ213" s="247"/>
      <c r="ER213" s="247"/>
      <c r="ES213" s="247"/>
      <c r="ET213" s="247"/>
      <c r="EU213" s="247"/>
      <c r="EV213" s="247"/>
      <c r="EW213" s="247"/>
      <c r="EX213" s="247"/>
      <c r="EY213" s="247"/>
      <c r="EZ213" s="247"/>
      <c r="FA213" s="247"/>
      <c r="FB213" s="247"/>
      <c r="FC213" s="247"/>
      <c r="FD213" s="247"/>
      <c r="FE213" s="247"/>
      <c r="FF213" s="247"/>
      <c r="FG213" s="247"/>
      <c r="FH213" s="247"/>
      <c r="FI213" s="247"/>
      <c r="FJ213" s="247"/>
      <c r="FK213" s="247"/>
      <c r="FL213" s="247"/>
      <c r="FM213" s="247"/>
      <c r="FN213" s="247"/>
      <c r="FO213" s="247"/>
      <c r="FP213" s="247"/>
      <c r="FQ213" s="247"/>
      <c r="FR213" s="247"/>
      <c r="FS213" s="247"/>
      <c r="FT213" s="247"/>
      <c r="FU213" s="247"/>
      <c r="FV213" s="247"/>
      <c r="FW213" s="247"/>
      <c r="FX213" s="247"/>
      <c r="FY213" s="247"/>
      <c r="FZ213" s="247"/>
      <c r="GA213" s="247"/>
      <c r="GB213" s="247"/>
      <c r="GC213" s="247"/>
    </row>
    <row r="214" spans="1:185" s="191" customFormat="1" ht="60" x14ac:dyDescent="0.25">
      <c r="A214" s="117" t="s">
        <v>81</v>
      </c>
      <c r="B214" s="275">
        <f>'2 уровень'!C341</f>
        <v>3200</v>
      </c>
      <c r="C214" s="275">
        <f>'2 уровень'!D341</f>
        <v>1067</v>
      </c>
      <c r="D214" s="691">
        <f>'2 уровень'!E341</f>
        <v>806</v>
      </c>
      <c r="E214" s="276">
        <f>'2 уровень'!F341</f>
        <v>75.538894095595126</v>
      </c>
      <c r="F214" s="196">
        <f>'2 уровень'!G341</f>
        <v>8810.1440000000002</v>
      </c>
      <c r="G214" s="196">
        <f>'2 уровень'!H341</f>
        <v>2936.71</v>
      </c>
      <c r="H214" s="66">
        <f>'2 уровень'!I341</f>
        <v>2178.4639699999998</v>
      </c>
      <c r="I214" s="196">
        <f>'2 уровень'!J341</f>
        <v>74.180425373972909</v>
      </c>
      <c r="J214" s="248"/>
      <c r="K214" s="728"/>
      <c r="L214" s="729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/>
      <c r="AF214" s="247"/>
      <c r="AG214" s="247"/>
      <c r="AH214" s="247"/>
      <c r="AI214" s="247"/>
      <c r="AJ214" s="247"/>
      <c r="AK214" s="247"/>
      <c r="AL214" s="247"/>
      <c r="AM214" s="247"/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  <c r="BI214" s="247"/>
      <c r="BJ214" s="247"/>
      <c r="BK214" s="247"/>
      <c r="BL214" s="247"/>
      <c r="BM214" s="247"/>
      <c r="BN214" s="247"/>
      <c r="BO214" s="247"/>
      <c r="BP214" s="247"/>
      <c r="BQ214" s="247"/>
      <c r="BR214" s="247"/>
      <c r="BS214" s="247"/>
      <c r="BT214" s="247"/>
      <c r="BU214" s="247"/>
      <c r="BV214" s="247"/>
      <c r="BW214" s="247"/>
      <c r="BX214" s="247"/>
      <c r="BY214" s="247"/>
      <c r="BZ214" s="247"/>
      <c r="CA214" s="247"/>
      <c r="CB214" s="247"/>
      <c r="CC214" s="247"/>
      <c r="CD214" s="247"/>
      <c r="CE214" s="247"/>
      <c r="CF214" s="247"/>
      <c r="CG214" s="247"/>
      <c r="CH214" s="247"/>
      <c r="CI214" s="247"/>
      <c r="CJ214" s="247"/>
      <c r="CK214" s="247"/>
      <c r="CL214" s="247"/>
      <c r="CM214" s="247"/>
      <c r="CN214" s="247"/>
      <c r="CO214" s="247"/>
      <c r="CP214" s="247"/>
      <c r="CQ214" s="247"/>
      <c r="CR214" s="247"/>
      <c r="CS214" s="247"/>
      <c r="CT214" s="247"/>
      <c r="CU214" s="247"/>
      <c r="CV214" s="247"/>
      <c r="CW214" s="247"/>
      <c r="CX214" s="247"/>
      <c r="CY214" s="247"/>
      <c r="CZ214" s="247"/>
      <c r="DA214" s="247"/>
      <c r="DB214" s="247"/>
      <c r="DC214" s="247"/>
      <c r="DD214" s="247"/>
      <c r="DE214" s="247"/>
      <c r="DF214" s="247"/>
      <c r="DG214" s="247"/>
      <c r="DH214" s="247"/>
      <c r="DI214" s="247"/>
      <c r="DJ214" s="247"/>
      <c r="DK214" s="247"/>
      <c r="DL214" s="247"/>
      <c r="DM214" s="247"/>
      <c r="DN214" s="247"/>
      <c r="DO214" s="247"/>
      <c r="DP214" s="247"/>
      <c r="DQ214" s="247"/>
      <c r="DR214" s="247"/>
      <c r="DS214" s="247"/>
      <c r="DT214" s="247"/>
      <c r="DU214" s="247"/>
      <c r="DV214" s="247"/>
      <c r="DW214" s="247"/>
      <c r="DX214" s="247"/>
      <c r="DY214" s="247"/>
      <c r="DZ214" s="247"/>
      <c r="EA214" s="247"/>
      <c r="EB214" s="247"/>
      <c r="EC214" s="247"/>
      <c r="ED214" s="247"/>
      <c r="EE214" s="247"/>
      <c r="EF214" s="247"/>
      <c r="EG214" s="247"/>
      <c r="EH214" s="247"/>
      <c r="EI214" s="247"/>
      <c r="EJ214" s="247"/>
      <c r="EK214" s="247"/>
      <c r="EL214" s="247"/>
      <c r="EM214" s="247"/>
      <c r="EN214" s="247"/>
      <c r="EO214" s="247"/>
      <c r="EP214" s="247"/>
      <c r="EQ214" s="247"/>
      <c r="ER214" s="247"/>
      <c r="ES214" s="247"/>
      <c r="ET214" s="247"/>
      <c r="EU214" s="247"/>
      <c r="EV214" s="247"/>
      <c r="EW214" s="247"/>
      <c r="EX214" s="247"/>
      <c r="EY214" s="247"/>
      <c r="EZ214" s="247"/>
      <c r="FA214" s="247"/>
      <c r="FB214" s="247"/>
      <c r="FC214" s="247"/>
      <c r="FD214" s="247"/>
      <c r="FE214" s="247"/>
      <c r="FF214" s="247"/>
      <c r="FG214" s="247"/>
      <c r="FH214" s="247"/>
      <c r="FI214" s="247"/>
      <c r="FJ214" s="247"/>
      <c r="FK214" s="247"/>
      <c r="FL214" s="247"/>
      <c r="FM214" s="247"/>
      <c r="FN214" s="247"/>
      <c r="FO214" s="247"/>
      <c r="FP214" s="247"/>
      <c r="FQ214" s="247"/>
      <c r="FR214" s="247"/>
      <c r="FS214" s="247"/>
      <c r="FT214" s="247"/>
      <c r="FU214" s="247"/>
      <c r="FV214" s="247"/>
      <c r="FW214" s="247"/>
      <c r="FX214" s="247"/>
      <c r="FY214" s="247"/>
      <c r="FZ214" s="247"/>
      <c r="GA214" s="247"/>
      <c r="GB214" s="247"/>
      <c r="GC214" s="247"/>
    </row>
    <row r="215" spans="1:185" s="191" customFormat="1" ht="45" x14ac:dyDescent="0.25">
      <c r="A215" s="117" t="s">
        <v>109</v>
      </c>
      <c r="B215" s="275">
        <f>'2 уровень'!C342</f>
        <v>2160</v>
      </c>
      <c r="C215" s="275">
        <f>'2 уровень'!D342</f>
        <v>720</v>
      </c>
      <c r="D215" s="691">
        <f>'2 уровень'!E342</f>
        <v>306</v>
      </c>
      <c r="E215" s="276">
        <f>'2 уровень'!F342</f>
        <v>42.5</v>
      </c>
      <c r="F215" s="196">
        <f>'2 уровень'!G342</f>
        <v>2117.1456000000003</v>
      </c>
      <c r="G215" s="196">
        <f>'2 уровень'!H342</f>
        <v>705.72</v>
      </c>
      <c r="H215" s="66">
        <f>'2 уровень'!I342</f>
        <v>325.29293999999999</v>
      </c>
      <c r="I215" s="196">
        <f>'2 уровень'!J342</f>
        <v>46.093768066655329</v>
      </c>
      <c r="J215" s="248"/>
      <c r="K215" s="728"/>
      <c r="L215" s="729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  <c r="BI215" s="247"/>
      <c r="BJ215" s="247"/>
      <c r="BK215" s="247"/>
      <c r="BL215" s="247"/>
      <c r="BM215" s="247"/>
      <c r="BN215" s="247"/>
      <c r="BO215" s="247"/>
      <c r="BP215" s="247"/>
      <c r="BQ215" s="247"/>
      <c r="BR215" s="247"/>
      <c r="BS215" s="247"/>
      <c r="BT215" s="247"/>
      <c r="BU215" s="247"/>
      <c r="BV215" s="247"/>
      <c r="BW215" s="247"/>
      <c r="BX215" s="247"/>
      <c r="BY215" s="247"/>
      <c r="BZ215" s="247"/>
      <c r="CA215" s="247"/>
      <c r="CB215" s="247"/>
      <c r="CC215" s="247"/>
      <c r="CD215" s="247"/>
      <c r="CE215" s="247"/>
      <c r="CF215" s="247"/>
      <c r="CG215" s="247"/>
      <c r="CH215" s="247"/>
      <c r="CI215" s="247"/>
      <c r="CJ215" s="247"/>
      <c r="CK215" s="247"/>
      <c r="CL215" s="247"/>
      <c r="CM215" s="247"/>
      <c r="CN215" s="247"/>
      <c r="CO215" s="247"/>
      <c r="CP215" s="247"/>
      <c r="CQ215" s="247"/>
      <c r="CR215" s="247"/>
      <c r="CS215" s="247"/>
      <c r="CT215" s="247"/>
      <c r="CU215" s="247"/>
      <c r="CV215" s="247"/>
      <c r="CW215" s="247"/>
      <c r="CX215" s="247"/>
      <c r="CY215" s="247"/>
      <c r="CZ215" s="247"/>
      <c r="DA215" s="247"/>
      <c r="DB215" s="247"/>
      <c r="DC215" s="247"/>
      <c r="DD215" s="247"/>
      <c r="DE215" s="247"/>
      <c r="DF215" s="247"/>
      <c r="DG215" s="247"/>
      <c r="DH215" s="247"/>
      <c r="DI215" s="247"/>
      <c r="DJ215" s="247"/>
      <c r="DK215" s="247"/>
      <c r="DL215" s="247"/>
      <c r="DM215" s="247"/>
      <c r="DN215" s="247"/>
      <c r="DO215" s="247"/>
      <c r="DP215" s="247"/>
      <c r="DQ215" s="247"/>
      <c r="DR215" s="247"/>
      <c r="DS215" s="247"/>
      <c r="DT215" s="247"/>
      <c r="DU215" s="247"/>
      <c r="DV215" s="247"/>
      <c r="DW215" s="247"/>
      <c r="DX215" s="247"/>
      <c r="DY215" s="247"/>
      <c r="DZ215" s="247"/>
      <c r="EA215" s="247"/>
      <c r="EB215" s="247"/>
      <c r="EC215" s="247"/>
      <c r="ED215" s="247"/>
      <c r="EE215" s="247"/>
      <c r="EF215" s="247"/>
      <c r="EG215" s="247"/>
      <c r="EH215" s="247"/>
      <c r="EI215" s="247"/>
      <c r="EJ215" s="247"/>
      <c r="EK215" s="247"/>
      <c r="EL215" s="247"/>
      <c r="EM215" s="247"/>
      <c r="EN215" s="247"/>
      <c r="EO215" s="247"/>
      <c r="EP215" s="247"/>
      <c r="EQ215" s="247"/>
      <c r="ER215" s="247"/>
      <c r="ES215" s="247"/>
      <c r="ET215" s="247"/>
      <c r="EU215" s="247"/>
      <c r="EV215" s="247"/>
      <c r="EW215" s="247"/>
      <c r="EX215" s="247"/>
      <c r="EY215" s="247"/>
      <c r="EZ215" s="247"/>
      <c r="FA215" s="247"/>
      <c r="FB215" s="247"/>
      <c r="FC215" s="247"/>
      <c r="FD215" s="247"/>
      <c r="FE215" s="247"/>
      <c r="FF215" s="247"/>
      <c r="FG215" s="247"/>
      <c r="FH215" s="247"/>
      <c r="FI215" s="247"/>
      <c r="FJ215" s="247"/>
      <c r="FK215" s="247"/>
      <c r="FL215" s="247"/>
      <c r="FM215" s="247"/>
      <c r="FN215" s="247"/>
      <c r="FO215" s="247"/>
      <c r="FP215" s="247"/>
      <c r="FQ215" s="247"/>
      <c r="FR215" s="247"/>
      <c r="FS215" s="247"/>
      <c r="FT215" s="247"/>
      <c r="FU215" s="247"/>
      <c r="FV215" s="247"/>
      <c r="FW215" s="247"/>
      <c r="FX215" s="247"/>
      <c r="FY215" s="247"/>
      <c r="FZ215" s="247"/>
      <c r="GA215" s="247"/>
      <c r="GB215" s="247"/>
      <c r="GC215" s="247"/>
    </row>
    <row r="216" spans="1:185" s="191" customFormat="1" ht="30" x14ac:dyDescent="0.25">
      <c r="A216" s="117" t="s">
        <v>123</v>
      </c>
      <c r="B216" s="275">
        <f>'2 уровень'!C343</f>
        <v>12300</v>
      </c>
      <c r="C216" s="275">
        <f>'2 уровень'!D343</f>
        <v>4100</v>
      </c>
      <c r="D216" s="691">
        <f>'2 уровень'!E343</f>
        <v>4448</v>
      </c>
      <c r="E216" s="276">
        <f>'2 уровень'!F343</f>
        <v>108.48780487804879</v>
      </c>
      <c r="F216" s="196">
        <f>'2 уровень'!G343</f>
        <v>11970.606</v>
      </c>
      <c r="G216" s="196">
        <f>'2 уровень'!H343</f>
        <v>3990.2</v>
      </c>
      <c r="H216" s="66">
        <f>'2 уровень'!I343</f>
        <v>4327.0216400000008</v>
      </c>
      <c r="I216" s="196">
        <f>'2 уровень'!J343</f>
        <v>108.44122199388504</v>
      </c>
      <c r="J216" s="104"/>
      <c r="K216" s="104"/>
      <c r="L216" s="104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  <c r="BI216" s="247"/>
      <c r="BJ216" s="247"/>
      <c r="BK216" s="247"/>
      <c r="BL216" s="247"/>
      <c r="BM216" s="247"/>
      <c r="BN216" s="247"/>
      <c r="BO216" s="247"/>
      <c r="BP216" s="247"/>
      <c r="BQ216" s="247"/>
      <c r="BR216" s="247"/>
      <c r="BS216" s="247"/>
      <c r="BT216" s="247"/>
      <c r="BU216" s="247"/>
      <c r="BV216" s="247"/>
      <c r="BW216" s="247"/>
      <c r="BX216" s="247"/>
      <c r="BY216" s="247"/>
      <c r="BZ216" s="247"/>
      <c r="CA216" s="247"/>
      <c r="CB216" s="247"/>
      <c r="CC216" s="247"/>
      <c r="CD216" s="247"/>
      <c r="CE216" s="247"/>
      <c r="CF216" s="247"/>
      <c r="CG216" s="247"/>
      <c r="CH216" s="247"/>
      <c r="CI216" s="247"/>
      <c r="CJ216" s="247"/>
      <c r="CK216" s="247"/>
      <c r="CL216" s="247"/>
      <c r="CM216" s="247"/>
      <c r="CN216" s="247"/>
      <c r="CO216" s="247"/>
      <c r="CP216" s="247"/>
      <c r="CQ216" s="247"/>
      <c r="CR216" s="247"/>
      <c r="CS216" s="247"/>
      <c r="CT216" s="247"/>
      <c r="CU216" s="247"/>
      <c r="CV216" s="247"/>
      <c r="CW216" s="247"/>
      <c r="CX216" s="247"/>
      <c r="CY216" s="247"/>
      <c r="CZ216" s="247"/>
      <c r="DA216" s="247"/>
      <c r="DB216" s="247"/>
      <c r="DC216" s="247"/>
      <c r="DD216" s="247"/>
      <c r="DE216" s="247"/>
      <c r="DF216" s="247"/>
      <c r="DG216" s="247"/>
      <c r="DH216" s="247"/>
      <c r="DI216" s="247"/>
      <c r="DJ216" s="247"/>
      <c r="DK216" s="247"/>
      <c r="DL216" s="247"/>
      <c r="DM216" s="247"/>
      <c r="DN216" s="247"/>
      <c r="DO216" s="247"/>
      <c r="DP216" s="247"/>
      <c r="DQ216" s="247"/>
      <c r="DR216" s="247"/>
      <c r="DS216" s="247"/>
      <c r="DT216" s="247"/>
      <c r="DU216" s="247"/>
      <c r="DV216" s="247"/>
      <c r="DW216" s="247"/>
      <c r="DX216" s="247"/>
      <c r="DY216" s="247"/>
      <c r="DZ216" s="247"/>
      <c r="EA216" s="247"/>
      <c r="EB216" s="247"/>
      <c r="EC216" s="247"/>
      <c r="ED216" s="247"/>
      <c r="EE216" s="247"/>
      <c r="EF216" s="247"/>
      <c r="EG216" s="247"/>
      <c r="EH216" s="247"/>
      <c r="EI216" s="247"/>
      <c r="EJ216" s="247"/>
      <c r="EK216" s="247"/>
      <c r="EL216" s="247"/>
      <c r="EM216" s="247"/>
      <c r="EN216" s="247"/>
      <c r="EO216" s="247"/>
      <c r="EP216" s="247"/>
      <c r="EQ216" s="247"/>
      <c r="ER216" s="247"/>
      <c r="ES216" s="247"/>
      <c r="ET216" s="247"/>
      <c r="EU216" s="247"/>
      <c r="EV216" s="247"/>
      <c r="EW216" s="247"/>
      <c r="EX216" s="247"/>
      <c r="EY216" s="247"/>
      <c r="EZ216" s="247"/>
      <c r="FA216" s="247"/>
      <c r="FB216" s="247"/>
      <c r="FC216" s="247"/>
      <c r="FD216" s="247"/>
      <c r="FE216" s="247"/>
      <c r="FF216" s="247"/>
      <c r="FG216" s="247"/>
      <c r="FH216" s="247"/>
      <c r="FI216" s="247"/>
      <c r="FJ216" s="247"/>
      <c r="FK216" s="247"/>
      <c r="FL216" s="247"/>
      <c r="FM216" s="247"/>
      <c r="FN216" s="247"/>
      <c r="FO216" s="247"/>
      <c r="FP216" s="247"/>
      <c r="FQ216" s="247"/>
      <c r="FR216" s="247"/>
      <c r="FS216" s="247"/>
      <c r="FT216" s="247"/>
      <c r="FU216" s="247"/>
      <c r="FV216" s="247"/>
      <c r="FW216" s="247"/>
      <c r="FX216" s="247"/>
      <c r="FY216" s="247"/>
      <c r="FZ216" s="247"/>
      <c r="GA216" s="247"/>
      <c r="GB216" s="247"/>
      <c r="GC216" s="247"/>
    </row>
    <row r="217" spans="1:185" s="191" customFormat="1" ht="15.75" thickBot="1" x14ac:dyDescent="0.3">
      <c r="A217" s="113" t="s">
        <v>4</v>
      </c>
      <c r="B217" s="275">
        <f>'2 уровень'!C344</f>
        <v>0</v>
      </c>
      <c r="C217" s="275">
        <f>'2 уровень'!D344</f>
        <v>0</v>
      </c>
      <c r="D217" s="691">
        <f>'2 уровень'!E344</f>
        <v>0</v>
      </c>
      <c r="E217" s="276">
        <f>'2 уровень'!F344</f>
        <v>0</v>
      </c>
      <c r="F217" s="196">
        <f>'2 уровень'!G344</f>
        <v>33454.009270000002</v>
      </c>
      <c r="G217" s="196">
        <f>'2 уровень'!H344</f>
        <v>11151.330000000002</v>
      </c>
      <c r="H217" s="66">
        <f>'2 уровень'!I344</f>
        <v>9085.1683799999992</v>
      </c>
      <c r="I217" s="196">
        <f>'2 уровень'!J344</f>
        <v>81.47161262378566</v>
      </c>
      <c r="J217" s="248"/>
      <c r="K217" s="728"/>
      <c r="L217" s="729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  <c r="BI217" s="247"/>
      <c r="BJ217" s="247"/>
      <c r="BK217" s="247"/>
      <c r="BL217" s="247"/>
      <c r="BM217" s="247"/>
      <c r="BN217" s="247"/>
      <c r="BO217" s="247"/>
      <c r="BP217" s="247"/>
      <c r="BQ217" s="247"/>
      <c r="BR217" s="247"/>
      <c r="BS217" s="247"/>
      <c r="BT217" s="247"/>
      <c r="BU217" s="247"/>
      <c r="BV217" s="247"/>
      <c r="BW217" s="247"/>
      <c r="BX217" s="247"/>
      <c r="BY217" s="247"/>
      <c r="BZ217" s="247"/>
      <c r="CA217" s="247"/>
      <c r="CB217" s="247"/>
      <c r="CC217" s="247"/>
      <c r="CD217" s="247"/>
      <c r="CE217" s="247"/>
      <c r="CF217" s="247"/>
      <c r="CG217" s="247"/>
      <c r="CH217" s="247"/>
      <c r="CI217" s="247"/>
      <c r="CJ217" s="247"/>
      <c r="CK217" s="247"/>
      <c r="CL217" s="247"/>
      <c r="CM217" s="247"/>
      <c r="CN217" s="247"/>
      <c r="CO217" s="247"/>
      <c r="CP217" s="247"/>
      <c r="CQ217" s="247"/>
      <c r="CR217" s="247"/>
      <c r="CS217" s="247"/>
      <c r="CT217" s="247"/>
      <c r="CU217" s="247"/>
      <c r="CV217" s="247"/>
      <c r="CW217" s="247"/>
      <c r="CX217" s="247"/>
      <c r="CY217" s="247"/>
      <c r="CZ217" s="247"/>
      <c r="DA217" s="247"/>
      <c r="DB217" s="247"/>
      <c r="DC217" s="247"/>
      <c r="DD217" s="247"/>
      <c r="DE217" s="247"/>
      <c r="DF217" s="247"/>
      <c r="DG217" s="247"/>
      <c r="DH217" s="247"/>
      <c r="DI217" s="247"/>
      <c r="DJ217" s="247"/>
      <c r="DK217" s="247"/>
      <c r="DL217" s="247"/>
      <c r="DM217" s="247"/>
      <c r="DN217" s="247"/>
      <c r="DO217" s="247"/>
      <c r="DP217" s="247"/>
      <c r="DQ217" s="247"/>
      <c r="DR217" s="247"/>
      <c r="DS217" s="247"/>
      <c r="DT217" s="247"/>
      <c r="DU217" s="247"/>
      <c r="DV217" s="247"/>
      <c r="DW217" s="247"/>
      <c r="DX217" s="247"/>
      <c r="DY217" s="247"/>
      <c r="DZ217" s="247"/>
      <c r="EA217" s="247"/>
      <c r="EB217" s="247"/>
      <c r="EC217" s="247"/>
      <c r="ED217" s="247"/>
      <c r="EE217" s="247"/>
      <c r="EF217" s="247"/>
      <c r="EG217" s="247"/>
      <c r="EH217" s="247"/>
      <c r="EI217" s="247"/>
      <c r="EJ217" s="247"/>
      <c r="EK217" s="247"/>
      <c r="EL217" s="247"/>
      <c r="EM217" s="247"/>
      <c r="EN217" s="247"/>
      <c r="EO217" s="247"/>
      <c r="EP217" s="247"/>
      <c r="EQ217" s="247"/>
      <c r="ER217" s="247"/>
      <c r="ES217" s="247"/>
      <c r="ET217" s="247"/>
      <c r="EU217" s="247"/>
      <c r="EV217" s="247"/>
      <c r="EW217" s="247"/>
      <c r="EX217" s="247"/>
      <c r="EY217" s="247"/>
      <c r="EZ217" s="247"/>
      <c r="FA217" s="247"/>
      <c r="FB217" s="247"/>
      <c r="FC217" s="247"/>
      <c r="FD217" s="247"/>
      <c r="FE217" s="247"/>
      <c r="FF217" s="247"/>
      <c r="FG217" s="247"/>
      <c r="FH217" s="247"/>
      <c r="FI217" s="247"/>
      <c r="FJ217" s="247"/>
      <c r="FK217" s="247"/>
      <c r="FL217" s="247"/>
      <c r="FM217" s="247"/>
      <c r="FN217" s="247"/>
      <c r="FO217" s="247"/>
      <c r="FP217" s="247"/>
      <c r="FQ217" s="247"/>
      <c r="FR217" s="247"/>
      <c r="FS217" s="247"/>
      <c r="FT217" s="247"/>
      <c r="FU217" s="247"/>
      <c r="FV217" s="247"/>
      <c r="FW217" s="247"/>
      <c r="FX217" s="247"/>
      <c r="FY217" s="247"/>
      <c r="FZ217" s="247"/>
      <c r="GA217" s="247"/>
      <c r="GB217" s="247"/>
      <c r="GC217" s="247"/>
    </row>
    <row r="218" spans="1:185" ht="15" customHeight="1" x14ac:dyDescent="0.25">
      <c r="A218" s="97" t="s">
        <v>30</v>
      </c>
      <c r="B218" s="98"/>
      <c r="C218" s="98"/>
      <c r="D218" s="98"/>
      <c r="E218" s="184"/>
      <c r="F218" s="99"/>
      <c r="G218" s="99"/>
      <c r="H218" s="99"/>
      <c r="I218" s="99"/>
      <c r="J218" s="104"/>
      <c r="L218" s="729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43" t="s">
        <v>120</v>
      </c>
      <c r="B219" s="540">
        <f>'2 уровень'!C359</f>
        <v>400</v>
      </c>
      <c r="C219" s="540">
        <f>'2 уровень'!D359</f>
        <v>134</v>
      </c>
      <c r="D219" s="540">
        <f>'2 уровень'!E359</f>
        <v>126</v>
      </c>
      <c r="E219" s="541">
        <f>'2 уровень'!F359</f>
        <v>94.029850746268664</v>
      </c>
      <c r="F219" s="569">
        <f>'2 уровень'!G359</f>
        <v>794.96517999999992</v>
      </c>
      <c r="G219" s="569">
        <f>'2 уровень'!H359</f>
        <v>264.99</v>
      </c>
      <c r="H219" s="569">
        <f>'2 уровень'!I359</f>
        <v>172.84364000000002</v>
      </c>
      <c r="I219" s="569">
        <f>'2 уровень'!J359</f>
        <v>65.226476470810226</v>
      </c>
      <c r="J219" s="104"/>
      <c r="L219" s="729"/>
    </row>
    <row r="220" spans="1:185" ht="30" x14ac:dyDescent="0.25">
      <c r="A220" s="117" t="s">
        <v>79</v>
      </c>
      <c r="B220" s="252">
        <f>'2 уровень'!C360</f>
        <v>278</v>
      </c>
      <c r="C220" s="252">
        <f>'2 уровень'!D360</f>
        <v>93</v>
      </c>
      <c r="D220" s="50">
        <f>'2 уровень'!E360</f>
        <v>126</v>
      </c>
      <c r="E220" s="253">
        <f>'2 уровень'!F360</f>
        <v>135.48387096774192</v>
      </c>
      <c r="F220" s="196">
        <f>'2 уровень'!G360</f>
        <v>422.80919999999998</v>
      </c>
      <c r="G220" s="196">
        <f>'2 уровень'!H360</f>
        <v>140.94</v>
      </c>
      <c r="H220" s="66">
        <f>'2 уровень'!I360</f>
        <v>185.92850000000001</v>
      </c>
      <c r="I220" s="196">
        <f>'2 уровень'!J360</f>
        <v>131.92032070384562</v>
      </c>
      <c r="J220" s="104"/>
      <c r="L220" s="729"/>
    </row>
    <row r="221" spans="1:185" ht="30" x14ac:dyDescent="0.25">
      <c r="A221" s="117" t="s">
        <v>80</v>
      </c>
      <c r="B221" s="252">
        <f>'2 уровень'!C361</f>
        <v>83</v>
      </c>
      <c r="C221" s="252">
        <f>'2 уровень'!D361</f>
        <v>28</v>
      </c>
      <c r="D221" s="50">
        <f>'2 уровень'!E361</f>
        <v>0</v>
      </c>
      <c r="E221" s="253">
        <f>'2 уровень'!F361</f>
        <v>0</v>
      </c>
      <c r="F221" s="196">
        <f>'2 уровень'!G361</f>
        <v>116.23486</v>
      </c>
      <c r="G221" s="196">
        <f>'2 уровень'!H361</f>
        <v>38.74</v>
      </c>
      <c r="H221" s="66">
        <f>'2 уровень'!I361</f>
        <v>-13.084860000000001</v>
      </c>
      <c r="I221" s="196">
        <f>'2 уровень'!J361</f>
        <v>-33.776097057305108</v>
      </c>
      <c r="J221" s="104"/>
      <c r="L221" s="729"/>
    </row>
    <row r="222" spans="1:185" ht="45" x14ac:dyDescent="0.25">
      <c r="A222" s="117" t="s">
        <v>110</v>
      </c>
      <c r="B222" s="252">
        <f>'2 уровень'!C362</f>
        <v>0</v>
      </c>
      <c r="C222" s="252">
        <f>'2 уровень'!D362</f>
        <v>0</v>
      </c>
      <c r="D222" s="50">
        <f>'2 уровень'!E362</f>
        <v>0</v>
      </c>
      <c r="E222" s="253">
        <f>'2 уровень'!F362</f>
        <v>0</v>
      </c>
      <c r="F222" s="196">
        <f>'2 уровень'!G362</f>
        <v>0</v>
      </c>
      <c r="G222" s="196">
        <f>'2 уровень'!H362</f>
        <v>0</v>
      </c>
      <c r="H222" s="66">
        <f>'2 уровень'!I362</f>
        <v>0</v>
      </c>
      <c r="I222" s="196">
        <f>'2 уровень'!J362</f>
        <v>0</v>
      </c>
      <c r="J222" s="104"/>
      <c r="L222" s="729"/>
    </row>
    <row r="223" spans="1:185" ht="30" x14ac:dyDescent="0.25">
      <c r="A223" s="117" t="s">
        <v>111</v>
      </c>
      <c r="B223" s="252">
        <f>'2 уровень'!C363</f>
        <v>39</v>
      </c>
      <c r="C223" s="252">
        <f>'2 уровень'!D363</f>
        <v>13</v>
      </c>
      <c r="D223" s="50">
        <f>'2 уровень'!E363</f>
        <v>0</v>
      </c>
      <c r="E223" s="253">
        <f>'2 уровень'!F363</f>
        <v>0</v>
      </c>
      <c r="F223" s="196">
        <f>'2 уровень'!G363</f>
        <v>255.92112</v>
      </c>
      <c r="G223" s="196">
        <f>'2 уровень'!H363</f>
        <v>85.31</v>
      </c>
      <c r="H223" s="66">
        <f>'2 уровень'!I363</f>
        <v>0</v>
      </c>
      <c r="I223" s="196">
        <f>'2 уровень'!J363</f>
        <v>0</v>
      </c>
      <c r="J223" s="104"/>
      <c r="L223" s="729"/>
    </row>
    <row r="224" spans="1:185" ht="30" x14ac:dyDescent="0.25">
      <c r="A224" s="543" t="s">
        <v>112</v>
      </c>
      <c r="B224" s="540">
        <f>'2 уровень'!C364</f>
        <v>723</v>
      </c>
      <c r="C224" s="540">
        <f>'2 уровень'!D364</f>
        <v>242</v>
      </c>
      <c r="D224" s="540">
        <f>'2 уровень'!E364</f>
        <v>158</v>
      </c>
      <c r="E224" s="541">
        <f>'2 уровень'!F364</f>
        <v>65.289256198347118</v>
      </c>
      <c r="F224" s="569">
        <f>'2 уровень'!G364</f>
        <v>1484.9919300000001</v>
      </c>
      <c r="G224" s="569">
        <f>'2 уровень'!H364</f>
        <v>494.99999999999994</v>
      </c>
      <c r="H224" s="569">
        <f>'2 уровень'!I364</f>
        <v>405.36119000000008</v>
      </c>
      <c r="I224" s="569">
        <f>'2 уровень'!J364</f>
        <v>81.891149494949516</v>
      </c>
      <c r="J224" s="104"/>
      <c r="L224" s="729"/>
    </row>
    <row r="225" spans="1:185" ht="30" x14ac:dyDescent="0.25">
      <c r="A225" s="117" t="s">
        <v>108</v>
      </c>
      <c r="B225" s="252">
        <f>'2 уровень'!C365</f>
        <v>20</v>
      </c>
      <c r="C225" s="252">
        <f>'2 уровень'!D365</f>
        <v>7</v>
      </c>
      <c r="D225" s="50">
        <f>'2 уровень'!E365</f>
        <v>0</v>
      </c>
      <c r="E225" s="253">
        <f>'2 уровень'!F365</f>
        <v>0</v>
      </c>
      <c r="F225" s="196">
        <f>'2 уровень'!G365</f>
        <v>42.410199999999996</v>
      </c>
      <c r="G225" s="196">
        <f>'2 уровень'!H365</f>
        <v>14.14</v>
      </c>
      <c r="H225" s="66">
        <f>'2 уровень'!I365</f>
        <v>0</v>
      </c>
      <c r="I225" s="196">
        <f>'2 уровень'!J365</f>
        <v>0</v>
      </c>
      <c r="J225" s="104"/>
      <c r="L225" s="729"/>
    </row>
    <row r="226" spans="1:185" ht="60" x14ac:dyDescent="0.25">
      <c r="A226" s="117" t="s">
        <v>81</v>
      </c>
      <c r="B226" s="252">
        <f>'2 уровень'!C366</f>
        <v>425</v>
      </c>
      <c r="C226" s="252">
        <f>'2 уровень'!D366</f>
        <v>142</v>
      </c>
      <c r="D226" s="50">
        <f>'2 уровень'!E366</f>
        <v>149</v>
      </c>
      <c r="E226" s="253">
        <f>'2 уровень'!F366</f>
        <v>104.92957746478872</v>
      </c>
      <c r="F226" s="196">
        <f>'2 уровень'!G366</f>
        <v>1170.09725</v>
      </c>
      <c r="G226" s="196">
        <f>'2 уровень'!H366</f>
        <v>390.03</v>
      </c>
      <c r="H226" s="66">
        <f>'2 уровень'!I366</f>
        <v>397.12529000000006</v>
      </c>
      <c r="I226" s="196">
        <f>'2 уровень'!J366</f>
        <v>101.81916519242111</v>
      </c>
      <c r="J226" s="104"/>
      <c r="L226" s="729"/>
    </row>
    <row r="227" spans="1:185" ht="45" x14ac:dyDescent="0.25">
      <c r="A227" s="117" t="s">
        <v>109</v>
      </c>
      <c r="B227" s="252">
        <f>'2 уровень'!C367</f>
        <v>278</v>
      </c>
      <c r="C227" s="252">
        <f>'2 уровень'!D367</f>
        <v>93</v>
      </c>
      <c r="D227" s="50">
        <f>'2 уровень'!E367</f>
        <v>9</v>
      </c>
      <c r="E227" s="253">
        <f>'2 уровень'!F367</f>
        <v>9.67741935483871</v>
      </c>
      <c r="F227" s="196">
        <f>'2 уровень'!G367</f>
        <v>272.48447999999996</v>
      </c>
      <c r="G227" s="196">
        <f>'2 уровень'!H367</f>
        <v>90.83</v>
      </c>
      <c r="H227" s="66">
        <f>'2 уровень'!I367</f>
        <v>8.2358999999999991</v>
      </c>
      <c r="I227" s="196">
        <f>'2 уровень'!J367</f>
        <v>9.0673786193988768</v>
      </c>
      <c r="J227" s="104"/>
      <c r="L227" s="729"/>
    </row>
    <row r="228" spans="1:185" ht="30" x14ac:dyDescent="0.25">
      <c r="A228" s="117" t="s">
        <v>123</v>
      </c>
      <c r="B228" s="252">
        <f>'2 уровень'!C368</f>
        <v>990</v>
      </c>
      <c r="C228" s="252">
        <f>'2 уровень'!D368</f>
        <v>330</v>
      </c>
      <c r="D228" s="50">
        <f>'2 уровень'!E368</f>
        <v>275</v>
      </c>
      <c r="E228" s="253">
        <f>'2 уровень'!F368</f>
        <v>83.333333333333343</v>
      </c>
      <c r="F228" s="196">
        <f>'2 уровень'!G368</f>
        <v>963.48779999999999</v>
      </c>
      <c r="G228" s="196">
        <f>'2 уровень'!H368</f>
        <v>321.16000000000003</v>
      </c>
      <c r="H228" s="66">
        <f>'2 уровень'!I368</f>
        <v>266.01731999999998</v>
      </c>
      <c r="I228" s="196">
        <f>'2 уровень'!J368</f>
        <v>82.830153194669307</v>
      </c>
      <c r="J228" s="104"/>
      <c r="K228" s="104"/>
      <c r="L228" s="104"/>
    </row>
    <row r="229" spans="1:185" ht="15.75" thickBot="1" x14ac:dyDescent="0.3">
      <c r="A229" s="113" t="s">
        <v>4</v>
      </c>
      <c r="B229" s="252">
        <f>'2 уровень'!C369</f>
        <v>0</v>
      </c>
      <c r="C229" s="252">
        <f>'2 уровень'!D369</f>
        <v>0</v>
      </c>
      <c r="D229" s="50">
        <f>'2 уровень'!E369</f>
        <v>0</v>
      </c>
      <c r="E229" s="253">
        <f>'2 уровень'!F369</f>
        <v>0</v>
      </c>
      <c r="F229" s="196">
        <f>'2 уровень'!G369</f>
        <v>3243.4449100000002</v>
      </c>
      <c r="G229" s="196">
        <f>'2 уровень'!H369</f>
        <v>1081.1500000000001</v>
      </c>
      <c r="H229" s="66">
        <f>'2 уровень'!I369</f>
        <v>844.22215000000006</v>
      </c>
      <c r="I229" s="196">
        <f>'2 уровень'!J369</f>
        <v>78.085570919853851</v>
      </c>
      <c r="J229" s="104"/>
      <c r="L229" s="729"/>
    </row>
    <row r="230" spans="1:185" s="55" customFormat="1" ht="15" customHeight="1" x14ac:dyDescent="0.25">
      <c r="A230" s="101" t="s">
        <v>31</v>
      </c>
      <c r="B230" s="102"/>
      <c r="C230" s="102"/>
      <c r="D230" s="102"/>
      <c r="E230" s="186"/>
      <c r="F230" s="103"/>
      <c r="G230" s="103"/>
      <c r="H230" s="103"/>
      <c r="I230" s="103"/>
      <c r="J230" s="104"/>
      <c r="K230" s="728"/>
      <c r="L230" s="729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43" t="s">
        <v>120</v>
      </c>
      <c r="B231" s="540">
        <f>'1 уровень'!C389</f>
        <v>13677</v>
      </c>
      <c r="C231" s="540">
        <f>'1 уровень'!D389</f>
        <v>4559</v>
      </c>
      <c r="D231" s="540">
        <f>'1 уровень'!E389</f>
        <v>5198</v>
      </c>
      <c r="E231" s="541">
        <f>'1 уровень'!F389</f>
        <v>114.01623162974337</v>
      </c>
      <c r="F231" s="569">
        <f>'1 уровень'!G389</f>
        <v>19498.545219999996</v>
      </c>
      <c r="G231" s="569">
        <f>'1 уровень'!H389</f>
        <v>6499.51</v>
      </c>
      <c r="H231" s="569">
        <f>'1 уровень'!I389</f>
        <v>7383.6522800000002</v>
      </c>
      <c r="I231" s="569">
        <f>'1 уровень'!J389</f>
        <v>113.60321439616217</v>
      </c>
      <c r="J231" s="104"/>
      <c r="L231" s="729"/>
    </row>
    <row r="232" spans="1:185" ht="30" x14ac:dyDescent="0.25">
      <c r="A232" s="117" t="s">
        <v>79</v>
      </c>
      <c r="B232" s="50">
        <f>'1 уровень'!C390</f>
        <v>10401</v>
      </c>
      <c r="C232" s="50">
        <f>'1 уровень'!D390</f>
        <v>3467</v>
      </c>
      <c r="D232" s="50">
        <f>'1 уровень'!E390</f>
        <v>3947</v>
      </c>
      <c r="E232" s="181">
        <f>'1 уровень'!F390</f>
        <v>113.84482261321027</v>
      </c>
      <c r="F232" s="66">
        <f>'1 уровень'!G390</f>
        <v>13875.1158</v>
      </c>
      <c r="G232" s="66">
        <f>'1 уровень'!H390</f>
        <v>4625.0300000000007</v>
      </c>
      <c r="H232" s="66">
        <f>'1 уровень'!I390</f>
        <v>4947.9729699999998</v>
      </c>
      <c r="I232" s="66">
        <f>'1 уровень'!J390</f>
        <v>106.9825054107757</v>
      </c>
      <c r="J232" s="104"/>
      <c r="L232" s="729"/>
    </row>
    <row r="233" spans="1:185" ht="30" x14ac:dyDescent="0.25">
      <c r="A233" s="117" t="s">
        <v>80</v>
      </c>
      <c r="B233" s="50">
        <f>'1 уровень'!C391</f>
        <v>3120</v>
      </c>
      <c r="C233" s="50">
        <f>'1 уровень'!D391</f>
        <v>1040</v>
      </c>
      <c r="D233" s="50">
        <f>'1 уровень'!E391</f>
        <v>1109</v>
      </c>
      <c r="E233" s="181">
        <f>'1 уровень'!F391</f>
        <v>106.63461538461539</v>
      </c>
      <c r="F233" s="66">
        <f>'1 уровень'!G391</f>
        <v>4770.3590200000008</v>
      </c>
      <c r="G233" s="66">
        <f>'1 уровень'!H391</f>
        <v>1590.12</v>
      </c>
      <c r="H233" s="66">
        <f>'1 уровень'!I391</f>
        <v>1659.16651</v>
      </c>
      <c r="I233" s="66">
        <f>'1 уровень'!J391</f>
        <v>104.34222008401883</v>
      </c>
      <c r="J233" s="104"/>
      <c r="L233" s="729"/>
    </row>
    <row r="234" spans="1:185" ht="45" x14ac:dyDescent="0.25">
      <c r="A234" s="117" t="s">
        <v>110</v>
      </c>
      <c r="B234" s="50">
        <f>'1 уровень'!C392</f>
        <v>60</v>
      </c>
      <c r="C234" s="50">
        <f>'1 уровень'!D392</f>
        <v>20</v>
      </c>
      <c r="D234" s="50">
        <f>'1 уровень'!E392</f>
        <v>70</v>
      </c>
      <c r="E234" s="181">
        <f>'1 уровень'!F392</f>
        <v>350</v>
      </c>
      <c r="F234" s="66">
        <f>'1 уровень'!G392</f>
        <v>328.10399999999998</v>
      </c>
      <c r="G234" s="66">
        <f>'1 уровень'!H392</f>
        <v>109.37</v>
      </c>
      <c r="H234" s="66">
        <f>'1 уровень'!I392</f>
        <v>382.78800000000001</v>
      </c>
      <c r="I234" s="66">
        <f>'1 уровень'!J392</f>
        <v>349.99359970741517</v>
      </c>
      <c r="J234" s="104"/>
      <c r="L234" s="729"/>
    </row>
    <row r="235" spans="1:185" ht="30" x14ac:dyDescent="0.25">
      <c r="A235" s="117" t="s">
        <v>111</v>
      </c>
      <c r="B235" s="50">
        <f>'1 уровень'!C393</f>
        <v>96</v>
      </c>
      <c r="C235" s="50">
        <f>'1 уровень'!D393</f>
        <v>32</v>
      </c>
      <c r="D235" s="50">
        <f>'1 уровень'!E393</f>
        <v>72</v>
      </c>
      <c r="E235" s="181">
        <f>'1 уровень'!F393</f>
        <v>225</v>
      </c>
      <c r="F235" s="66">
        <f>'1 уровень'!G393</f>
        <v>524.96640000000002</v>
      </c>
      <c r="G235" s="66">
        <f>'1 уровень'!H393</f>
        <v>174.99</v>
      </c>
      <c r="H235" s="66">
        <f>'1 уровень'!I393</f>
        <v>393.72480000000002</v>
      </c>
      <c r="I235" s="66">
        <f>'1 уровень'!J393</f>
        <v>224.99845705468883</v>
      </c>
      <c r="J235" s="104"/>
      <c r="L235" s="729"/>
    </row>
    <row r="236" spans="1:185" ht="30" x14ac:dyDescent="0.25">
      <c r="A236" s="543" t="s">
        <v>112</v>
      </c>
      <c r="B236" s="540">
        <f>'1 уровень'!C394</f>
        <v>25466</v>
      </c>
      <c r="C236" s="540">
        <f>'1 уровень'!D394</f>
        <v>8488</v>
      </c>
      <c r="D236" s="540">
        <f>'1 уровень'!E394</f>
        <v>7878</v>
      </c>
      <c r="E236" s="541">
        <f>'1 уровень'!F394</f>
        <v>92.813383600376994</v>
      </c>
      <c r="F236" s="569">
        <f>'1 уровень'!G394</f>
        <v>42622.933799999999</v>
      </c>
      <c r="G236" s="569">
        <f>'1 уровень'!H394</f>
        <v>14207.649999999998</v>
      </c>
      <c r="H236" s="569">
        <f>'1 уровень'!I394</f>
        <v>10984.269950000002</v>
      </c>
      <c r="I236" s="569">
        <f>'1 уровень'!J394</f>
        <v>77.312363057930071</v>
      </c>
      <c r="J236" s="104"/>
      <c r="L236" s="729"/>
    </row>
    <row r="237" spans="1:185" ht="30" x14ac:dyDescent="0.25">
      <c r="A237" s="117" t="s">
        <v>108</v>
      </c>
      <c r="B237" s="50">
        <f>'1 уровень'!C395</f>
        <v>550</v>
      </c>
      <c r="C237" s="50">
        <f>'1 уровень'!D395</f>
        <v>183</v>
      </c>
      <c r="D237" s="50">
        <f>'1 уровень'!E395</f>
        <v>93</v>
      </c>
      <c r="E237" s="181">
        <f>'1 уровень'!F395</f>
        <v>50.819672131147541</v>
      </c>
      <c r="F237" s="66">
        <f>'1 уровень'!G395</f>
        <v>971.90499999999997</v>
      </c>
      <c r="G237" s="66">
        <f>'1 уровень'!H395</f>
        <v>323.97000000000003</v>
      </c>
      <c r="H237" s="66">
        <f>'1 уровень'!I395</f>
        <v>165.19528</v>
      </c>
      <c r="I237" s="66">
        <f>'1 уровень'!J395</f>
        <v>50.99091891224495</v>
      </c>
      <c r="J237" s="104"/>
      <c r="L237" s="729"/>
    </row>
    <row r="238" spans="1:185" ht="60" x14ac:dyDescent="0.25">
      <c r="A238" s="117" t="s">
        <v>81</v>
      </c>
      <c r="B238" s="50">
        <f>'1 уровень'!C396</f>
        <v>14416</v>
      </c>
      <c r="C238" s="50">
        <f>'1 уровень'!D396</f>
        <v>4805</v>
      </c>
      <c r="D238" s="50">
        <f>'1 уровень'!E396</f>
        <v>5404</v>
      </c>
      <c r="E238" s="181">
        <f>'1 уровень'!F396</f>
        <v>112.46618106139439</v>
      </c>
      <c r="F238" s="66">
        <f>'1 уровень'!G396</f>
        <v>33074.628799999999</v>
      </c>
      <c r="G238" s="66">
        <f>'1 уровень'!H396</f>
        <v>11024.88</v>
      </c>
      <c r="H238" s="66">
        <f>'1 уровень'!I396</f>
        <v>8812.6505500000021</v>
      </c>
      <c r="I238" s="66">
        <f>'1 уровень'!J396</f>
        <v>79.934208354195263</v>
      </c>
      <c r="J238" s="104"/>
      <c r="L238" s="729"/>
    </row>
    <row r="239" spans="1:185" ht="45" x14ac:dyDescent="0.25">
      <c r="A239" s="117" t="s">
        <v>109</v>
      </c>
      <c r="B239" s="50">
        <f>'1 уровень'!C397</f>
        <v>10500</v>
      </c>
      <c r="C239" s="50">
        <f>'1 уровень'!D397</f>
        <v>3500</v>
      </c>
      <c r="D239" s="50">
        <f>'1 уровень'!E397</f>
        <v>2381</v>
      </c>
      <c r="E239" s="181">
        <f>'1 уровень'!F397</f>
        <v>68.028571428571425</v>
      </c>
      <c r="F239" s="66">
        <f>'1 уровень'!G397</f>
        <v>8576.4</v>
      </c>
      <c r="G239" s="66">
        <f>'1 уровень'!H397</f>
        <v>2858.8</v>
      </c>
      <c r="H239" s="66">
        <f>'1 уровень'!I397</f>
        <v>2006.4241199999999</v>
      </c>
      <c r="I239" s="66">
        <f>'1 уровень'!J397</f>
        <v>70.184137400307804</v>
      </c>
      <c r="J239" s="104"/>
      <c r="L239" s="729"/>
    </row>
    <row r="240" spans="1:185" ht="30" x14ac:dyDescent="0.25">
      <c r="A240" s="286" t="s">
        <v>123</v>
      </c>
      <c r="B240" s="50">
        <f>'1 уровень'!C398</f>
        <v>39663</v>
      </c>
      <c r="C240" s="50">
        <f>'1 уровень'!D398</f>
        <v>13221</v>
      </c>
      <c r="D240" s="50">
        <f>'1 уровень'!E398</f>
        <v>13303</v>
      </c>
      <c r="E240" s="181">
        <f>'1 уровень'!F398</f>
        <v>100.62022539898645</v>
      </c>
      <c r="F240" s="66">
        <f>'1 уровень'!G398</f>
        <v>32167.486260000001</v>
      </c>
      <c r="G240" s="66">
        <f>'1 уровень'!H398</f>
        <v>10722.5</v>
      </c>
      <c r="H240" s="66">
        <f>'1 уровень'!I398</f>
        <v>10717.943599999999</v>
      </c>
      <c r="I240" s="66">
        <f>'1 уровень'!J398</f>
        <v>99.957506178596404</v>
      </c>
      <c r="J240" s="104"/>
      <c r="K240" s="104"/>
      <c r="L240" s="104"/>
    </row>
    <row r="241" spans="1:185" ht="15.75" thickBot="1" x14ac:dyDescent="0.3">
      <c r="A241" s="585" t="s">
        <v>105</v>
      </c>
      <c r="B241" s="545">
        <f>'1 уровень'!C399</f>
        <v>0</v>
      </c>
      <c r="C241" s="545">
        <f>'1 уровень'!D399</f>
        <v>0</v>
      </c>
      <c r="D241" s="545">
        <f>'1 уровень'!E399</f>
        <v>0</v>
      </c>
      <c r="E241" s="546">
        <f>'1 уровень'!F399</f>
        <v>0</v>
      </c>
      <c r="F241" s="586">
        <f>'1 уровень'!G399</f>
        <v>94288.965280000004</v>
      </c>
      <c r="G241" s="586">
        <f>'1 уровень'!H399</f>
        <v>31429.66</v>
      </c>
      <c r="H241" s="586">
        <f>'1 уровень'!I399</f>
        <v>29085.865830000002</v>
      </c>
      <c r="I241" s="586">
        <f>'1 уровень'!J399</f>
        <v>92.542731388121922</v>
      </c>
      <c r="J241" s="104"/>
      <c r="L241" s="729"/>
    </row>
    <row r="242" spans="1:185" s="46" customFormat="1" ht="15" customHeight="1" x14ac:dyDescent="0.25">
      <c r="A242" s="587" t="s">
        <v>32</v>
      </c>
      <c r="B242" s="588"/>
      <c r="C242" s="588"/>
      <c r="D242" s="588"/>
      <c r="E242" s="589"/>
      <c r="F242" s="590"/>
      <c r="G242" s="590"/>
      <c r="H242" s="590"/>
      <c r="I242" s="590"/>
      <c r="J242" s="104"/>
      <c r="K242" s="728"/>
      <c r="L242" s="729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198" t="s">
        <v>120</v>
      </c>
      <c r="B243" s="70">
        <f>'1 уровень'!C20</f>
        <v>1533</v>
      </c>
      <c r="C243" s="70">
        <f>'1 уровень'!D20</f>
        <v>511</v>
      </c>
      <c r="D243" s="70">
        <f>'1 уровень'!E20</f>
        <v>181</v>
      </c>
      <c r="E243" s="70">
        <f>'1 уровень'!F20</f>
        <v>35.420743639921717</v>
      </c>
      <c r="F243" s="70">
        <f>'1 уровень'!G20</f>
        <v>2329.9957899999999</v>
      </c>
      <c r="G243" s="70">
        <f>'1 уровень'!H20</f>
        <v>776.67</v>
      </c>
      <c r="H243" s="697">
        <f>'1 уровень'!I20</f>
        <v>199.68741</v>
      </c>
      <c r="I243" s="66">
        <f>'1 уровень'!J20</f>
        <v>25.710714975472211</v>
      </c>
      <c r="J243" s="104"/>
      <c r="L243" s="729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3" t="s">
        <v>79</v>
      </c>
      <c r="B244" s="70">
        <f>'1 уровень'!C21</f>
        <v>1179</v>
      </c>
      <c r="C244" s="70">
        <f>'1 уровень'!D21</f>
        <v>393</v>
      </c>
      <c r="D244" s="70">
        <f>'1 уровень'!E21</f>
        <v>150</v>
      </c>
      <c r="E244" s="70">
        <f>'1 уровень'!F21</f>
        <v>38.167938931297712</v>
      </c>
      <c r="F244" s="70">
        <f>'1 уровень'!G21</f>
        <v>1750.6734000000001</v>
      </c>
      <c r="G244" s="70">
        <f>'1 уровень'!H21</f>
        <v>583.55999999999995</v>
      </c>
      <c r="H244" s="697">
        <f>'1 уровень'!I21</f>
        <v>147.19498000000002</v>
      </c>
      <c r="I244" s="66">
        <f>'1 уровень'!J21</f>
        <v>25.223623963259996</v>
      </c>
      <c r="J244" s="104"/>
      <c r="L244" s="729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3" t="s">
        <v>80</v>
      </c>
      <c r="B245" s="70">
        <f>'1 уровень'!C22</f>
        <v>354</v>
      </c>
      <c r="C245" s="70">
        <f>'1 уровень'!D22</f>
        <v>118</v>
      </c>
      <c r="D245" s="70">
        <f>'1 уровень'!E22</f>
        <v>31</v>
      </c>
      <c r="E245" s="70">
        <f>'1 уровень'!F22</f>
        <v>26.271186440677969</v>
      </c>
      <c r="F245" s="70">
        <f>'1 уровень'!G22</f>
        <v>579.32239000000004</v>
      </c>
      <c r="G245" s="70">
        <f>'1 уровень'!H22</f>
        <v>193.11</v>
      </c>
      <c r="H245" s="66">
        <f>'1 уровень'!I22</f>
        <v>52.492429999999999</v>
      </c>
      <c r="I245" s="66">
        <f>'1 уровень'!J22</f>
        <v>27.182657552690177</v>
      </c>
      <c r="J245" s="104"/>
      <c r="L245" s="729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18" t="s">
        <v>112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70">
        <f>'1 уровень'!F23</f>
        <v>0</v>
      </c>
      <c r="F246" s="70">
        <f>'1 уровень'!G23</f>
        <v>0</v>
      </c>
      <c r="G246" s="70">
        <f>'1 уровень'!H23</f>
        <v>0</v>
      </c>
      <c r="H246" s="66">
        <f>'1 уровень'!I23</f>
        <v>0</v>
      </c>
      <c r="I246" s="66">
        <f>'1 уровень'!J23</f>
        <v>0</v>
      </c>
      <c r="J246" s="104"/>
      <c r="L246" s="729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17" t="s">
        <v>108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70">
        <f>'1 уровень'!F24</f>
        <v>0</v>
      </c>
      <c r="F247" s="70">
        <f>'1 уровень'!G24</f>
        <v>0</v>
      </c>
      <c r="G247" s="70">
        <f>'1 уровень'!H24</f>
        <v>0</v>
      </c>
      <c r="H247" s="66">
        <f>'1 уровень'!I24</f>
        <v>0</v>
      </c>
      <c r="I247" s="66">
        <f>'1 уровень'!J24</f>
        <v>0</v>
      </c>
      <c r="J247" s="104"/>
      <c r="L247" s="729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17" t="s">
        <v>123</v>
      </c>
      <c r="B248" s="70">
        <f>'1 уровень'!C25</f>
        <v>100</v>
      </c>
      <c r="C248" s="70">
        <f>'1 уровень'!D25</f>
        <v>33</v>
      </c>
      <c r="D248" s="70">
        <f>'1 уровень'!E25</f>
        <v>15</v>
      </c>
      <c r="E248" s="70">
        <f>'1 уровень'!F25</f>
        <v>45.454545454545453</v>
      </c>
      <c r="F248" s="70">
        <f>'1 уровень'!G25</f>
        <v>81.102000000000004</v>
      </c>
      <c r="G248" s="70">
        <f>'1 уровень'!H25</f>
        <v>27.03</v>
      </c>
      <c r="H248" s="66">
        <f>'1 уровень'!I25</f>
        <v>12.165299999999998</v>
      </c>
      <c r="I248" s="66">
        <f>'1 уровень'!J25</f>
        <v>45.006659267480572</v>
      </c>
      <c r="J248" s="104"/>
      <c r="K248" s="104"/>
      <c r="L248" s="104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ht="15.75" thickBot="1" x14ac:dyDescent="0.3">
      <c r="A249" s="591" t="s">
        <v>105</v>
      </c>
      <c r="B249" s="592">
        <f>'1 уровень'!C26</f>
        <v>0</v>
      </c>
      <c r="C249" s="592">
        <f>'1 уровень'!D26</f>
        <v>0</v>
      </c>
      <c r="D249" s="592">
        <f>'1 уровень'!E26</f>
        <v>0</v>
      </c>
      <c r="E249" s="593">
        <f>'1 уровень'!F26</f>
        <v>0</v>
      </c>
      <c r="F249" s="594">
        <f>'1 уровень'!G26</f>
        <v>2411.0977899999998</v>
      </c>
      <c r="G249" s="594">
        <f>'1 уровень'!H26</f>
        <v>803.69999999999993</v>
      </c>
      <c r="H249" s="594">
        <f>'1 уровень'!I26</f>
        <v>211.85271</v>
      </c>
      <c r="I249" s="594">
        <f>'1 уровень'!J26</f>
        <v>26.35967525195969</v>
      </c>
      <c r="J249" s="104"/>
      <c r="K249" s="728"/>
      <c r="L249" s="729"/>
    </row>
    <row r="250" spans="1:185" s="46" customFormat="1" ht="27.75" customHeight="1" thickBot="1" x14ac:dyDescent="0.3">
      <c r="A250" s="703" t="s">
        <v>33</v>
      </c>
      <c r="B250" s="702"/>
      <c r="C250" s="702"/>
      <c r="D250" s="702"/>
      <c r="E250" s="702"/>
      <c r="F250" s="702">
        <f>SUM(F20,F35,F49,F61,F74,F88,F101,F114,F126,F140,F152,F166,F180,F193,F205,F217,F229,F241,F249)</f>
        <v>1775401.3892600001</v>
      </c>
      <c r="G250" s="702">
        <f>SUM(G20,G35,G49,G61,G74,G88,G101,G114,G126,G140,G152,G166,G180,G193,G205,G217,G229,G241,G249)</f>
        <v>591800.4099999998</v>
      </c>
      <c r="H250" s="702">
        <f>SUM(H20,H35,H49,H61,H74,H88,H101,H114,H126,H140,H152,H166,H180,H193,H205,H217,H229,H241,H249)</f>
        <v>563131.9598800001</v>
      </c>
      <c r="I250" s="722">
        <f t="shared" ref="I250:I259" si="0">H250/G250*100</f>
        <v>95.1557231736288</v>
      </c>
      <c r="J250" s="104"/>
      <c r="K250" s="728"/>
      <c r="L250" s="729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11" t="s">
        <v>113</v>
      </c>
      <c r="B251" s="312">
        <f t="shared" ref="B251:D253" si="1">SUM(B243,B231,B219,B207,B195,B182,B168,B154,B142,B128,B116,B103,B90,B76,B63,B51,B37,B23,B8)</f>
        <v>280176</v>
      </c>
      <c r="C251" s="312">
        <f t="shared" si="1"/>
        <v>93395</v>
      </c>
      <c r="D251" s="312">
        <f t="shared" si="1"/>
        <v>90965</v>
      </c>
      <c r="E251" s="312">
        <f>D251/C251*100</f>
        <v>97.398147652443924</v>
      </c>
      <c r="F251" s="683">
        <f t="shared" ref="F251:H253" si="2">SUM(F243,F231,F219,F207,F195,F182,F168,F154,F142,F128,F116,F103,F90,F76,F63,F51,F37,F23,F8)</f>
        <v>429301.75584999996</v>
      </c>
      <c r="G251" s="683">
        <f t="shared" si="2"/>
        <v>143100.53000000003</v>
      </c>
      <c r="H251" s="683">
        <f t="shared" si="2"/>
        <v>143225.66853</v>
      </c>
      <c r="I251" s="757">
        <f>H251/G251*100</f>
        <v>100.08744798499347</v>
      </c>
      <c r="J251" s="104"/>
      <c r="M251" s="758"/>
      <c r="N251" s="758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210843</v>
      </c>
      <c r="C252" s="43">
        <f t="shared" si="1"/>
        <v>70280</v>
      </c>
      <c r="D252" s="43">
        <f t="shared" si="1"/>
        <v>70976</v>
      </c>
      <c r="E252" s="108">
        <f t="shared" ref="E252:E262" si="3">D252/C252*100</f>
        <v>100.99032441661923</v>
      </c>
      <c r="F252" s="684">
        <f t="shared" si="2"/>
        <v>289291.94319999998</v>
      </c>
      <c r="G252" s="684">
        <f t="shared" si="2"/>
        <v>96430.64</v>
      </c>
      <c r="H252" s="698">
        <f t="shared" si="2"/>
        <v>94378.942800000004</v>
      </c>
      <c r="I252" s="43">
        <f t="shared" si="0"/>
        <v>97.872359656640256</v>
      </c>
      <c r="J252" s="104"/>
      <c r="L252" s="729"/>
      <c r="M252" s="758"/>
      <c r="N252" s="758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63289</v>
      </c>
      <c r="C253" s="43">
        <f t="shared" si="1"/>
        <v>21098</v>
      </c>
      <c r="D253" s="43">
        <f t="shared" si="1"/>
        <v>16130</v>
      </c>
      <c r="E253" s="108">
        <f t="shared" si="3"/>
        <v>76.452744335956012</v>
      </c>
      <c r="F253" s="684">
        <f t="shared" si="2"/>
        <v>103470.04845</v>
      </c>
      <c r="G253" s="684">
        <f t="shared" si="2"/>
        <v>34490</v>
      </c>
      <c r="H253" s="698">
        <f t="shared" si="2"/>
        <v>25847.872680000004</v>
      </c>
      <c r="I253" s="43">
        <f t="shared" si="0"/>
        <v>74.943092722528277</v>
      </c>
      <c r="J253" s="104"/>
      <c r="L253" s="729"/>
      <c r="M253" s="758"/>
      <c r="N253" s="758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110</v>
      </c>
      <c r="B254" s="108">
        <f t="shared" ref="B254:D255" si="4">SUM(B234,B222,B210,B198,B185,B171,B157,B145,B131,B119,B106,B93,B79,B66,B54,B40,B26,B11)</f>
        <v>1990</v>
      </c>
      <c r="C254" s="108">
        <f t="shared" si="4"/>
        <v>664</v>
      </c>
      <c r="D254" s="43">
        <f t="shared" si="4"/>
        <v>1480</v>
      </c>
      <c r="E254" s="108">
        <f t="shared" si="3"/>
        <v>222.89156626506025</v>
      </c>
      <c r="F254" s="684">
        <f t="shared" ref="F254:H255" si="5">SUM(F234,F222,F210,F198,F185,F171,F157,F145,F131,F119,F106,F93,F79,F66,F54,F40,F26,F11)</f>
        <v>11658.15684</v>
      </c>
      <c r="G254" s="684">
        <f t="shared" si="5"/>
        <v>3886.0299999999997</v>
      </c>
      <c r="H254" s="698">
        <f t="shared" si="5"/>
        <v>8736.9408000000003</v>
      </c>
      <c r="I254" s="43">
        <f t="shared" si="0"/>
        <v>224.82947378172585</v>
      </c>
      <c r="J254" s="104"/>
      <c r="L254" s="729"/>
      <c r="M254" s="758"/>
      <c r="N254" s="758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111</v>
      </c>
      <c r="B255" s="108">
        <f t="shared" si="4"/>
        <v>4054</v>
      </c>
      <c r="C255" s="108">
        <f t="shared" si="4"/>
        <v>1353</v>
      </c>
      <c r="D255" s="43">
        <f t="shared" si="4"/>
        <v>2379</v>
      </c>
      <c r="E255" s="108">
        <f t="shared" si="3"/>
        <v>175.83148558758316</v>
      </c>
      <c r="F255" s="684">
        <f t="shared" si="5"/>
        <v>24881.607360000002</v>
      </c>
      <c r="G255" s="684">
        <f t="shared" si="5"/>
        <v>8293.86</v>
      </c>
      <c r="H255" s="698">
        <f t="shared" si="5"/>
        <v>14261.912249999998</v>
      </c>
      <c r="I255" s="43">
        <f t="shared" si="0"/>
        <v>171.95747516837753</v>
      </c>
      <c r="J255" s="104"/>
      <c r="L255" s="729"/>
      <c r="M255" s="758"/>
      <c r="N255" s="758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43" t="s">
        <v>112</v>
      </c>
      <c r="B256" s="598">
        <f t="shared" ref="B256:D257" si="6">SUM(B246,B236,B224,B212,B200,B187,B173,B159,B147,B133,B121,B108,B95,B81,B68,B56,B42,B28,B13)</f>
        <v>369976</v>
      </c>
      <c r="C256" s="598">
        <f t="shared" si="6"/>
        <v>123326</v>
      </c>
      <c r="D256" s="598">
        <f t="shared" si="6"/>
        <v>117099</v>
      </c>
      <c r="E256" s="598">
        <f t="shared" si="3"/>
        <v>94.950780857240161</v>
      </c>
      <c r="F256" s="701">
        <f t="shared" ref="F256:H257" si="7">SUM(F246,F236,F224,F212,F200,F187,F173,F159,F147,F133,F121,F108,F95,F81,F68,F56,F42,F28,F13)</f>
        <v>755628.03685000003</v>
      </c>
      <c r="G256" s="701">
        <f t="shared" si="7"/>
        <v>251876</v>
      </c>
      <c r="H256" s="701">
        <f t="shared" si="7"/>
        <v>227278.50998999999</v>
      </c>
      <c r="I256" s="598">
        <f t="shared" si="0"/>
        <v>90.234285914497605</v>
      </c>
      <c r="J256" s="104"/>
      <c r="M256" s="758"/>
      <c r="N256" s="758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108</v>
      </c>
      <c r="B257" s="108">
        <f t="shared" si="6"/>
        <v>49546</v>
      </c>
      <c r="C257" s="108">
        <f t="shared" si="6"/>
        <v>16516</v>
      </c>
      <c r="D257" s="43">
        <f t="shared" si="6"/>
        <v>14948</v>
      </c>
      <c r="E257" s="108">
        <f t="shared" si="3"/>
        <v>90.506175829498673</v>
      </c>
      <c r="F257" s="684">
        <f t="shared" si="7"/>
        <v>95621.844550000009</v>
      </c>
      <c r="G257" s="684">
        <f t="shared" si="7"/>
        <v>31873.95</v>
      </c>
      <c r="H257" s="698">
        <f t="shared" si="7"/>
        <v>28670.225890000002</v>
      </c>
      <c r="I257" s="43">
        <f t="shared" si="0"/>
        <v>89.948769732022555</v>
      </c>
      <c r="J257" s="104"/>
      <c r="L257" s="729"/>
      <c r="M257" s="758"/>
      <c r="N257" s="758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08">
        <f t="shared" ref="B258:D259" si="8">SUM(B238,B226,B214,B202,B189,B175,B161,B149,B135,B123,B110,B97,B83,B70,B58,B44,B30,B15)</f>
        <v>235265</v>
      </c>
      <c r="C258" s="108">
        <f t="shared" si="8"/>
        <v>78422</v>
      </c>
      <c r="D258" s="43">
        <f t="shared" si="8"/>
        <v>74714</v>
      </c>
      <c r="E258" s="108">
        <f t="shared" si="3"/>
        <v>95.271734972329199</v>
      </c>
      <c r="F258" s="684">
        <f t="shared" ref="F258:H259" si="9">SUM(F238,F226,F214,F202,F189,F175,F161,F149,F135,F123,F110,F97,F83,F70,F58,F44,F30,F15)</f>
        <v>582474.83866000001</v>
      </c>
      <c r="G258" s="684">
        <f t="shared" si="9"/>
        <v>194158.28000000003</v>
      </c>
      <c r="H258" s="698">
        <f t="shared" si="9"/>
        <v>171745.84988000005</v>
      </c>
      <c r="I258" s="43">
        <f t="shared" si="0"/>
        <v>88.456618939970028</v>
      </c>
      <c r="J258" s="104"/>
      <c r="L258" s="729"/>
      <c r="M258" s="758"/>
      <c r="N258" s="758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109</v>
      </c>
      <c r="B259" s="108">
        <f t="shared" si="8"/>
        <v>85165</v>
      </c>
      <c r="C259" s="108">
        <f t="shared" si="8"/>
        <v>28388</v>
      </c>
      <c r="D259" s="43">
        <f t="shared" si="8"/>
        <v>27437</v>
      </c>
      <c r="E259" s="108">
        <f t="shared" si="3"/>
        <v>96.64999295476963</v>
      </c>
      <c r="F259" s="684">
        <f t="shared" si="9"/>
        <v>77531.353640000001</v>
      </c>
      <c r="G259" s="684">
        <f t="shared" si="9"/>
        <v>25843.770000000004</v>
      </c>
      <c r="H259" s="698">
        <f t="shared" si="9"/>
        <v>26862.434219999996</v>
      </c>
      <c r="I259" s="43">
        <f t="shared" si="0"/>
        <v>103.94162391942039</v>
      </c>
      <c r="J259" s="104"/>
      <c r="L259" s="729"/>
      <c r="M259" s="758"/>
      <c r="N259" s="758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68" t="s">
        <v>123</v>
      </c>
      <c r="B260" s="108">
        <f>SUM(B248,B240,B228,B216,B204,B191,B177,B163,B137,B125,B112,B99,B85,B72,B60,B46,B32,B17,B151)</f>
        <v>669692.80000000005</v>
      </c>
      <c r="C260" s="108">
        <f>SUM(C248,C240,C228,C216,C204,C191,C177,C163,C137,C125,C112,C99,C85,C72,C60,C46,C32,C17,C151)</f>
        <v>223231</v>
      </c>
      <c r="D260" s="43">
        <f>SUM(D248,D240,D228,D216,D204,D191,D177,D163,D137,D125,D112,D99,D85,D72,D60,D46,D32,D17,D151)</f>
        <v>220177</v>
      </c>
      <c r="E260" s="108">
        <f t="shared" si="3"/>
        <v>98.631910442546072</v>
      </c>
      <c r="F260" s="698">
        <f t="shared" ref="F260:G260" si="10">SUM(F248,F240,F228,F216,F204,F191,F177,F163,F137,F125,F112,F99,F85,F72,F60,F46,F32,F17,F151)</f>
        <v>590471.59655999998</v>
      </c>
      <c r="G260" s="698">
        <f t="shared" si="10"/>
        <v>196823.88</v>
      </c>
      <c r="H260" s="698">
        <f>SUM(H248,H240,H228,H216,H204,H191,H177,H163,H137,H125,H112,H99,H85,H72,H60,H46,H32,H17,H151)</f>
        <v>192627.78136000002</v>
      </c>
      <c r="I260" s="43">
        <f>H260/G260*100</f>
        <v>97.868094745414041</v>
      </c>
      <c r="J260" s="104"/>
      <c r="L260" s="104"/>
      <c r="M260" s="758"/>
      <c r="N260" s="758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17" t="s">
        <v>124</v>
      </c>
      <c r="B261" s="108">
        <f>SUM(B178,B164,B138,B86,B47,B33,B18)</f>
        <v>53084.4</v>
      </c>
      <c r="C261" s="108">
        <f>SUM(C178,C164,C138,C86,C47,C33,C18)</f>
        <v>17693</v>
      </c>
      <c r="D261" s="43">
        <f>SUM(D178,D164,D138,D86,D47,D33,D18)</f>
        <v>17626</v>
      </c>
      <c r="E261" s="108">
        <f t="shared" si="3"/>
        <v>99.621319165771766</v>
      </c>
      <c r="F261" s="698">
        <f t="shared" ref="F261:G261" si="11">SUM(F178,F164,F138,F86,F47,F33,F18)</f>
        <v>47358.992119373914</v>
      </c>
      <c r="G261" s="698">
        <f t="shared" si="11"/>
        <v>15786.32</v>
      </c>
      <c r="H261" s="698">
        <f>SUM(H178,H164,H138,H86,H47,H33,H18)</f>
        <v>15579.593529999998</v>
      </c>
      <c r="I261" s="43">
        <f>H261/G261*100</f>
        <v>98.690470800034447</v>
      </c>
      <c r="J261" s="104"/>
      <c r="L261" s="104"/>
      <c r="M261" s="758"/>
      <c r="N261" s="758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682" t="s">
        <v>125</v>
      </c>
      <c r="B262" s="643">
        <f>SUM(B179,B165,B139,B100,B87,B48,B34,B19,B73,B113,B192)</f>
        <v>37075.599999999999</v>
      </c>
      <c r="C262" s="643">
        <f t="shared" ref="C262" si="12">SUM(C179,C165,C139,C100,C87,C48,C34,C19,C73,C113,C192)</f>
        <v>12361</v>
      </c>
      <c r="D262" s="644">
        <f>SUM(D179,D165,D139,D100,D87,D48,D34,D19,D73,D113,D192)</f>
        <v>14623</v>
      </c>
      <c r="E262" s="643">
        <f t="shared" si="3"/>
        <v>118.29949033249738</v>
      </c>
      <c r="F262" s="699">
        <f t="shared" ref="F262:G262" si="13">SUM(F179,F165,F139,F100,F87,F48,F34,F19,F73,F113,F192)</f>
        <v>33427.291346620885</v>
      </c>
      <c r="G262" s="699">
        <f t="shared" si="13"/>
        <v>11142.420000000002</v>
      </c>
      <c r="H262" s="699">
        <f t="shared" ref="H262" si="14">SUM(H179,H165,H139,H100,H87,H48,H34,H19,H73,H113,H192)</f>
        <v>13402.80421</v>
      </c>
      <c r="I262" s="644">
        <f t="shared" ref="I262" si="15">H262/G262*100</f>
        <v>120.28629516747706</v>
      </c>
      <c r="J262" s="104"/>
      <c r="L262" s="104"/>
      <c r="M262" s="758"/>
      <c r="N262" s="758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2018-05-29T01:15:46Z</cp:lastPrinted>
  <dcterms:modified xsi:type="dcterms:W3CDTF">2018-05-29T01:16:14Z</dcterms:modified>
</cp:coreProperties>
</file>