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70" yWindow="-150" windowWidth="14430" windowHeight="11625" activeTab="6"/>
  </bookViews>
  <sheets>
    <sheet name="КЛПУ" sheetId="1" r:id="rId1"/>
    <sheet name="Хабаровск" sheetId="2" r:id="rId2"/>
    <sheet name="Хаб.р-ны" sheetId="3" r:id="rId3"/>
    <sheet name="Комсомольск" sheetId="4" r:id="rId4"/>
    <sheet name="районы КП, СП" sheetId="5" r:id="rId5"/>
    <sheet name="районы НП, ЧП" sheetId="6" r:id="rId6"/>
    <sheet name="СВОД" sheetId="7" r:id="rId7"/>
  </sheets>
  <definedNames>
    <definedName name="Z_54C0345E_C30A_4773_9BED_454F3B675FBE_.wvu.PrintTitles" localSheetId="6" hidden="1">СВОД!$A:$B</definedName>
    <definedName name="Z_7AB5B88D_359A_416D_9EE2_70D3717CE362_.wvu.PrintTitles" localSheetId="6" hidden="1">СВОД!$A:$B</definedName>
    <definedName name="_xlnm.Print_Titles" localSheetId="0">КЛПУ!$A:$B</definedName>
    <definedName name="_xlnm.Print_Titles" localSheetId="3">Комсомольск!#REF!</definedName>
    <definedName name="_xlnm.Print_Titles" localSheetId="4">'районы КП, СП'!$A:$B</definedName>
    <definedName name="_xlnm.Print_Titles" localSheetId="5">'районы НП, ЧП'!#REF!</definedName>
    <definedName name="_xlnm.Print_Titles" localSheetId="6">СВОД!$A:$B,СВОД!$3:$6</definedName>
    <definedName name="_xlnm.Print_Titles" localSheetId="2">'Хаб.р-ны'!$A:$B</definedName>
    <definedName name="_xlnm.Print_Titles" localSheetId="1">Хабаровск!$A:$B,Хабаровск!$3:$10</definedName>
  </definedNames>
  <calcPr calcId="145621"/>
  <customWorkbookViews>
    <customWorkbookView name="Позолотин Игорь Сергеевич - Личное представление" guid="{C4C3C6EA-4E99-4A9E-A26B-FFCC7AED73F2}" mergeInterval="0" personalView="1" maximized="1" windowWidth="1916" windowHeight="833" activeSheetId="7"/>
    <customWorkbookView name="Гимадеева Ольга Васильевна - Личное представление" guid="{7AB5B88D-359A-416D-9EE2-70D3717CE362}" mergeInterval="0" personalView="1" maximized="1" windowWidth="1916" windowHeight="773" activeSheetId="7"/>
    <customWorkbookView name="Радецкая Елена Юрьевна - Личное представление" guid="{54C0345E-C30A-4773-9BED-454F3B675FBE}" mergeInterval="0" personalView="1" maximized="1" windowWidth="1916" windowHeight="855" activeSheetId="7"/>
  </customWorkbookViews>
</workbook>
</file>

<file path=xl/calcChain.xml><?xml version="1.0" encoding="utf-8"?>
<calcChain xmlns="http://schemas.openxmlformats.org/spreadsheetml/2006/main">
  <c r="CH37" i="7" l="1"/>
  <c r="AW42" i="6" l="1"/>
  <c r="AO42" i="6"/>
  <c r="AO40" i="6"/>
  <c r="AG42" i="6"/>
  <c r="AG40" i="6"/>
  <c r="Y42" i="6"/>
  <c r="Y40" i="6"/>
  <c r="E42" i="6"/>
  <c r="E40" i="6"/>
  <c r="BA69" i="5"/>
  <c r="BA66" i="5"/>
  <c r="BA65" i="5"/>
  <c r="BA62" i="5"/>
  <c r="BA60" i="5"/>
  <c r="BA59" i="5"/>
  <c r="BA58" i="5"/>
  <c r="BA57" i="5"/>
  <c r="BA56" i="5"/>
  <c r="BA42" i="5"/>
  <c r="BA38" i="5"/>
  <c r="BA37" i="5"/>
  <c r="BA36" i="5"/>
  <c r="BA35" i="5"/>
  <c r="BA34" i="5"/>
  <c r="AG42" i="5"/>
  <c r="AG40" i="5"/>
  <c r="AC40" i="5"/>
  <c r="U42" i="5"/>
  <c r="U40" i="5"/>
  <c r="Q42" i="5"/>
  <c r="Q40" i="5"/>
  <c r="E42" i="5"/>
  <c r="E40" i="5"/>
  <c r="BM40" i="4"/>
  <c r="BI42" i="4"/>
  <c r="BI40" i="4"/>
  <c r="BA42" i="4"/>
  <c r="BA40" i="4"/>
  <c r="Q40" i="4"/>
  <c r="M40" i="4"/>
  <c r="M42" i="4"/>
  <c r="I40" i="4"/>
  <c r="I42" i="4"/>
  <c r="E42" i="4"/>
  <c r="E40" i="4"/>
  <c r="BI40" i="3"/>
  <c r="BI42" i="3"/>
  <c r="BE40" i="3"/>
  <c r="BA40" i="3"/>
  <c r="BA42" i="3"/>
  <c r="AS40" i="3"/>
  <c r="Y40" i="3"/>
  <c r="Y42" i="3"/>
  <c r="E40" i="3"/>
  <c r="EO40" i="2"/>
  <c r="EG42" i="2"/>
  <c r="EG40" i="2"/>
  <c r="AS42" i="2"/>
  <c r="AS40" i="2"/>
  <c r="AO42" i="2"/>
  <c r="AO40" i="2"/>
  <c r="AK42" i="2"/>
  <c r="AK40" i="2"/>
  <c r="AG40" i="2"/>
  <c r="AG42" i="2"/>
  <c r="AC42" i="2"/>
  <c r="AC40" i="2"/>
  <c r="Y42" i="2"/>
  <c r="Y40" i="2"/>
  <c r="U42" i="2"/>
  <c r="U40" i="2"/>
  <c r="Q40" i="2"/>
  <c r="Q42" i="2"/>
  <c r="I42" i="2"/>
  <c r="I40" i="2"/>
  <c r="Y40" i="1"/>
  <c r="AW18" i="6"/>
  <c r="AO18" i="6"/>
  <c r="AK18" i="6"/>
  <c r="AG18" i="6"/>
  <c r="Y18" i="6"/>
  <c r="E18" i="6"/>
  <c r="BI18" i="5"/>
  <c r="BA18" i="5"/>
  <c r="AG18" i="5"/>
  <c r="AC18" i="5"/>
  <c r="U18" i="5"/>
  <c r="Q18" i="5"/>
  <c r="E18" i="5"/>
  <c r="BM18" i="4" l="1"/>
  <c r="BI18" i="4"/>
  <c r="Q18" i="4"/>
  <c r="I18" i="4"/>
  <c r="E18" i="4"/>
  <c r="BI18" i="3"/>
  <c r="BA18" i="3"/>
  <c r="AS18" i="3"/>
  <c r="Y18" i="3"/>
  <c r="E18" i="3"/>
  <c r="EO18" i="2"/>
  <c r="EG18" i="2"/>
  <c r="EC18" i="2"/>
  <c r="ED17" i="2"/>
  <c r="ED16" i="2"/>
  <c r="ED15" i="2"/>
  <c r="DA18" i="2"/>
  <c r="AO18" i="2" l="1"/>
  <c r="AK18" i="2"/>
  <c r="AG18" i="2"/>
  <c r="Y18" i="1"/>
  <c r="CR86" i="2" l="1"/>
  <c r="CJ86" i="2"/>
  <c r="CF86" i="2"/>
  <c r="CB86" i="2"/>
  <c r="BX86" i="2"/>
  <c r="BL86" i="2"/>
  <c r="AF86" i="1"/>
  <c r="AJ86" i="1"/>
  <c r="BD86" i="1"/>
  <c r="AV86" i="1"/>
  <c r="AR86" i="1"/>
  <c r="AR86" i="4"/>
  <c r="AJ86" i="4"/>
  <c r="AN86" i="4"/>
  <c r="H86" i="5"/>
  <c r="AQ23" i="6"/>
  <c r="AR23" i="6"/>
  <c r="AV55" i="2" l="1"/>
  <c r="DO70" i="2" l="1"/>
  <c r="BD15" i="2" l="1"/>
  <c r="BD16" i="2"/>
  <c r="BD17" i="2"/>
  <c r="BD18" i="2"/>
  <c r="BD21" i="2"/>
  <c r="T15" i="2"/>
  <c r="T17" i="2"/>
  <c r="BU82" i="1"/>
  <c r="AW40" i="6" l="1"/>
  <c r="AK42" i="6"/>
  <c r="AK40" i="6"/>
  <c r="BI40" i="5" l="1"/>
  <c r="BA64" i="5"/>
  <c r="BA63" i="5"/>
  <c r="BA61" i="5"/>
  <c r="AC42" i="5"/>
  <c r="Q42" i="4"/>
  <c r="EO42" i="2" l="1"/>
  <c r="Y42" i="1" l="1"/>
  <c r="AV54" i="6" l="1"/>
  <c r="AN54" i="6"/>
  <c r="AJ54" i="6" l="1"/>
  <c r="AF54" i="6"/>
  <c r="H54" i="6"/>
  <c r="D54" i="6"/>
  <c r="BH54" i="5"/>
  <c r="AF54" i="5"/>
  <c r="AB54" i="5"/>
  <c r="T54" i="5"/>
  <c r="P54" i="5"/>
  <c r="D54" i="5"/>
  <c r="F34" i="4"/>
  <c r="J34" i="4"/>
  <c r="BH54" i="3"/>
  <c r="BD54" i="3"/>
  <c r="AZ54" i="3"/>
  <c r="AR54" i="3"/>
  <c r="X54" i="3"/>
  <c r="D54" i="3"/>
  <c r="EN54" i="2"/>
  <c r="EJ54" i="2"/>
  <c r="EF54" i="2"/>
  <c r="EB54" i="2"/>
  <c r="CZ54" i="2"/>
  <c r="AR54" i="2"/>
  <c r="AN54" i="2"/>
  <c r="AJ54" i="2"/>
  <c r="AF54" i="2"/>
  <c r="AJ33" i="2"/>
  <c r="AB54" i="2" l="1"/>
  <c r="X54" i="2" l="1"/>
  <c r="T54" i="2"/>
  <c r="P54" i="2"/>
  <c r="H54" i="2"/>
  <c r="X54" i="1" l="1"/>
  <c r="AA70" i="5" l="1"/>
  <c r="T20" i="6" l="1"/>
  <c r="BA39" i="5" l="1"/>
  <c r="BA40" i="5" s="1"/>
  <c r="BI42" i="5" l="1"/>
  <c r="AB54" i="3" l="1"/>
  <c r="H25" i="6" l="1"/>
  <c r="H41" i="6"/>
  <c r="H39" i="6"/>
  <c r="H38" i="6"/>
  <c r="H37" i="6"/>
  <c r="H36" i="6"/>
  <c r="H35" i="6"/>
  <c r="H34" i="6"/>
  <c r="H21" i="6"/>
  <c r="H20" i="6"/>
  <c r="H18" i="6"/>
  <c r="H17" i="6"/>
  <c r="H15" i="6"/>
  <c r="BA68" i="5" l="1"/>
  <c r="BE42" i="3" l="1"/>
  <c r="I18" i="6" l="1"/>
  <c r="I21" i="6" l="1"/>
  <c r="I17" i="6"/>
  <c r="I95" i="2" l="1"/>
  <c r="DA33" i="2" l="1"/>
  <c r="EL39" i="2" l="1"/>
  <c r="EK33" i="2"/>
  <c r="ED39" i="2"/>
  <c r="EC33" i="2"/>
  <c r="CD38" i="7"/>
  <c r="CC38" i="7"/>
  <c r="CB38" i="7"/>
  <c r="CA38" i="7"/>
  <c r="BZ38" i="7"/>
  <c r="BY38" i="7"/>
  <c r="BX38" i="7"/>
  <c r="BW38" i="7"/>
  <c r="BV38" i="7"/>
  <c r="BU38" i="7"/>
  <c r="BT38" i="7"/>
  <c r="BS38" i="7"/>
  <c r="BR38" i="7"/>
  <c r="BQ38" i="7"/>
  <c r="BP38" i="7"/>
  <c r="BO38" i="7"/>
  <c r="BF38" i="7"/>
  <c r="BE38" i="7"/>
  <c r="BD38" i="7"/>
  <c r="BC38" i="7"/>
  <c r="AT38" i="7"/>
  <c r="AS38" i="7"/>
  <c r="AR38" i="7"/>
  <c r="AQ38" i="7"/>
  <c r="Z38" i="7"/>
  <c r="Y38" i="7"/>
  <c r="X38" i="7"/>
  <c r="W38" i="7"/>
  <c r="CD36" i="7" l="1"/>
  <c r="CC36" i="7"/>
  <c r="CB36" i="7"/>
  <c r="CA36" i="7"/>
  <c r="BZ36" i="7"/>
  <c r="BY36" i="7"/>
  <c r="BX36" i="7"/>
  <c r="BW36" i="7"/>
  <c r="BV36" i="7"/>
  <c r="BU36" i="7"/>
  <c r="BT36" i="7"/>
  <c r="BS36" i="7"/>
  <c r="BR36" i="7"/>
  <c r="BQ36" i="7"/>
  <c r="BP36" i="7"/>
  <c r="BO36" i="7"/>
  <c r="BF36" i="7"/>
  <c r="BE36" i="7"/>
  <c r="BD36" i="7"/>
  <c r="BC36" i="7"/>
  <c r="AT36" i="7"/>
  <c r="AS36" i="7"/>
  <c r="AR36" i="7"/>
  <c r="AQ36" i="7"/>
  <c r="Z36" i="7"/>
  <c r="Y36" i="7"/>
  <c r="X36" i="7"/>
  <c r="W36" i="7"/>
  <c r="BU42" i="1"/>
  <c r="E38" i="7" s="1"/>
  <c r="BT42" i="1"/>
  <c r="D38" i="7" s="1"/>
  <c r="BS42" i="1"/>
  <c r="C38" i="7" s="1"/>
  <c r="BS44" i="1"/>
  <c r="BS45" i="1"/>
  <c r="BU40" i="1"/>
  <c r="E36" i="7" s="1"/>
  <c r="BT40" i="1"/>
  <c r="BV40" i="1" s="1"/>
  <c r="F36" i="7" s="1"/>
  <c r="BS40" i="1"/>
  <c r="C36" i="7" s="1"/>
  <c r="FA42" i="2"/>
  <c r="I38" i="7" s="1"/>
  <c r="EZ42" i="2"/>
  <c r="H38" i="7" s="1"/>
  <c r="EY42" i="2"/>
  <c r="G38" i="7" s="1"/>
  <c r="FA40" i="2"/>
  <c r="I36" i="7" s="1"/>
  <c r="EZ40" i="2"/>
  <c r="FB40" i="2" s="1"/>
  <c r="J36" i="7" s="1"/>
  <c r="EY40" i="2"/>
  <c r="G36" i="7" s="1"/>
  <c r="EY41" i="2"/>
  <c r="BM42" i="3"/>
  <c r="AC38" i="7" s="1"/>
  <c r="BL42" i="3"/>
  <c r="BK42" i="3"/>
  <c r="AA38" i="7" s="1"/>
  <c r="BM40" i="3"/>
  <c r="AC36" i="7" s="1"/>
  <c r="BL40" i="3"/>
  <c r="BN40" i="3" s="1"/>
  <c r="AD36" i="7" s="1"/>
  <c r="BK40" i="3"/>
  <c r="AA36" i="7" s="1"/>
  <c r="AW42" i="3"/>
  <c r="U38" i="7" s="1"/>
  <c r="AV42" i="3"/>
  <c r="AU42" i="3"/>
  <c r="S38" i="7" s="1"/>
  <c r="AW40" i="3"/>
  <c r="U36" i="7" s="1"/>
  <c r="AV40" i="3"/>
  <c r="AX40" i="3" s="1"/>
  <c r="V36" i="7" s="1"/>
  <c r="AU40" i="3"/>
  <c r="S36" i="7" s="1"/>
  <c r="AC42" i="3"/>
  <c r="Q38" i="7" s="1"/>
  <c r="AB42" i="3"/>
  <c r="AA42" i="3"/>
  <c r="O38" i="7" s="1"/>
  <c r="AC40" i="3"/>
  <c r="Q36" i="7" s="1"/>
  <c r="AB40" i="3"/>
  <c r="AD40" i="3" s="1"/>
  <c r="R36" i="7" s="1"/>
  <c r="AA40" i="3"/>
  <c r="O36" i="7" s="1"/>
  <c r="M42" i="3"/>
  <c r="M38" i="7" s="1"/>
  <c r="L42" i="3"/>
  <c r="K42" i="3"/>
  <c r="K38" i="7" s="1"/>
  <c r="M40" i="3"/>
  <c r="M36" i="7" s="1"/>
  <c r="L40" i="3"/>
  <c r="L36" i="7" s="1"/>
  <c r="K40" i="3"/>
  <c r="K36" i="7" s="1"/>
  <c r="BQ42" i="4"/>
  <c r="AG38" i="7" s="1"/>
  <c r="BP42" i="4"/>
  <c r="BO42" i="4"/>
  <c r="AE38" i="7" s="1"/>
  <c r="BQ40" i="4"/>
  <c r="AG36" i="7" s="1"/>
  <c r="BP40" i="4"/>
  <c r="BR40" i="4" s="1"/>
  <c r="AH36" i="7" s="1"/>
  <c r="BO40" i="4"/>
  <c r="AE36" i="7" s="1"/>
  <c r="BE42" i="5"/>
  <c r="BA38" i="7" s="1"/>
  <c r="BD42" i="5"/>
  <c r="BC42" i="5"/>
  <c r="AY38" i="7" s="1"/>
  <c r="BE40" i="5"/>
  <c r="BA36" i="7" s="1"/>
  <c r="BD40" i="5"/>
  <c r="BF40" i="5" s="1"/>
  <c r="BB36" i="7" s="1"/>
  <c r="BC40" i="5"/>
  <c r="AY36" i="7" s="1"/>
  <c r="AO42" i="5"/>
  <c r="AW38" i="7" s="1"/>
  <c r="AN42" i="5"/>
  <c r="AV38" i="7" s="1"/>
  <c r="AM42" i="5"/>
  <c r="AU38" i="7" s="1"/>
  <c r="AO40" i="5"/>
  <c r="AW36" i="7" s="1"/>
  <c r="AN40" i="5"/>
  <c r="AP40" i="5" s="1"/>
  <c r="AX36" i="7" s="1"/>
  <c r="AM40" i="5"/>
  <c r="AU36" i="7" s="1"/>
  <c r="Y42" i="5"/>
  <c r="AO38" i="7" s="1"/>
  <c r="X42" i="5"/>
  <c r="W42" i="5"/>
  <c r="AM38" i="7" s="1"/>
  <c r="Y40" i="5"/>
  <c r="AO36" i="7" s="1"/>
  <c r="X40" i="5"/>
  <c r="Z40" i="5" s="1"/>
  <c r="AP36" i="7" s="1"/>
  <c r="W40" i="5"/>
  <c r="AM36" i="7" s="1"/>
  <c r="M42" i="5"/>
  <c r="AK38" i="7" s="1"/>
  <c r="L42" i="5"/>
  <c r="AJ38" i="7" s="1"/>
  <c r="K42" i="5"/>
  <c r="AI38" i="7" s="1"/>
  <c r="M40" i="5"/>
  <c r="AK36" i="7" s="1"/>
  <c r="L40" i="5"/>
  <c r="N40" i="5" s="1"/>
  <c r="AL36" i="7" s="1"/>
  <c r="K40" i="5"/>
  <c r="AI36" i="7" s="1"/>
  <c r="BA42" i="6"/>
  <c r="AZ42" i="6"/>
  <c r="BB42" i="6" s="1"/>
  <c r="AY42" i="6"/>
  <c r="AC42" i="6"/>
  <c r="BM38" i="7" s="1"/>
  <c r="AB42" i="6"/>
  <c r="AA42" i="6"/>
  <c r="BK38" i="7" s="1"/>
  <c r="M42" i="6"/>
  <c r="BI38" i="7" s="1"/>
  <c r="L42" i="6"/>
  <c r="K42" i="6"/>
  <c r="BG38" i="7" s="1"/>
  <c r="M40" i="6"/>
  <c r="BI36" i="7" s="1"/>
  <c r="L40" i="6"/>
  <c r="N40" i="6" s="1"/>
  <c r="BJ36" i="7" s="1"/>
  <c r="K40" i="6"/>
  <c r="BG36" i="7" s="1"/>
  <c r="AC40" i="6"/>
  <c r="AS40" i="6" s="1"/>
  <c r="AB40" i="6"/>
  <c r="BL36" i="7" s="1"/>
  <c r="AA40" i="6"/>
  <c r="AQ40" i="6" s="1"/>
  <c r="BA40" i="6"/>
  <c r="AZ40" i="6"/>
  <c r="BB40" i="6" s="1"/>
  <c r="AY40" i="6"/>
  <c r="N42" i="6" l="1"/>
  <c r="BJ38" i="7" s="1"/>
  <c r="BH38" i="7"/>
  <c r="AQ42" i="6"/>
  <c r="BH36" i="7"/>
  <c r="AR42" i="6"/>
  <c r="AT42" i="6" s="1"/>
  <c r="BK36" i="7"/>
  <c r="AD40" i="6"/>
  <c r="BN36" i="7" s="1"/>
  <c r="AD42" i="6"/>
  <c r="BN38" i="7" s="1"/>
  <c r="BL38" i="7"/>
  <c r="N40" i="3"/>
  <c r="N36" i="7" s="1"/>
  <c r="BV42" i="1"/>
  <c r="F38" i="7" s="1"/>
  <c r="D36" i="7"/>
  <c r="AS42" i="6"/>
  <c r="BL42" i="5"/>
  <c r="BN42" i="5" s="1"/>
  <c r="N42" i="5"/>
  <c r="AL38" i="7" s="1"/>
  <c r="BK40" i="5"/>
  <c r="AJ36" i="7"/>
  <c r="AV36" i="7"/>
  <c r="Z42" i="5"/>
  <c r="AP38" i="7" s="1"/>
  <c r="AN38" i="7"/>
  <c r="AP42" i="5"/>
  <c r="AX38" i="7" s="1"/>
  <c r="BL40" i="5"/>
  <c r="BN40" i="5" s="1"/>
  <c r="BF42" i="5"/>
  <c r="BB38" i="7" s="1"/>
  <c r="AZ38" i="7"/>
  <c r="BK42" i="5"/>
  <c r="AN36" i="7"/>
  <c r="AZ36" i="7"/>
  <c r="BR42" i="4"/>
  <c r="AH38" i="7" s="1"/>
  <c r="AF38" i="7"/>
  <c r="AF36" i="7"/>
  <c r="BP42" i="3"/>
  <c r="BR42" i="3" s="1"/>
  <c r="N42" i="3"/>
  <c r="N38" i="7" s="1"/>
  <c r="L38" i="7"/>
  <c r="AX42" i="3"/>
  <c r="V38" i="7" s="1"/>
  <c r="T38" i="7"/>
  <c r="BO40" i="3"/>
  <c r="BP40" i="3"/>
  <c r="BR40" i="3" s="1"/>
  <c r="P36" i="7"/>
  <c r="AB36" i="7"/>
  <c r="AD42" i="3"/>
  <c r="R38" i="7" s="1"/>
  <c r="P38" i="7"/>
  <c r="BN42" i="3"/>
  <c r="AD38" i="7" s="1"/>
  <c r="AB38" i="7"/>
  <c r="CE38" i="7"/>
  <c r="BO42" i="3"/>
  <c r="T36" i="7"/>
  <c r="BM36" i="7"/>
  <c r="CG36" i="7" s="1"/>
  <c r="BM40" i="5"/>
  <c r="BM42" i="5"/>
  <c r="BQ42" i="3"/>
  <c r="CG38" i="7"/>
  <c r="BQ40" i="3"/>
  <c r="FB42" i="2"/>
  <c r="J38" i="7" s="1"/>
  <c r="CE36" i="7"/>
  <c r="H36" i="7"/>
  <c r="AR40" i="6"/>
  <c r="AT40" i="6" s="1"/>
  <c r="AX39" i="6"/>
  <c r="AW33" i="6"/>
  <c r="AP39" i="6"/>
  <c r="AO33" i="6"/>
  <c r="AL39" i="6"/>
  <c r="AK33" i="6"/>
  <c r="AH39" i="6"/>
  <c r="AG33" i="6"/>
  <c r="Z41" i="6"/>
  <c r="Z39" i="6"/>
  <c r="Y33" i="6"/>
  <c r="J39" i="6"/>
  <c r="I33" i="6"/>
  <c r="F39" i="6"/>
  <c r="E33" i="6"/>
  <c r="BI33" i="5"/>
  <c r="BJ39" i="5"/>
  <c r="BB41" i="5"/>
  <c r="BB39" i="5"/>
  <c r="BA33" i="5"/>
  <c r="AG33" i="5"/>
  <c r="AH39" i="5"/>
  <c r="AC33" i="5"/>
  <c r="AD39" i="5"/>
  <c r="U33" i="5"/>
  <c r="V39" i="5"/>
  <c r="Q33" i="5"/>
  <c r="R39" i="5"/>
  <c r="E33" i="5"/>
  <c r="CF38" i="7" l="1"/>
  <c r="CF36" i="7"/>
  <c r="F39" i="5"/>
  <c r="BN39" i="4"/>
  <c r="BM33" i="4"/>
  <c r="BJ39" i="4"/>
  <c r="BI33" i="4"/>
  <c r="BB39" i="4"/>
  <c r="BA33" i="4"/>
  <c r="R39" i="4"/>
  <c r="Q33" i="4"/>
  <c r="N39" i="4"/>
  <c r="M33" i="4"/>
  <c r="J39" i="4"/>
  <c r="I33" i="4"/>
  <c r="F39" i="4"/>
  <c r="E33" i="4"/>
  <c r="BJ39" i="3"/>
  <c r="BI33" i="3"/>
  <c r="BE33" i="3"/>
  <c r="BF39" i="3"/>
  <c r="BA33" i="3" l="1"/>
  <c r="BB39" i="3"/>
  <c r="AT39" i="3"/>
  <c r="AS33" i="3"/>
  <c r="Y33" i="3" l="1"/>
  <c r="Z39" i="3"/>
  <c r="F39" i="3"/>
  <c r="E33" i="3"/>
  <c r="EO33" i="2" l="1"/>
  <c r="EP39" i="2"/>
  <c r="EG33" i="2"/>
  <c r="EH39" i="2"/>
  <c r="AS33" i="2"/>
  <c r="AT39" i="2"/>
  <c r="AO33" i="2"/>
  <c r="AP39" i="2"/>
  <c r="AK33" i="2"/>
  <c r="AL39" i="2"/>
  <c r="AG33" i="2"/>
  <c r="AH39" i="2"/>
  <c r="AC33" i="2"/>
  <c r="AD39" i="2"/>
  <c r="Y33" i="2"/>
  <c r="Z39" i="2"/>
  <c r="U33" i="2"/>
  <c r="V39" i="2"/>
  <c r="Q33" i="2"/>
  <c r="R39" i="2"/>
  <c r="I33" i="2"/>
  <c r="J39" i="2"/>
  <c r="Y33" i="1" l="1"/>
  <c r="U33" i="6" l="1"/>
  <c r="M33" i="1" l="1"/>
  <c r="I33" i="1"/>
  <c r="E33" i="1"/>
  <c r="Q33" i="6"/>
  <c r="AS33" i="5"/>
  <c r="AW33" i="5"/>
  <c r="BB82" i="6" l="1"/>
  <c r="AX82" i="6"/>
  <c r="AX54" i="6"/>
  <c r="AX52" i="6"/>
  <c r="AX51" i="6"/>
  <c r="AX50" i="6"/>
  <c r="AX49" i="6"/>
  <c r="AX47" i="6"/>
  <c r="AX46" i="6"/>
  <c r="AX45" i="6"/>
  <c r="AX44" i="6"/>
  <c r="AX38" i="6"/>
  <c r="AX37" i="6"/>
  <c r="AX36" i="6"/>
  <c r="AX35" i="6"/>
  <c r="AX34" i="6"/>
  <c r="AT82" i="6"/>
  <c r="AP82" i="6"/>
  <c r="AP56" i="6"/>
  <c r="AP54" i="6"/>
  <c r="AP52" i="6"/>
  <c r="AP51" i="6"/>
  <c r="AP50" i="6"/>
  <c r="AP49" i="6"/>
  <c r="AP47" i="6"/>
  <c r="AP46" i="6"/>
  <c r="AP45" i="6"/>
  <c r="AP44" i="6"/>
  <c r="AP38" i="6"/>
  <c r="AP37" i="6"/>
  <c r="AP36" i="6"/>
  <c r="AP35" i="6"/>
  <c r="AP34" i="6"/>
  <c r="AL82" i="6"/>
  <c r="AL54" i="6"/>
  <c r="AL38" i="6"/>
  <c r="AL37" i="6"/>
  <c r="AL36" i="6"/>
  <c r="AL35" i="6"/>
  <c r="AL34" i="6"/>
  <c r="AH82" i="6"/>
  <c r="AH54" i="6"/>
  <c r="AH52" i="6"/>
  <c r="AH51" i="6"/>
  <c r="AH50" i="6"/>
  <c r="AH49" i="6"/>
  <c r="AH47" i="6"/>
  <c r="AH46" i="6"/>
  <c r="AH45" i="6"/>
  <c r="AH44" i="6"/>
  <c r="AH38" i="6"/>
  <c r="AH37" i="6"/>
  <c r="AH36" i="6"/>
  <c r="AH35" i="6"/>
  <c r="AH34" i="6"/>
  <c r="AD82" i="6"/>
  <c r="Z88" i="6"/>
  <c r="Z86" i="6"/>
  <c r="Z85" i="6"/>
  <c r="Z84" i="6"/>
  <c r="Z82" i="6"/>
  <c r="Z81" i="6"/>
  <c r="Z80" i="6"/>
  <c r="Z79" i="6"/>
  <c r="Z78" i="6"/>
  <c r="Z77" i="6"/>
  <c r="Z76" i="6"/>
  <c r="Z75" i="6"/>
  <c r="Z73" i="6"/>
  <c r="Z72" i="6"/>
  <c r="Z71" i="6"/>
  <c r="Z69" i="6"/>
  <c r="Z68" i="6"/>
  <c r="Z67" i="6"/>
  <c r="Z66" i="6"/>
  <c r="Z65" i="6"/>
  <c r="Z64" i="6"/>
  <c r="Z63" i="6"/>
  <c r="Z62" i="6"/>
  <c r="Z61" i="6"/>
  <c r="Z60" i="6"/>
  <c r="Z59" i="6"/>
  <c r="Z58" i="6"/>
  <c r="Z57" i="6"/>
  <c r="Z56" i="6"/>
  <c r="Z54" i="6"/>
  <c r="Z52" i="6"/>
  <c r="Z51" i="6"/>
  <c r="Z50" i="6"/>
  <c r="Z49" i="6"/>
  <c r="Z47" i="6"/>
  <c r="Z46" i="6"/>
  <c r="Z45" i="6"/>
  <c r="Z44" i="6"/>
  <c r="Z38" i="6"/>
  <c r="Z37" i="6"/>
  <c r="Z36" i="6"/>
  <c r="Z35" i="6"/>
  <c r="Z34" i="6"/>
  <c r="Z32" i="6"/>
  <c r="Z30" i="6"/>
  <c r="Z29" i="6"/>
  <c r="Z28" i="6"/>
  <c r="Z27" i="6"/>
  <c r="Z26" i="6"/>
  <c r="Z24" i="6"/>
  <c r="Z22" i="6"/>
  <c r="Z15" i="6"/>
  <c r="Z14" i="6"/>
  <c r="Z13" i="6"/>
  <c r="V82" i="6"/>
  <c r="R82" i="6"/>
  <c r="N82" i="6"/>
  <c r="J82" i="6"/>
  <c r="J54" i="6"/>
  <c r="J38" i="6"/>
  <c r="J37" i="6"/>
  <c r="J36" i="6"/>
  <c r="J35" i="6"/>
  <c r="J34" i="6"/>
  <c r="F82" i="6"/>
  <c r="F54" i="6"/>
  <c r="F52" i="6"/>
  <c r="F51" i="6"/>
  <c r="F50" i="6"/>
  <c r="F47" i="6"/>
  <c r="F46" i="6"/>
  <c r="F45" i="6"/>
  <c r="F44" i="6"/>
  <c r="F38" i="6"/>
  <c r="F37" i="6"/>
  <c r="F36" i="6"/>
  <c r="F35" i="6"/>
  <c r="F34" i="6"/>
  <c r="F26" i="6"/>
  <c r="BN82" i="5"/>
  <c r="BJ82" i="5"/>
  <c r="BJ54" i="5"/>
  <c r="BJ52" i="5"/>
  <c r="BJ51" i="5"/>
  <c r="BJ50" i="5"/>
  <c r="BJ38" i="5"/>
  <c r="BJ37" i="5"/>
  <c r="BJ36" i="5"/>
  <c r="BJ35" i="5"/>
  <c r="BJ34" i="5"/>
  <c r="BF82" i="5"/>
  <c r="BB77" i="5"/>
  <c r="BB76" i="5"/>
  <c r="BB75" i="5"/>
  <c r="BB73" i="5"/>
  <c r="BB72" i="5"/>
  <c r="BB71" i="5"/>
  <c r="BB69" i="5"/>
  <c r="BB67" i="5"/>
  <c r="BB66" i="5"/>
  <c r="BB64" i="5"/>
  <c r="BB63" i="5"/>
  <c r="BB62" i="5"/>
  <c r="BB61" i="5"/>
  <c r="BB60" i="5"/>
  <c r="BB59" i="5"/>
  <c r="BB58" i="5"/>
  <c r="BB57" i="5"/>
  <c r="BB56" i="5"/>
  <c r="BB54" i="5"/>
  <c r="BB52" i="5"/>
  <c r="BB51" i="5"/>
  <c r="BB50" i="5"/>
  <c r="BB49" i="5"/>
  <c r="BB47" i="5"/>
  <c r="BB46" i="5"/>
  <c r="BB45" i="5"/>
  <c r="BB44" i="5"/>
  <c r="BB38" i="5"/>
  <c r="BB37" i="5"/>
  <c r="BB36" i="5"/>
  <c r="BB35" i="5"/>
  <c r="BB34" i="5"/>
  <c r="BB32" i="5"/>
  <c r="BB30" i="5"/>
  <c r="BB29" i="5"/>
  <c r="BB28" i="5"/>
  <c r="BB27" i="5"/>
  <c r="BB26" i="5"/>
  <c r="BB24" i="5"/>
  <c r="BB22" i="5"/>
  <c r="BB15" i="5"/>
  <c r="BB14" i="5"/>
  <c r="BB13" i="5"/>
  <c r="AX82" i="5"/>
  <c r="AX21" i="5"/>
  <c r="AT82" i="5"/>
  <c r="AP82" i="5"/>
  <c r="AL82" i="5"/>
  <c r="AH82" i="5"/>
  <c r="AH54" i="5"/>
  <c r="AH52" i="5"/>
  <c r="AH51" i="5"/>
  <c r="AH50" i="5"/>
  <c r="AH47" i="5"/>
  <c r="AH46" i="5"/>
  <c r="AH45" i="5"/>
  <c r="AH44" i="5"/>
  <c r="AH38" i="5"/>
  <c r="AH37" i="5"/>
  <c r="AH36" i="5"/>
  <c r="AH35" i="5"/>
  <c r="AH34" i="5"/>
  <c r="AD82" i="5"/>
  <c r="AD54" i="5"/>
  <c r="AD52" i="5"/>
  <c r="AD51" i="5"/>
  <c r="AD50" i="5"/>
  <c r="AD49" i="5"/>
  <c r="AD47" i="5"/>
  <c r="AD46" i="5"/>
  <c r="AD45" i="5"/>
  <c r="AD44" i="5"/>
  <c r="AD38" i="5"/>
  <c r="AD37" i="5"/>
  <c r="AD36" i="5"/>
  <c r="AD35" i="5"/>
  <c r="AD34" i="5"/>
  <c r="Z82" i="5"/>
  <c r="V82" i="5"/>
  <c r="V54" i="5"/>
  <c r="V38" i="5"/>
  <c r="V37" i="5"/>
  <c r="V36" i="5"/>
  <c r="V35" i="5"/>
  <c r="V34" i="5"/>
  <c r="R82" i="5"/>
  <c r="R54" i="5"/>
  <c r="R52" i="5"/>
  <c r="R51" i="5"/>
  <c r="R50" i="5"/>
  <c r="R49" i="5"/>
  <c r="R47" i="5"/>
  <c r="R46" i="5"/>
  <c r="R38" i="5"/>
  <c r="R37" i="5"/>
  <c r="R36" i="5"/>
  <c r="R35" i="5"/>
  <c r="R34" i="5"/>
  <c r="N82" i="5"/>
  <c r="J82" i="5"/>
  <c r="F82" i="5"/>
  <c r="F54" i="5"/>
  <c r="F51" i="5"/>
  <c r="F47" i="5"/>
  <c r="F46" i="5"/>
  <c r="F45" i="5"/>
  <c r="F44" i="5"/>
  <c r="F38" i="5"/>
  <c r="F37" i="5"/>
  <c r="F36" i="5"/>
  <c r="F35" i="5"/>
  <c r="F34" i="5"/>
  <c r="BR82" i="4"/>
  <c r="BN82" i="4"/>
  <c r="BN54" i="4"/>
  <c r="BJ82" i="4"/>
  <c r="BJ54" i="4"/>
  <c r="BB82" i="4"/>
  <c r="BB54" i="4"/>
  <c r="AX82" i="4"/>
  <c r="AX52" i="4"/>
  <c r="AX51" i="4"/>
  <c r="AX50" i="4"/>
  <c r="AX49" i="4"/>
  <c r="AX47" i="4"/>
  <c r="AX46" i="4"/>
  <c r="AX45" i="4"/>
  <c r="AX44" i="4"/>
  <c r="AT82" i="4"/>
  <c r="AP82" i="4"/>
  <c r="AL82" i="4"/>
  <c r="AH82" i="4"/>
  <c r="AD82" i="4"/>
  <c r="Z82" i="4"/>
  <c r="V82" i="4"/>
  <c r="R82" i="4"/>
  <c r="R54" i="4"/>
  <c r="N82" i="4"/>
  <c r="N54" i="4"/>
  <c r="J82" i="4"/>
  <c r="J54" i="4"/>
  <c r="J52" i="4"/>
  <c r="J51" i="4"/>
  <c r="J50" i="4"/>
  <c r="J49" i="4"/>
  <c r="F82" i="4"/>
  <c r="F54" i="4"/>
  <c r="F52" i="4"/>
  <c r="F51" i="4"/>
  <c r="F50" i="4"/>
  <c r="F47" i="4"/>
  <c r="F46" i="4"/>
  <c r="F45" i="4"/>
  <c r="BR82" i="3" l="1"/>
  <c r="BN82" i="3"/>
  <c r="BJ82" i="3"/>
  <c r="BJ54" i="3"/>
  <c r="BJ52" i="3"/>
  <c r="BJ51" i="3"/>
  <c r="BJ50" i="3"/>
  <c r="BJ49" i="3"/>
  <c r="BJ47" i="3"/>
  <c r="BJ46" i="3"/>
  <c r="BJ45" i="3"/>
  <c r="BJ44" i="3"/>
  <c r="BJ38" i="3"/>
  <c r="BJ37" i="3"/>
  <c r="BJ36" i="3"/>
  <c r="BJ35" i="3"/>
  <c r="BJ34" i="3"/>
  <c r="BF82" i="3"/>
  <c r="BF54" i="3"/>
  <c r="BF52" i="3"/>
  <c r="BF51" i="3"/>
  <c r="BF50" i="3"/>
  <c r="BF38" i="3"/>
  <c r="BF37" i="3"/>
  <c r="BF36" i="3"/>
  <c r="BF35" i="3"/>
  <c r="BF34" i="3"/>
  <c r="BB82" i="3"/>
  <c r="BB54" i="3"/>
  <c r="BB52" i="3"/>
  <c r="BB51" i="3"/>
  <c r="BB50" i="3"/>
  <c r="BB49" i="3"/>
  <c r="BB47" i="3"/>
  <c r="BB46" i="3"/>
  <c r="BB45" i="3"/>
  <c r="BB44" i="3"/>
  <c r="BB38" i="3"/>
  <c r="BB37" i="3"/>
  <c r="BB36" i="3"/>
  <c r="BB35" i="3"/>
  <c r="BB34" i="3"/>
  <c r="AX82" i="3"/>
  <c r="AT54" i="3"/>
  <c r="AT52" i="3"/>
  <c r="AT51" i="3"/>
  <c r="AT50" i="3"/>
  <c r="AT49" i="3"/>
  <c r="AT47" i="3"/>
  <c r="AT46" i="3"/>
  <c r="AT45" i="3"/>
  <c r="AT44" i="3"/>
  <c r="AT38" i="3"/>
  <c r="AT37" i="3"/>
  <c r="AT36" i="3"/>
  <c r="AT35" i="3"/>
  <c r="AT34" i="3"/>
  <c r="AD82" i="3"/>
  <c r="Z54" i="3"/>
  <c r="Z52" i="3"/>
  <c r="Z51" i="3"/>
  <c r="Z50" i="3"/>
  <c r="Z49" i="3"/>
  <c r="Z47" i="3"/>
  <c r="Z46" i="3"/>
  <c r="Z45" i="3"/>
  <c r="Z44" i="3"/>
  <c r="Z38" i="3"/>
  <c r="Z37" i="3"/>
  <c r="Z36" i="3"/>
  <c r="Z35" i="3"/>
  <c r="Z34" i="3"/>
  <c r="Z24" i="3"/>
  <c r="AA12" i="3"/>
  <c r="AE12" i="3"/>
  <c r="AG12" i="3"/>
  <c r="AH12" i="3" s="1"/>
  <c r="AI12" i="3"/>
  <c r="AU12" i="3" s="1"/>
  <c r="BO12" i="3" s="1"/>
  <c r="AK12" i="3"/>
  <c r="AL12" i="3" s="1"/>
  <c r="AM12" i="3"/>
  <c r="AO12" i="3"/>
  <c r="AP12" i="3"/>
  <c r="AQ12" i="3"/>
  <c r="AS12" i="3"/>
  <c r="AY12" i="3"/>
  <c r="BA12" i="3"/>
  <c r="BC12" i="3"/>
  <c r="BE12" i="3"/>
  <c r="BG12" i="3"/>
  <c r="BI12" i="3"/>
  <c r="BK12" i="3"/>
  <c r="N82" i="3"/>
  <c r="J82" i="3"/>
  <c r="J54" i="3"/>
  <c r="J39" i="3"/>
  <c r="J38" i="3"/>
  <c r="J37" i="3"/>
  <c r="J36" i="3"/>
  <c r="J35" i="3"/>
  <c r="J34" i="3"/>
  <c r="J21" i="3"/>
  <c r="J18" i="3"/>
  <c r="J17" i="3"/>
  <c r="J15" i="3"/>
  <c r="F82" i="3"/>
  <c r="F54" i="3"/>
  <c r="F52" i="3"/>
  <c r="F51" i="3"/>
  <c r="F50" i="3"/>
  <c r="F47" i="3"/>
  <c r="F46" i="3"/>
  <c r="F45" i="3"/>
  <c r="F38" i="3"/>
  <c r="F37" i="3"/>
  <c r="F36" i="3"/>
  <c r="F35" i="3"/>
  <c r="F34" i="3"/>
  <c r="FB82" i="2"/>
  <c r="EX82" i="2"/>
  <c r="EW12" i="2"/>
  <c r="EW23" i="2" s="1"/>
  <c r="EW33" i="2"/>
  <c r="EW43" i="2"/>
  <c r="EW48" i="2"/>
  <c r="EW55" i="2"/>
  <c r="EW70" i="2"/>
  <c r="EW74" i="2"/>
  <c r="EW86" i="2"/>
  <c r="ET82" i="2"/>
  <c r="EP82" i="2"/>
  <c r="EP54" i="2"/>
  <c r="EP38" i="2"/>
  <c r="EP37" i="2"/>
  <c r="EP36" i="2"/>
  <c r="EP35" i="2"/>
  <c r="EP34" i="2"/>
  <c r="EL82" i="2"/>
  <c r="EL54" i="2"/>
  <c r="EL38" i="2"/>
  <c r="EL37" i="2"/>
  <c r="EL36" i="2"/>
  <c r="EL35" i="2"/>
  <c r="EL34" i="2"/>
  <c r="EH82" i="2"/>
  <c r="EH54" i="2"/>
  <c r="EH52" i="2"/>
  <c r="EH51" i="2"/>
  <c r="EH50" i="2"/>
  <c r="EH49" i="2"/>
  <c r="EH38" i="2"/>
  <c r="EH37" i="2"/>
  <c r="EH36" i="2"/>
  <c r="EH35" i="2"/>
  <c r="EH34" i="2"/>
  <c r="ED82" i="2"/>
  <c r="ED54" i="2"/>
  <c r="ED38" i="2"/>
  <c r="ED37" i="2"/>
  <c r="ED36" i="2"/>
  <c r="ED35" i="2"/>
  <c r="ED34" i="2"/>
  <c r="DR82" i="2"/>
  <c r="DR52" i="2"/>
  <c r="DR51" i="2"/>
  <c r="DR50" i="2"/>
  <c r="DR49" i="2"/>
  <c r="DR45" i="2"/>
  <c r="DR44" i="2"/>
  <c r="DN82" i="2"/>
  <c r="DN52" i="2"/>
  <c r="DN51" i="2"/>
  <c r="DN50" i="2"/>
  <c r="DN47" i="2"/>
  <c r="DN46" i="2"/>
  <c r="DN45" i="2"/>
  <c r="DN44" i="2"/>
  <c r="DF82" i="2"/>
  <c r="DB82" i="2"/>
  <c r="DB54" i="2"/>
  <c r="DB39" i="2"/>
  <c r="DB38" i="2"/>
  <c r="DB37" i="2"/>
  <c r="DB36" i="2"/>
  <c r="DB35" i="2"/>
  <c r="DB34" i="2"/>
  <c r="CX82" i="2"/>
  <c r="CT82" i="2"/>
  <c r="CP84" i="2"/>
  <c r="CP82" i="2"/>
  <c r="CL82" i="2"/>
  <c r="CH88" i="2"/>
  <c r="CH82" i="2"/>
  <c r="CD82" i="2"/>
  <c r="BZ82" i="2"/>
  <c r="BV85" i="2"/>
  <c r="BV82" i="2"/>
  <c r="BR82" i="2"/>
  <c r="BN82" i="2"/>
  <c r="BJ82" i="2"/>
  <c r="BJ52" i="2"/>
  <c r="BJ51" i="2"/>
  <c r="BJ50" i="2"/>
  <c r="BJ49" i="2"/>
  <c r="BJ47" i="2"/>
  <c r="BJ46" i="2"/>
  <c r="BJ45" i="2"/>
  <c r="BJ44" i="2"/>
  <c r="BF82" i="2"/>
  <c r="BF52" i="2"/>
  <c r="BF51" i="2"/>
  <c r="BF50" i="2"/>
  <c r="BF49" i="2"/>
  <c r="BF47" i="2"/>
  <c r="BF46" i="2"/>
  <c r="BF45" i="2"/>
  <c r="BF44" i="2"/>
  <c r="BB82" i="2"/>
  <c r="BB52" i="2"/>
  <c r="BB51" i="2"/>
  <c r="BB50" i="2"/>
  <c r="BB49" i="2"/>
  <c r="BB47" i="2"/>
  <c r="BB46" i="2"/>
  <c r="BB45" i="2"/>
  <c r="BB44" i="2"/>
  <c r="BB24" i="2"/>
  <c r="AX82" i="2"/>
  <c r="AX52" i="2"/>
  <c r="AX51" i="2"/>
  <c r="AX50" i="2"/>
  <c r="AX49" i="2"/>
  <c r="AX47" i="2"/>
  <c r="AX46" i="2"/>
  <c r="AX45" i="2"/>
  <c r="AX44" i="2"/>
  <c r="AT82" i="2"/>
  <c r="AT54" i="2"/>
  <c r="AT38" i="2"/>
  <c r="AT37" i="2"/>
  <c r="AT36" i="2"/>
  <c r="AT35" i="2"/>
  <c r="AT34" i="2"/>
  <c r="AP82" i="2"/>
  <c r="AP54" i="2"/>
  <c r="AP52" i="2"/>
  <c r="AP51" i="2"/>
  <c r="AP50" i="2"/>
  <c r="AP47" i="2"/>
  <c r="AP46" i="2"/>
  <c r="AP45" i="2"/>
  <c r="AP44" i="2"/>
  <c r="AP38" i="2"/>
  <c r="AP37" i="2"/>
  <c r="AP36" i="2"/>
  <c r="AP35" i="2"/>
  <c r="AP34" i="2"/>
  <c r="AL82" i="2"/>
  <c r="AL54" i="2"/>
  <c r="AL38" i="2"/>
  <c r="AL37" i="2"/>
  <c r="AL36" i="2"/>
  <c r="AL35" i="2"/>
  <c r="AL34" i="2"/>
  <c r="AL32" i="2"/>
  <c r="AH82" i="2"/>
  <c r="AH54" i="2"/>
  <c r="AH52" i="2"/>
  <c r="AH51" i="2"/>
  <c r="AH50" i="2"/>
  <c r="AH49" i="2"/>
  <c r="AH47" i="2"/>
  <c r="AH46" i="2"/>
  <c r="AH45" i="2"/>
  <c r="AH44" i="2"/>
  <c r="AH38" i="2"/>
  <c r="AH37" i="2"/>
  <c r="AH36" i="2"/>
  <c r="AH35" i="2"/>
  <c r="AH34" i="2"/>
  <c r="AD82" i="2"/>
  <c r="AD54" i="2"/>
  <c r="AD52" i="2"/>
  <c r="AD51" i="2"/>
  <c r="AD50" i="2"/>
  <c r="AD49" i="2"/>
  <c r="AD47" i="2"/>
  <c r="AD46" i="2"/>
  <c r="AD38" i="2"/>
  <c r="AD37" i="2"/>
  <c r="AD36" i="2"/>
  <c r="AD35" i="2"/>
  <c r="AD34" i="2"/>
  <c r="AD32" i="2"/>
  <c r="Z82" i="2"/>
  <c r="Z54" i="2"/>
  <c r="Z38" i="2"/>
  <c r="Z37" i="2"/>
  <c r="Z36" i="2"/>
  <c r="Z35" i="2"/>
  <c r="Z34" i="2"/>
  <c r="V82" i="2"/>
  <c r="V54" i="2"/>
  <c r="V38" i="2"/>
  <c r="V37" i="2"/>
  <c r="V36" i="2"/>
  <c r="V35" i="2"/>
  <c r="V34" i="2"/>
  <c r="R82" i="2"/>
  <c r="R54" i="2"/>
  <c r="R38" i="2"/>
  <c r="R37" i="2"/>
  <c r="R36" i="2"/>
  <c r="R35" i="2"/>
  <c r="R34" i="2"/>
  <c r="J82" i="2"/>
  <c r="J54" i="2"/>
  <c r="J38" i="2"/>
  <c r="J37" i="2"/>
  <c r="J36" i="2"/>
  <c r="J35" i="2"/>
  <c r="J34" i="2"/>
  <c r="AX82" i="1"/>
  <c r="AT82" i="1"/>
  <c r="AP82" i="1"/>
  <c r="AL82" i="1"/>
  <c r="AH82" i="1"/>
  <c r="Z82" i="1"/>
  <c r="Z54" i="1"/>
  <c r="Z39" i="1"/>
  <c r="Z38" i="1"/>
  <c r="Z37" i="1"/>
  <c r="Z36" i="1"/>
  <c r="Z35" i="1"/>
  <c r="Z34" i="1"/>
  <c r="V82" i="1"/>
  <c r="R82" i="1"/>
  <c r="N82" i="1"/>
  <c r="J82" i="1"/>
  <c r="J27" i="1"/>
  <c r="F82" i="1"/>
  <c r="F27" i="1"/>
  <c r="AK33" i="5"/>
  <c r="I33" i="5"/>
  <c r="AW33" i="4"/>
  <c r="AS33" i="4"/>
  <c r="AO33" i="4"/>
  <c r="AK33" i="4"/>
  <c r="AG33" i="4"/>
  <c r="AC33" i="4"/>
  <c r="Y33" i="4"/>
  <c r="U33" i="4"/>
  <c r="I33" i="3"/>
  <c r="ES33" i="2"/>
  <c r="DQ33" i="2"/>
  <c r="DM33" i="2"/>
  <c r="DE33" i="2"/>
  <c r="CW33" i="2"/>
  <c r="CS33" i="2"/>
  <c r="CO33" i="2"/>
  <c r="CK33" i="2"/>
  <c r="CG33" i="2"/>
  <c r="CC33" i="2"/>
  <c r="BY33" i="2"/>
  <c r="BU33" i="2"/>
  <c r="BQ33" i="2"/>
  <c r="BM33" i="2"/>
  <c r="BI33" i="2"/>
  <c r="BE33" i="2"/>
  <c r="BA33" i="2"/>
  <c r="AW33" i="2"/>
  <c r="EW53" i="2" l="1"/>
  <c r="EW31" i="2"/>
  <c r="EW25" i="2" s="1"/>
  <c r="EW83" i="2" s="1"/>
  <c r="EW87" i="2" s="1"/>
  <c r="EW89" i="2" s="1"/>
  <c r="BM12" i="3"/>
  <c r="AW12" i="3"/>
  <c r="AL33" i="2"/>
  <c r="U33" i="1"/>
  <c r="Q33" i="1"/>
  <c r="BE33" i="1"/>
  <c r="AW33" i="1"/>
  <c r="AS33" i="1"/>
  <c r="AO33" i="1"/>
  <c r="AK33" i="1"/>
  <c r="AG33" i="1"/>
  <c r="BJ38" i="4" l="1"/>
  <c r="BJ37" i="4"/>
  <c r="BJ36" i="4"/>
  <c r="BJ35" i="4"/>
  <c r="BJ34" i="4"/>
  <c r="BN38" i="4"/>
  <c r="BN37" i="4"/>
  <c r="BN36" i="4"/>
  <c r="BN35" i="4"/>
  <c r="BN34" i="4"/>
  <c r="BB38" i="4" l="1"/>
  <c r="BB37" i="4"/>
  <c r="BB36" i="4"/>
  <c r="BB35" i="4"/>
  <c r="BB34" i="4"/>
  <c r="R38" i="4"/>
  <c r="R37" i="4"/>
  <c r="R36" i="4"/>
  <c r="R35" i="4"/>
  <c r="R34" i="4"/>
  <c r="N38" i="4"/>
  <c r="N37" i="4"/>
  <c r="N36" i="4"/>
  <c r="N35" i="4"/>
  <c r="N34" i="4"/>
  <c r="J38" i="4"/>
  <c r="J37" i="4"/>
  <c r="J36" i="4"/>
  <c r="J35" i="4"/>
  <c r="F38" i="4"/>
  <c r="F37" i="4"/>
  <c r="F36" i="4"/>
  <c r="F35" i="4"/>
  <c r="Z21" i="6" l="1"/>
  <c r="Z20" i="6"/>
  <c r="Z19" i="6"/>
  <c r="Z17" i="6"/>
  <c r="Z16" i="6"/>
  <c r="BB21" i="5"/>
  <c r="BB20" i="5"/>
  <c r="BB19" i="5"/>
  <c r="BB17" i="5"/>
  <c r="BB16" i="5"/>
  <c r="AX85" i="1"/>
  <c r="Z18" i="6" l="1"/>
  <c r="BB68" i="5"/>
  <c r="BB18" i="5"/>
  <c r="BB65" i="5" l="1"/>
  <c r="Y43" i="2"/>
  <c r="AG70" i="5" l="1"/>
  <c r="BI48" i="3"/>
  <c r="E48" i="6" l="1"/>
  <c r="BE55" i="3" l="1"/>
  <c r="Y48" i="6" l="1"/>
  <c r="X48" i="6"/>
  <c r="Y43" i="6"/>
  <c r="X43" i="6"/>
  <c r="AT41" i="3"/>
  <c r="AR22" i="3"/>
  <c r="AT22" i="3" s="1"/>
  <c r="AR21" i="3"/>
  <c r="AT21" i="3" s="1"/>
  <c r="AR20" i="3"/>
  <c r="AT20" i="3" s="1"/>
  <c r="AR19" i="3"/>
  <c r="AT19" i="3" s="1"/>
  <c r="AR18" i="3"/>
  <c r="AT18" i="3" s="1"/>
  <c r="AR17" i="3"/>
  <c r="AT17" i="3" s="1"/>
  <c r="AR16" i="3"/>
  <c r="AT16" i="3" s="1"/>
  <c r="AR15" i="3"/>
  <c r="AT15" i="3" s="1"/>
  <c r="X80" i="3"/>
  <c r="Z80" i="3" s="1"/>
  <c r="X79" i="3"/>
  <c r="Z79" i="3" s="1"/>
  <c r="X78" i="3"/>
  <c r="Z78" i="3" s="1"/>
  <c r="X77" i="3"/>
  <c r="Z77" i="3" s="1"/>
  <c r="X76" i="3"/>
  <c r="Z76" i="3" s="1"/>
  <c r="X75" i="3"/>
  <c r="Z75" i="3" s="1"/>
  <c r="Z48" i="6" l="1"/>
  <c r="Y31" i="6"/>
  <c r="Z43" i="6"/>
  <c r="X69" i="3"/>
  <c r="Z69" i="3" s="1"/>
  <c r="X68" i="3"/>
  <c r="Z68" i="3" s="1"/>
  <c r="X67" i="3"/>
  <c r="Z67" i="3" s="1"/>
  <c r="X66" i="3"/>
  <c r="Z66" i="3" s="1"/>
  <c r="X65" i="3"/>
  <c r="Z65" i="3" s="1"/>
  <c r="X64" i="3"/>
  <c r="Z64" i="3" s="1"/>
  <c r="X63" i="3"/>
  <c r="Z63" i="3" s="1"/>
  <c r="X62" i="3"/>
  <c r="Z62" i="3" s="1"/>
  <c r="X61" i="3"/>
  <c r="Z61" i="3" s="1"/>
  <c r="X60" i="3"/>
  <c r="Z60" i="3" s="1"/>
  <c r="X59" i="3"/>
  <c r="Z59" i="3" s="1"/>
  <c r="X58" i="3"/>
  <c r="Z58" i="3" s="1"/>
  <c r="X57" i="3"/>
  <c r="Z57" i="3" s="1"/>
  <c r="X56" i="3"/>
  <c r="Z41" i="3"/>
  <c r="X30" i="3"/>
  <c r="Z30" i="3" s="1"/>
  <c r="X29" i="3"/>
  <c r="Z29" i="3" s="1"/>
  <c r="X28" i="3"/>
  <c r="Z28" i="3" s="1"/>
  <c r="X27" i="3"/>
  <c r="Z27" i="3" s="1"/>
  <c r="X21" i="3"/>
  <c r="Z21" i="3" s="1"/>
  <c r="X20" i="3"/>
  <c r="Z20" i="3" s="1"/>
  <c r="X19" i="3"/>
  <c r="Z19" i="3" s="1"/>
  <c r="X18" i="3"/>
  <c r="Z18" i="3" s="1"/>
  <c r="X17" i="3"/>
  <c r="Z17" i="3" s="1"/>
  <c r="X16" i="3"/>
  <c r="Z16" i="3" s="1"/>
  <c r="X15" i="3"/>
  <c r="Z15" i="3" s="1"/>
  <c r="Z56" i="3" l="1"/>
  <c r="AC34" i="3"/>
  <c r="X74" i="6" l="1"/>
  <c r="X70" i="6"/>
  <c r="X55" i="6" l="1"/>
  <c r="X53" i="6" s="1"/>
  <c r="X12" i="6"/>
  <c r="X23" i="6" s="1"/>
  <c r="Q18" i="6" l="1"/>
  <c r="U18" i="6"/>
  <c r="BI55" i="5"/>
  <c r="BI48" i="2" l="1"/>
  <c r="BH48" i="2"/>
  <c r="BJ48" i="2" s="1"/>
  <c r="DR47" i="2" l="1"/>
  <c r="DR46" i="2"/>
  <c r="AT41" i="2" l="1"/>
  <c r="AS18" i="5" l="1"/>
  <c r="AZ48" i="5"/>
  <c r="AZ43" i="5"/>
  <c r="AH41" i="5" l="1"/>
  <c r="AR48" i="3" l="1"/>
  <c r="AR43" i="3"/>
  <c r="AV33" i="6"/>
  <c r="AX33" i="6" s="1"/>
  <c r="D43" i="5"/>
  <c r="AZ88" i="5" l="1"/>
  <c r="BB88" i="5" s="1"/>
  <c r="AZ85" i="5"/>
  <c r="BB85" i="5" s="1"/>
  <c r="AZ84" i="5"/>
  <c r="BB84" i="5" s="1"/>
  <c r="AZ82" i="5"/>
  <c r="BB82" i="5" s="1"/>
  <c r="AZ81" i="5"/>
  <c r="BB81" i="5" s="1"/>
  <c r="AZ80" i="5"/>
  <c r="BB80" i="5" s="1"/>
  <c r="AZ79" i="5"/>
  <c r="BB79" i="5" s="1"/>
  <c r="AZ78" i="5"/>
  <c r="BB78" i="5" s="1"/>
  <c r="AZ74" i="5"/>
  <c r="AZ70" i="5"/>
  <c r="AZ55" i="5" l="1"/>
  <c r="AZ53" i="5" s="1"/>
  <c r="X85" i="3"/>
  <c r="Z85" i="3" s="1"/>
  <c r="X84" i="3"/>
  <c r="Z84" i="3" s="1"/>
  <c r="X82" i="3"/>
  <c r="Z82" i="3" s="1"/>
  <c r="X81" i="3"/>
  <c r="Z81" i="3" s="1"/>
  <c r="X74" i="3"/>
  <c r="X73" i="3"/>
  <c r="Z73" i="3" s="1"/>
  <c r="X72" i="3"/>
  <c r="Z72" i="3" s="1"/>
  <c r="X71" i="3"/>
  <c r="AS70" i="3"/>
  <c r="AR88" i="3"/>
  <c r="AT88" i="3" s="1"/>
  <c r="AR85" i="3"/>
  <c r="AT85" i="3" s="1"/>
  <c r="AR84" i="3"/>
  <c r="AT84" i="3" s="1"/>
  <c r="AR82" i="3"/>
  <c r="AT82" i="3" s="1"/>
  <c r="AR81" i="3"/>
  <c r="AT81" i="3" s="1"/>
  <c r="AR80" i="3"/>
  <c r="AT80" i="3" s="1"/>
  <c r="AR79" i="3"/>
  <c r="AT79" i="3" s="1"/>
  <c r="AR78" i="3"/>
  <c r="AT78" i="3" s="1"/>
  <c r="AT77" i="3"/>
  <c r="AT76" i="3"/>
  <c r="AT73" i="3"/>
  <c r="AT72" i="3"/>
  <c r="AT71" i="3"/>
  <c r="AT69" i="3"/>
  <c r="AT68" i="3"/>
  <c r="AT67" i="3"/>
  <c r="AT66" i="3"/>
  <c r="AT65" i="3"/>
  <c r="AT64" i="3"/>
  <c r="AT63" i="3"/>
  <c r="AT62" i="3"/>
  <c r="AT61" i="3"/>
  <c r="AT60" i="3"/>
  <c r="AT59" i="3"/>
  <c r="AT58" i="3"/>
  <c r="AT57" i="3"/>
  <c r="AR74" i="3" l="1"/>
  <c r="AT75" i="3"/>
  <c r="Z71" i="3"/>
  <c r="X70" i="3"/>
  <c r="Z70" i="3" s="1"/>
  <c r="AT56" i="3"/>
  <c r="AZ12" i="5"/>
  <c r="AZ23" i="5" s="1"/>
  <c r="AR70" i="3"/>
  <c r="AT70" i="3" s="1"/>
  <c r="AR55" i="3"/>
  <c r="AR53" i="3" s="1"/>
  <c r="X55" i="3"/>
  <c r="X53" i="3" l="1"/>
  <c r="L33" i="4"/>
  <c r="N33" i="4" s="1"/>
  <c r="X33" i="6"/>
  <c r="AF33" i="5"/>
  <c r="AH33" i="5" s="1"/>
  <c r="H33" i="6"/>
  <c r="J33" i="6" s="1"/>
  <c r="AZ33" i="3"/>
  <c r="BB33" i="3" s="1"/>
  <c r="AB33" i="5"/>
  <c r="AD33" i="5" s="1"/>
  <c r="H33" i="3"/>
  <c r="J33" i="3" s="1"/>
  <c r="X31" i="6" l="1"/>
  <c r="Z33" i="6"/>
  <c r="AR33" i="3"/>
  <c r="X33" i="3"/>
  <c r="Z33" i="3" s="1"/>
  <c r="BH33" i="3"/>
  <c r="BJ33" i="3" s="1"/>
  <c r="BD33" i="3"/>
  <c r="BF33" i="3" s="1"/>
  <c r="AL33" i="6"/>
  <c r="AZ33" i="5"/>
  <c r="BH33" i="5"/>
  <c r="BJ33" i="5" s="1"/>
  <c r="AN33" i="6"/>
  <c r="AP33" i="6" s="1"/>
  <c r="D33" i="6"/>
  <c r="F33" i="6" s="1"/>
  <c r="T33" i="5"/>
  <c r="V33" i="5" s="1"/>
  <c r="P33" i="5"/>
  <c r="R33" i="5" s="1"/>
  <c r="D33" i="3"/>
  <c r="F33" i="3" s="1"/>
  <c r="AF33" i="6"/>
  <c r="AH33" i="6" s="1"/>
  <c r="D33" i="5"/>
  <c r="F33" i="5" s="1"/>
  <c r="BH33" i="4"/>
  <c r="BJ33" i="4" s="1"/>
  <c r="BL33" i="4"/>
  <c r="BN33" i="4" s="1"/>
  <c r="X25" i="6" l="1"/>
  <c r="X83" i="6" s="1"/>
  <c r="X87" i="6" s="1"/>
  <c r="Z31" i="6"/>
  <c r="AZ31" i="5"/>
  <c r="AZ25" i="5" s="1"/>
  <c r="AZ83" i="5" s="1"/>
  <c r="BB33" i="5"/>
  <c r="AR31" i="3"/>
  <c r="AT33" i="3"/>
  <c r="AZ33" i="4"/>
  <c r="BB33" i="4" s="1"/>
  <c r="P33" i="4" l="1"/>
  <c r="R33" i="4" s="1"/>
  <c r="H33" i="4" l="1"/>
  <c r="J33" i="4" s="1"/>
  <c r="X33" i="1"/>
  <c r="Z33" i="1" s="1"/>
  <c r="CZ33" i="2"/>
  <c r="DB33" i="2" s="1"/>
  <c r="AR33" i="2"/>
  <c r="AT33" i="2" s="1"/>
  <c r="AN33" i="2"/>
  <c r="AP33" i="2" s="1"/>
  <c r="AF33" i="2"/>
  <c r="AH33" i="2" s="1"/>
  <c r="AD33" i="2"/>
  <c r="X33" i="2"/>
  <c r="Z33" i="2" s="1"/>
  <c r="T33" i="2"/>
  <c r="V33" i="2" s="1"/>
  <c r="P33" i="2"/>
  <c r="R33" i="2" s="1"/>
  <c r="D33" i="4" l="1"/>
  <c r="F33" i="4" s="1"/>
  <c r="EB33" i="2"/>
  <c r="ED33" i="2" s="1"/>
  <c r="EN33" i="2"/>
  <c r="EP33" i="2" s="1"/>
  <c r="EJ33" i="2"/>
  <c r="EL33" i="2" s="1"/>
  <c r="EF33" i="2"/>
  <c r="EH33" i="2" s="1"/>
  <c r="BM88" i="3" l="1"/>
  <c r="BM85" i="3"/>
  <c r="BM84" i="3"/>
  <c r="BM82" i="3"/>
  <c r="BM81" i="3"/>
  <c r="BM80" i="3"/>
  <c r="BM79" i="3"/>
  <c r="BM78" i="3"/>
  <c r="BM77" i="3"/>
  <c r="BM76" i="3"/>
  <c r="BM75" i="3"/>
  <c r="BM73" i="3"/>
  <c r="BM72" i="3"/>
  <c r="BM71" i="3"/>
  <c r="BM69" i="3"/>
  <c r="BM68" i="3"/>
  <c r="BM67" i="3"/>
  <c r="BM66" i="3"/>
  <c r="BM65" i="3"/>
  <c r="BM64" i="3"/>
  <c r="BM63" i="3"/>
  <c r="BM62" i="3"/>
  <c r="BM61" i="3"/>
  <c r="BM60" i="3"/>
  <c r="BM59" i="3"/>
  <c r="BM58" i="3"/>
  <c r="BM57" i="3"/>
  <c r="BM56" i="3"/>
  <c r="BM54" i="3"/>
  <c r="BM52" i="3"/>
  <c r="BM51" i="3"/>
  <c r="BM50" i="3"/>
  <c r="BM49" i="3"/>
  <c r="BM47" i="3"/>
  <c r="BM46" i="3"/>
  <c r="BM45" i="3"/>
  <c r="BM44" i="3"/>
  <c r="BM41" i="3"/>
  <c r="BM39" i="3"/>
  <c r="BM38" i="3"/>
  <c r="BM37" i="3"/>
  <c r="BM36" i="3"/>
  <c r="BM35" i="3"/>
  <c r="BM34" i="3"/>
  <c r="BM32" i="3"/>
  <c r="BM30" i="3"/>
  <c r="BM29" i="3"/>
  <c r="BM28" i="3"/>
  <c r="BM27" i="3"/>
  <c r="BM26" i="3"/>
  <c r="BM24" i="3"/>
  <c r="BM22" i="3"/>
  <c r="BM21" i="3"/>
  <c r="BM20" i="3"/>
  <c r="BM19" i="3"/>
  <c r="BM18" i="3"/>
  <c r="BM17" i="3"/>
  <c r="BM16" i="3"/>
  <c r="BM15" i="3"/>
  <c r="BM14" i="3"/>
  <c r="BM13" i="3"/>
  <c r="AW18" i="5"/>
  <c r="AR32" i="3" l="1"/>
  <c r="AT32" i="3" s="1"/>
  <c r="AR30" i="3"/>
  <c r="AT30" i="3" s="1"/>
  <c r="AR29" i="3"/>
  <c r="AT29" i="3" s="1"/>
  <c r="AR28" i="3"/>
  <c r="AR27" i="3"/>
  <c r="AT27" i="3" s="1"/>
  <c r="AR26" i="3"/>
  <c r="AT26" i="3" s="1"/>
  <c r="AR24" i="3"/>
  <c r="AT24" i="3" s="1"/>
  <c r="AR14" i="3"/>
  <c r="AR13" i="3"/>
  <c r="AT13" i="3" s="1"/>
  <c r="BI55" i="2"/>
  <c r="AT14" i="3" l="1"/>
  <c r="AR12" i="3"/>
  <c r="AT28" i="3"/>
  <c r="AR25" i="3"/>
  <c r="AR83" i="3" s="1"/>
  <c r="X88" i="3"/>
  <c r="Z88" i="3" s="1"/>
  <c r="X32" i="3"/>
  <c r="Z32" i="3" s="1"/>
  <c r="X26" i="3"/>
  <c r="Z26" i="3" s="1"/>
  <c r="X22" i="3"/>
  <c r="Z22" i="3" s="1"/>
  <c r="X14" i="3"/>
  <c r="X13" i="3"/>
  <c r="Z13" i="3" s="1"/>
  <c r="Z14" i="3" l="1"/>
  <c r="X12" i="3"/>
  <c r="AV12" i="3"/>
  <c r="AX12" i="3" s="1"/>
  <c r="AT12" i="3"/>
  <c r="AR23" i="3"/>
  <c r="AV43" i="4"/>
  <c r="DP43" i="2"/>
  <c r="DL43" i="2"/>
  <c r="AF48" i="2"/>
  <c r="AF43" i="2"/>
  <c r="AN43" i="2"/>
  <c r="AP43" i="2" s="1"/>
  <c r="AV43" i="2"/>
  <c r="BD43" i="2"/>
  <c r="BH43" i="2"/>
  <c r="AB48" i="2"/>
  <c r="BH43" i="3"/>
  <c r="AZ43" i="3"/>
  <c r="X48" i="3"/>
  <c r="X43" i="3"/>
  <c r="AV43" i="6"/>
  <c r="AN43" i="6"/>
  <c r="AF43" i="6"/>
  <c r="D43" i="6"/>
  <c r="AF43" i="5"/>
  <c r="AB43" i="5"/>
  <c r="BH48" i="3"/>
  <c r="BJ48" i="3" s="1"/>
  <c r="BD48" i="2"/>
  <c r="AV48" i="2"/>
  <c r="DP48" i="2"/>
  <c r="AB12" i="3" l="1"/>
  <c r="X23" i="3"/>
  <c r="X31" i="3"/>
  <c r="AN48" i="6"/>
  <c r="AF48" i="6"/>
  <c r="AV48" i="6"/>
  <c r="H48" i="4"/>
  <c r="AV48" i="4"/>
  <c r="AZ48" i="3"/>
  <c r="D49" i="6"/>
  <c r="D48" i="6" l="1"/>
  <c r="F48" i="6" s="1"/>
  <c r="F49" i="6"/>
  <c r="X25" i="3"/>
  <c r="X83" i="3" s="1"/>
  <c r="AA12" i="1"/>
  <c r="AB12" i="1" s="1"/>
  <c r="AC12" i="1"/>
  <c r="AB13" i="1"/>
  <c r="AD13" i="1" s="1"/>
  <c r="AB14" i="1"/>
  <c r="AD14" i="1" s="1"/>
  <c r="AB15" i="1"/>
  <c r="AD15" i="1" s="1"/>
  <c r="AB16" i="1"/>
  <c r="AD16" i="1" s="1"/>
  <c r="AB17" i="1"/>
  <c r="AD17" i="1" s="1"/>
  <c r="AB18" i="1"/>
  <c r="AD18" i="1" s="1"/>
  <c r="AB19" i="1"/>
  <c r="AD19" i="1" s="1"/>
  <c r="AB20" i="1"/>
  <c r="AD20" i="1" s="1"/>
  <c r="AB21" i="1"/>
  <c r="AD21" i="1" s="1"/>
  <c r="AB22" i="1"/>
  <c r="AD22" i="1" s="1"/>
  <c r="AA23" i="1"/>
  <c r="AB23" i="1" s="1"/>
  <c r="AC23" i="1"/>
  <c r="AB24" i="1"/>
  <c r="AD24" i="1" s="1"/>
  <c r="AB26" i="1"/>
  <c r="AD26" i="1" s="1"/>
  <c r="AB27" i="1"/>
  <c r="AB28" i="1"/>
  <c r="AD28" i="1" s="1"/>
  <c r="AB29" i="1"/>
  <c r="AD29" i="1" s="1"/>
  <c r="AB30" i="1"/>
  <c r="AD30" i="1" s="1"/>
  <c r="AB32" i="1"/>
  <c r="AD32" i="1" s="1"/>
  <c r="AA33" i="1"/>
  <c r="AB33" i="1" s="1"/>
  <c r="AD33" i="1" s="1"/>
  <c r="AC33" i="1"/>
  <c r="AB34" i="1"/>
  <c r="AD34" i="1" s="1"/>
  <c r="AB35" i="1"/>
  <c r="AD35" i="1" s="1"/>
  <c r="AB36" i="1"/>
  <c r="AD36" i="1" s="1"/>
  <c r="AB37" i="1"/>
  <c r="AD37" i="1" s="1"/>
  <c r="AB38" i="1"/>
  <c r="AD38" i="1" s="1"/>
  <c r="AB39" i="1"/>
  <c r="AD39" i="1" s="1"/>
  <c r="AB41" i="1"/>
  <c r="AD41" i="1" s="1"/>
  <c r="AA43" i="1"/>
  <c r="AB43" i="1" s="1"/>
  <c r="AC43" i="1"/>
  <c r="AB44" i="1"/>
  <c r="AD44" i="1" s="1"/>
  <c r="AB45" i="1"/>
  <c r="AD45" i="1" s="1"/>
  <c r="AB46" i="1"/>
  <c r="AD46" i="1" s="1"/>
  <c r="AB47" i="1"/>
  <c r="AD47" i="1" s="1"/>
  <c r="AA48" i="1"/>
  <c r="AB48" i="1" s="1"/>
  <c r="AC48" i="1"/>
  <c r="AB49" i="1"/>
  <c r="AD49" i="1" s="1"/>
  <c r="AB50" i="1"/>
  <c r="AD50" i="1" s="1"/>
  <c r="AB51" i="1"/>
  <c r="AD51" i="1" s="1"/>
  <c r="AB52" i="1"/>
  <c r="AD52" i="1" s="1"/>
  <c r="AB54" i="1"/>
  <c r="AD54" i="1" s="1"/>
  <c r="AA55" i="1"/>
  <c r="AB55" i="1" s="1"/>
  <c r="AC55" i="1"/>
  <c r="AB56" i="1"/>
  <c r="AD56" i="1" s="1"/>
  <c r="AB57" i="1"/>
  <c r="AD57" i="1" s="1"/>
  <c r="AB58" i="1"/>
  <c r="AD58" i="1" s="1"/>
  <c r="AB59" i="1"/>
  <c r="AD59" i="1" s="1"/>
  <c r="AB60" i="1"/>
  <c r="AD60" i="1" s="1"/>
  <c r="AB61" i="1"/>
  <c r="AD61" i="1" s="1"/>
  <c r="AB62" i="1"/>
  <c r="AD62" i="1" s="1"/>
  <c r="AB63" i="1"/>
  <c r="AD63" i="1" s="1"/>
  <c r="AB64" i="1"/>
  <c r="AD64" i="1" s="1"/>
  <c r="AB65" i="1"/>
  <c r="AD65" i="1" s="1"/>
  <c r="AB66" i="1"/>
  <c r="AD66" i="1" s="1"/>
  <c r="AB67" i="1"/>
  <c r="AD67" i="1" s="1"/>
  <c r="AB68" i="1"/>
  <c r="AD68" i="1" s="1"/>
  <c r="AB69" i="1"/>
  <c r="AD69" i="1" s="1"/>
  <c r="AA70" i="1"/>
  <c r="AB70" i="1" s="1"/>
  <c r="AC70" i="1"/>
  <c r="AB71" i="1"/>
  <c r="AD71" i="1" s="1"/>
  <c r="AB72" i="1"/>
  <c r="AD72" i="1" s="1"/>
  <c r="AB73" i="1"/>
  <c r="AD73" i="1" s="1"/>
  <c r="AA74" i="1"/>
  <c r="AB74" i="1" s="1"/>
  <c r="AC74" i="1"/>
  <c r="AB75" i="1"/>
  <c r="AD75" i="1" s="1"/>
  <c r="AB76" i="1"/>
  <c r="AD76" i="1" s="1"/>
  <c r="AB77" i="1"/>
  <c r="AD77" i="1" s="1"/>
  <c r="AB78" i="1"/>
  <c r="AD78" i="1" s="1"/>
  <c r="AB79" i="1"/>
  <c r="AD79" i="1" s="1"/>
  <c r="AB80" i="1"/>
  <c r="AD80" i="1" s="1"/>
  <c r="AB81" i="1"/>
  <c r="AD81" i="1" s="1"/>
  <c r="AB84" i="1"/>
  <c r="AD84" i="1" s="1"/>
  <c r="AB85" i="1"/>
  <c r="AD85" i="1" s="1"/>
  <c r="AA86" i="1"/>
  <c r="AB86" i="1" s="1"/>
  <c r="AC86" i="1"/>
  <c r="AB88" i="1"/>
  <c r="AD88" i="1" s="1"/>
  <c r="AD55" i="1" l="1"/>
  <c r="AA31" i="1"/>
  <c r="AB31" i="1" s="1"/>
  <c r="AD86" i="1"/>
  <c r="AC53" i="1"/>
  <c r="AC25" i="1" s="1"/>
  <c r="AD70" i="1"/>
  <c r="AC31" i="1"/>
  <c r="AD48" i="1"/>
  <c r="AD43" i="1"/>
  <c r="AD23" i="1"/>
  <c r="AD12" i="1"/>
  <c r="AA53" i="1"/>
  <c r="AB53" i="1" s="1"/>
  <c r="AD74" i="1"/>
  <c r="AD31" i="1" l="1"/>
  <c r="AD53" i="1"/>
  <c r="AA25" i="1"/>
  <c r="AA83" i="1" s="1"/>
  <c r="AC83" i="1"/>
  <c r="CC84" i="7"/>
  <c r="CA84" i="7"/>
  <c r="CC81" i="7"/>
  <c r="CA81" i="7"/>
  <c r="CC80" i="7"/>
  <c r="CA80" i="7"/>
  <c r="CD78" i="7"/>
  <c r="CC78" i="7"/>
  <c r="CB78" i="7"/>
  <c r="CA78" i="7"/>
  <c r="CC77" i="7"/>
  <c r="CA77" i="7"/>
  <c r="CC76" i="7"/>
  <c r="CA76" i="7"/>
  <c r="CC75" i="7"/>
  <c r="CA75" i="7"/>
  <c r="CC74" i="7"/>
  <c r="CA74" i="7"/>
  <c r="CC73" i="7"/>
  <c r="CA73" i="7"/>
  <c r="CC72" i="7"/>
  <c r="CA72" i="7"/>
  <c r="CC71" i="7"/>
  <c r="CA71" i="7"/>
  <c r="CC69" i="7"/>
  <c r="CA69" i="7"/>
  <c r="CC68" i="7"/>
  <c r="CA68" i="7"/>
  <c r="CC67" i="7"/>
  <c r="CA67" i="7"/>
  <c r="CC65" i="7"/>
  <c r="CA65" i="7"/>
  <c r="CC64" i="7"/>
  <c r="CA64" i="7"/>
  <c r="CC63" i="7"/>
  <c r="CA63" i="7"/>
  <c r="CC62" i="7"/>
  <c r="CA62" i="7"/>
  <c r="CC61" i="7"/>
  <c r="CA61" i="7"/>
  <c r="CC60" i="7"/>
  <c r="CA60" i="7"/>
  <c r="CC59" i="7"/>
  <c r="CA59" i="7"/>
  <c r="CC58" i="7"/>
  <c r="CA58" i="7"/>
  <c r="CC57" i="7"/>
  <c r="CA57" i="7"/>
  <c r="CC56" i="7"/>
  <c r="CA56" i="7"/>
  <c r="CC55" i="7"/>
  <c r="CA55" i="7"/>
  <c r="CC54" i="7"/>
  <c r="CA54" i="7"/>
  <c r="CC53" i="7"/>
  <c r="CA53" i="7"/>
  <c r="CC52" i="7"/>
  <c r="CA52" i="7"/>
  <c r="CC50" i="7"/>
  <c r="CA50" i="7"/>
  <c r="CC48" i="7"/>
  <c r="CB48" i="7"/>
  <c r="CA48" i="7"/>
  <c r="CC47" i="7"/>
  <c r="CB47" i="7"/>
  <c r="CA47" i="7"/>
  <c r="CC46" i="7"/>
  <c r="CB46" i="7"/>
  <c r="CA46" i="7"/>
  <c r="CC45" i="7"/>
  <c r="CB45" i="7"/>
  <c r="CA45" i="7"/>
  <c r="CB44" i="7"/>
  <c r="CC43" i="7"/>
  <c r="CB43" i="7"/>
  <c r="CA43" i="7"/>
  <c r="CC42" i="7"/>
  <c r="CB42" i="7"/>
  <c r="CA42" i="7"/>
  <c r="CC41" i="7"/>
  <c r="CB41" i="7"/>
  <c r="CA41" i="7"/>
  <c r="CC40" i="7"/>
  <c r="CB40" i="7"/>
  <c r="CA40" i="7"/>
  <c r="CB39" i="7"/>
  <c r="CC37" i="7"/>
  <c r="CA37" i="7"/>
  <c r="CC35" i="7"/>
  <c r="CA35" i="7"/>
  <c r="CC34" i="7"/>
  <c r="CA34" i="7"/>
  <c r="CC33" i="7"/>
  <c r="CA33" i="7"/>
  <c r="CC32" i="7"/>
  <c r="CA32" i="7"/>
  <c r="CC31" i="7"/>
  <c r="CA31" i="7"/>
  <c r="CC30" i="7"/>
  <c r="CA30" i="7"/>
  <c r="CC28" i="7"/>
  <c r="CA28" i="7"/>
  <c r="CC26" i="7"/>
  <c r="CA26" i="7"/>
  <c r="CC25" i="7"/>
  <c r="CA25" i="7"/>
  <c r="CC24" i="7"/>
  <c r="CA24" i="7"/>
  <c r="CC23" i="7"/>
  <c r="CA23" i="7"/>
  <c r="CC22" i="7"/>
  <c r="CA22" i="7"/>
  <c r="CC20" i="7"/>
  <c r="CA20" i="7"/>
  <c r="CC18" i="7"/>
  <c r="CA18" i="7"/>
  <c r="CC17" i="7"/>
  <c r="CA17" i="7"/>
  <c r="CC16" i="7"/>
  <c r="CA16" i="7"/>
  <c r="CC15" i="7"/>
  <c r="CA15" i="7"/>
  <c r="CC14" i="7"/>
  <c r="CA14" i="7"/>
  <c r="CC13" i="7"/>
  <c r="CA13" i="7"/>
  <c r="CC12" i="7"/>
  <c r="CA12" i="7"/>
  <c r="CC11" i="7"/>
  <c r="CA11" i="7"/>
  <c r="CC10" i="7"/>
  <c r="CA10" i="7"/>
  <c r="CC9" i="7"/>
  <c r="CA9" i="7"/>
  <c r="BY84" i="7"/>
  <c r="BW84" i="7"/>
  <c r="BY81" i="7"/>
  <c r="BW81" i="7"/>
  <c r="BY80" i="7"/>
  <c r="BW80" i="7"/>
  <c r="BZ78" i="7"/>
  <c r="BY78" i="7"/>
  <c r="BX78" i="7"/>
  <c r="BW78" i="7"/>
  <c r="BY77" i="7"/>
  <c r="BW77" i="7"/>
  <c r="BY76" i="7"/>
  <c r="BW76" i="7"/>
  <c r="BY75" i="7"/>
  <c r="BW75" i="7"/>
  <c r="BY74" i="7"/>
  <c r="BW74" i="7"/>
  <c r="BY73" i="7"/>
  <c r="BW73" i="7"/>
  <c r="BY72" i="7"/>
  <c r="BW72" i="7"/>
  <c r="BY71" i="7"/>
  <c r="BW71" i="7"/>
  <c r="BY69" i="7"/>
  <c r="BW69" i="7"/>
  <c r="BY68" i="7"/>
  <c r="BW68" i="7"/>
  <c r="BY67" i="7"/>
  <c r="BW67" i="7"/>
  <c r="BY65" i="7"/>
  <c r="BW65" i="7"/>
  <c r="BY64" i="7"/>
  <c r="BW64" i="7"/>
  <c r="BY63" i="7"/>
  <c r="BW63" i="7"/>
  <c r="BY62" i="7"/>
  <c r="BW62" i="7"/>
  <c r="BY61" i="7"/>
  <c r="BW61" i="7"/>
  <c r="BY60" i="7"/>
  <c r="BW60" i="7"/>
  <c r="BY59" i="7"/>
  <c r="BW59" i="7"/>
  <c r="BY58" i="7"/>
  <c r="BW58" i="7"/>
  <c r="BY57" i="7"/>
  <c r="BW57" i="7"/>
  <c r="BY56" i="7"/>
  <c r="BW56" i="7"/>
  <c r="BY55" i="7"/>
  <c r="BW55" i="7"/>
  <c r="BY54" i="7"/>
  <c r="BW54" i="7"/>
  <c r="BY53" i="7"/>
  <c r="BW53" i="7"/>
  <c r="BY52" i="7"/>
  <c r="BW52" i="7"/>
  <c r="BY50" i="7"/>
  <c r="BW50" i="7"/>
  <c r="BY48" i="7"/>
  <c r="BX48" i="7"/>
  <c r="BW48" i="7"/>
  <c r="BY47" i="7"/>
  <c r="BX47" i="7"/>
  <c r="BW47" i="7"/>
  <c r="BY46" i="7"/>
  <c r="BX46" i="7"/>
  <c r="BW46" i="7"/>
  <c r="BY45" i="7"/>
  <c r="BX45" i="7"/>
  <c r="BW45" i="7"/>
  <c r="BX44" i="7"/>
  <c r="BY43" i="7"/>
  <c r="BX43" i="7"/>
  <c r="BW43" i="7"/>
  <c r="BY42" i="7"/>
  <c r="BX42" i="7"/>
  <c r="BW42" i="7"/>
  <c r="BY41" i="7"/>
  <c r="BX41" i="7"/>
  <c r="BW41" i="7"/>
  <c r="BY40" i="7"/>
  <c r="BX40" i="7"/>
  <c r="BW40" i="7"/>
  <c r="BX39" i="7"/>
  <c r="BY37" i="7"/>
  <c r="BW37" i="7"/>
  <c r="BY35" i="7"/>
  <c r="BW35" i="7"/>
  <c r="BY34" i="7"/>
  <c r="BW34" i="7"/>
  <c r="BY33" i="7"/>
  <c r="BW33" i="7"/>
  <c r="BY32" i="7"/>
  <c r="BW32" i="7"/>
  <c r="BY31" i="7"/>
  <c r="BW31" i="7"/>
  <c r="BY30" i="7"/>
  <c r="BW30" i="7"/>
  <c r="BY28" i="7"/>
  <c r="BW28" i="7"/>
  <c r="BY26" i="7"/>
  <c r="BW26" i="7"/>
  <c r="BY25" i="7"/>
  <c r="BW25" i="7"/>
  <c r="BY24" i="7"/>
  <c r="BW24" i="7"/>
  <c r="BY23" i="7"/>
  <c r="BW23" i="7"/>
  <c r="BY22" i="7"/>
  <c r="BW22" i="7"/>
  <c r="BY20" i="7"/>
  <c r="BW20" i="7"/>
  <c r="BY18" i="7"/>
  <c r="BW18" i="7"/>
  <c r="BY17" i="7"/>
  <c r="BW17" i="7"/>
  <c r="BY16" i="7"/>
  <c r="BW16" i="7"/>
  <c r="BY15" i="7"/>
  <c r="BW15" i="7"/>
  <c r="BY14" i="7"/>
  <c r="BW14" i="7"/>
  <c r="BY13" i="7"/>
  <c r="BW13" i="7"/>
  <c r="BY12" i="7"/>
  <c r="BW12" i="7"/>
  <c r="BY11" i="7"/>
  <c r="BW11" i="7"/>
  <c r="BY10" i="7"/>
  <c r="BW10" i="7"/>
  <c r="BY9" i="7"/>
  <c r="BW9" i="7"/>
  <c r="BU84" i="7"/>
  <c r="BS84" i="7"/>
  <c r="BU81" i="7"/>
  <c r="BS81" i="7"/>
  <c r="BU80" i="7"/>
  <c r="BS80" i="7"/>
  <c r="BV78" i="7"/>
  <c r="BU78" i="7"/>
  <c r="BT78" i="7"/>
  <c r="BS78" i="7"/>
  <c r="BU77" i="7"/>
  <c r="BS77" i="7"/>
  <c r="BU76" i="7"/>
  <c r="BS76" i="7"/>
  <c r="BU75" i="7"/>
  <c r="BS75" i="7"/>
  <c r="BU74" i="7"/>
  <c r="BS74" i="7"/>
  <c r="BU73" i="7"/>
  <c r="BS73" i="7"/>
  <c r="BU72" i="7"/>
  <c r="BS72" i="7"/>
  <c r="BU71" i="7"/>
  <c r="BS71" i="7"/>
  <c r="BU69" i="7"/>
  <c r="BS69" i="7"/>
  <c r="BU68" i="7"/>
  <c r="BS68" i="7"/>
  <c r="BU67" i="7"/>
  <c r="BS67" i="7"/>
  <c r="BU65" i="7"/>
  <c r="BS65" i="7"/>
  <c r="BU64" i="7"/>
  <c r="BS64" i="7"/>
  <c r="BU63" i="7"/>
  <c r="BS63" i="7"/>
  <c r="BU62" i="7"/>
  <c r="BS62" i="7"/>
  <c r="BU61" i="7"/>
  <c r="BS61" i="7"/>
  <c r="BU60" i="7"/>
  <c r="BS60" i="7"/>
  <c r="BU59" i="7"/>
  <c r="BS59" i="7"/>
  <c r="BU58" i="7"/>
  <c r="BS58" i="7"/>
  <c r="BU57" i="7"/>
  <c r="BS57" i="7"/>
  <c r="BU56" i="7"/>
  <c r="BS56" i="7"/>
  <c r="BU55" i="7"/>
  <c r="BS55" i="7"/>
  <c r="BU54" i="7"/>
  <c r="BS54" i="7"/>
  <c r="BU53" i="7"/>
  <c r="BS53" i="7"/>
  <c r="BU52" i="7"/>
  <c r="BS52" i="7"/>
  <c r="BU50" i="7"/>
  <c r="BS50" i="7"/>
  <c r="BU48" i="7"/>
  <c r="BS48" i="7"/>
  <c r="BU47" i="7"/>
  <c r="BS47" i="7"/>
  <c r="BU46" i="7"/>
  <c r="BS46" i="7"/>
  <c r="BU45" i="7"/>
  <c r="BS45" i="7"/>
  <c r="BU43" i="7"/>
  <c r="BS43" i="7"/>
  <c r="BU42" i="7"/>
  <c r="BS42" i="7"/>
  <c r="BU41" i="7"/>
  <c r="BS41" i="7"/>
  <c r="BU40" i="7"/>
  <c r="BS40" i="7"/>
  <c r="BU37" i="7"/>
  <c r="BS37" i="7"/>
  <c r="BU35" i="7"/>
  <c r="BS35" i="7"/>
  <c r="BU34" i="7"/>
  <c r="BS34" i="7"/>
  <c r="BU33" i="7"/>
  <c r="BS33" i="7"/>
  <c r="BU32" i="7"/>
  <c r="BS32" i="7"/>
  <c r="BU31" i="7"/>
  <c r="BS31" i="7"/>
  <c r="BU30" i="7"/>
  <c r="BS30" i="7"/>
  <c r="BU28" i="7"/>
  <c r="BS28" i="7"/>
  <c r="BU26" i="7"/>
  <c r="BS26" i="7"/>
  <c r="BU25" i="7"/>
  <c r="BS25" i="7"/>
  <c r="BU24" i="7"/>
  <c r="BS24" i="7"/>
  <c r="BU23" i="7"/>
  <c r="BS23" i="7"/>
  <c r="BU22" i="7"/>
  <c r="BS22" i="7"/>
  <c r="BU20" i="7"/>
  <c r="BS20" i="7"/>
  <c r="BU18" i="7"/>
  <c r="BS18" i="7"/>
  <c r="BU17" i="7"/>
  <c r="BS17" i="7"/>
  <c r="BU16" i="7"/>
  <c r="BS16" i="7"/>
  <c r="BU15" i="7"/>
  <c r="BS15" i="7"/>
  <c r="BU14" i="7"/>
  <c r="BS14" i="7"/>
  <c r="BU13" i="7"/>
  <c r="BS13" i="7"/>
  <c r="BU12" i="7"/>
  <c r="BS12" i="7"/>
  <c r="BU11" i="7"/>
  <c r="BS11" i="7"/>
  <c r="BU10" i="7"/>
  <c r="BS10" i="7"/>
  <c r="BU9" i="7"/>
  <c r="BS9" i="7"/>
  <c r="BQ84" i="7"/>
  <c r="BO84" i="7"/>
  <c r="BQ81" i="7"/>
  <c r="BO81" i="7"/>
  <c r="BQ80" i="7"/>
  <c r="BO80" i="7"/>
  <c r="BR78" i="7"/>
  <c r="BQ78" i="7"/>
  <c r="BP78" i="7"/>
  <c r="BO78" i="7"/>
  <c r="BQ77" i="7"/>
  <c r="BO77" i="7"/>
  <c r="BQ76" i="7"/>
  <c r="BO76" i="7"/>
  <c r="BQ75" i="7"/>
  <c r="BO75" i="7"/>
  <c r="BQ74" i="7"/>
  <c r="BO74" i="7"/>
  <c r="BQ73" i="7"/>
  <c r="BO73" i="7"/>
  <c r="BQ72" i="7"/>
  <c r="BO72" i="7"/>
  <c r="BQ71" i="7"/>
  <c r="BO71" i="7"/>
  <c r="BQ69" i="7"/>
  <c r="BO69" i="7"/>
  <c r="BQ68" i="7"/>
  <c r="BO68" i="7"/>
  <c r="BQ67" i="7"/>
  <c r="BO67" i="7"/>
  <c r="BQ65" i="7"/>
  <c r="BO65" i="7"/>
  <c r="BQ64" i="7"/>
  <c r="BO64" i="7"/>
  <c r="BQ63" i="7"/>
  <c r="BO63" i="7"/>
  <c r="BQ62" i="7"/>
  <c r="BO62" i="7"/>
  <c r="BQ61" i="7"/>
  <c r="BO61" i="7"/>
  <c r="BQ60" i="7"/>
  <c r="BO60" i="7"/>
  <c r="BQ59" i="7"/>
  <c r="BO59" i="7"/>
  <c r="BQ58" i="7"/>
  <c r="BO58" i="7"/>
  <c r="BQ57" i="7"/>
  <c r="BO57" i="7"/>
  <c r="BQ56" i="7"/>
  <c r="BO56" i="7"/>
  <c r="BQ55" i="7"/>
  <c r="BO55" i="7"/>
  <c r="BQ54" i="7"/>
  <c r="BO54" i="7"/>
  <c r="BQ53" i="7"/>
  <c r="BO53" i="7"/>
  <c r="BQ52" i="7"/>
  <c r="BO52" i="7"/>
  <c r="BQ50" i="7"/>
  <c r="BO50" i="7"/>
  <c r="BQ48" i="7"/>
  <c r="BP48" i="7"/>
  <c r="BO48" i="7"/>
  <c r="BQ47" i="7"/>
  <c r="BP47" i="7"/>
  <c r="BO47" i="7"/>
  <c r="BQ46" i="7"/>
  <c r="BP46" i="7"/>
  <c r="BO46" i="7"/>
  <c r="BQ45" i="7"/>
  <c r="BP45" i="7"/>
  <c r="BO45" i="7"/>
  <c r="BP44" i="7"/>
  <c r="BQ43" i="7"/>
  <c r="BP43" i="7"/>
  <c r="BO43" i="7"/>
  <c r="BQ42" i="7"/>
  <c r="BP42" i="7"/>
  <c r="BO42" i="7"/>
  <c r="BQ41" i="7"/>
  <c r="BP41" i="7"/>
  <c r="BO41" i="7"/>
  <c r="BQ40" i="7"/>
  <c r="BP40" i="7"/>
  <c r="BO40" i="7"/>
  <c r="BP39" i="7"/>
  <c r="BQ37" i="7"/>
  <c r="BO37" i="7"/>
  <c r="BQ35" i="7"/>
  <c r="BO35" i="7"/>
  <c r="BQ34" i="7"/>
  <c r="BO34" i="7"/>
  <c r="BQ33" i="7"/>
  <c r="BO33" i="7"/>
  <c r="BQ32" i="7"/>
  <c r="BO32" i="7"/>
  <c r="BQ31" i="7"/>
  <c r="BO31" i="7"/>
  <c r="BQ30" i="7"/>
  <c r="BO30" i="7"/>
  <c r="BQ28" i="7"/>
  <c r="BO28" i="7"/>
  <c r="BQ26" i="7"/>
  <c r="BO26" i="7"/>
  <c r="BQ25" i="7"/>
  <c r="BO25" i="7"/>
  <c r="BQ24" i="7"/>
  <c r="BO24" i="7"/>
  <c r="BQ23" i="7"/>
  <c r="BO23" i="7"/>
  <c r="BQ22" i="7"/>
  <c r="BO22" i="7"/>
  <c r="BQ20" i="7"/>
  <c r="BO20" i="7"/>
  <c r="BQ18" i="7"/>
  <c r="BO18" i="7"/>
  <c r="BQ17" i="7"/>
  <c r="BO17" i="7"/>
  <c r="BQ16" i="7"/>
  <c r="BO16" i="7"/>
  <c r="BQ15" i="7"/>
  <c r="BO15" i="7"/>
  <c r="BQ14" i="7"/>
  <c r="BO14" i="7"/>
  <c r="BQ13" i="7"/>
  <c r="BO13" i="7"/>
  <c r="BQ12" i="7"/>
  <c r="BO12" i="7"/>
  <c r="BQ11" i="7"/>
  <c r="BO11" i="7"/>
  <c r="BQ10" i="7"/>
  <c r="BO10" i="7"/>
  <c r="BQ9" i="7"/>
  <c r="BO9" i="7"/>
  <c r="BN78" i="7"/>
  <c r="BM78" i="7"/>
  <c r="BL78" i="7"/>
  <c r="BK78" i="7"/>
  <c r="BJ78" i="7"/>
  <c r="BI78" i="7"/>
  <c r="BH78" i="7"/>
  <c r="BG78" i="7"/>
  <c r="BE84" i="7"/>
  <c r="BC84" i="7"/>
  <c r="BE81" i="7"/>
  <c r="BC81" i="7"/>
  <c r="BE80" i="7"/>
  <c r="BC80" i="7"/>
  <c r="BF78" i="7"/>
  <c r="BE78" i="7"/>
  <c r="BD78" i="7"/>
  <c r="BC78" i="7"/>
  <c r="BE77" i="7"/>
  <c r="BC77" i="7"/>
  <c r="BE76" i="7"/>
  <c r="BC76" i="7"/>
  <c r="BE75" i="7"/>
  <c r="BC75" i="7"/>
  <c r="BE74" i="7"/>
  <c r="BC74" i="7"/>
  <c r="BE73" i="7"/>
  <c r="BC73" i="7"/>
  <c r="BE72" i="7"/>
  <c r="BC72" i="7"/>
  <c r="BE71" i="7"/>
  <c r="BC71" i="7"/>
  <c r="BE69" i="7"/>
  <c r="BC69" i="7"/>
  <c r="BE68" i="7"/>
  <c r="BC68" i="7"/>
  <c r="BE67" i="7"/>
  <c r="BC67" i="7"/>
  <c r="BE65" i="7"/>
  <c r="BC65" i="7"/>
  <c r="BE64" i="7"/>
  <c r="BC64" i="7"/>
  <c r="BE63" i="7"/>
  <c r="BC63" i="7"/>
  <c r="BE62" i="7"/>
  <c r="BC62" i="7"/>
  <c r="BE61" i="7"/>
  <c r="BC61" i="7"/>
  <c r="BE60" i="7"/>
  <c r="BC60" i="7"/>
  <c r="BE59" i="7"/>
  <c r="BC59" i="7"/>
  <c r="BE58" i="7"/>
  <c r="BC58" i="7"/>
  <c r="BE57" i="7"/>
  <c r="BC57" i="7"/>
  <c r="BE56" i="7"/>
  <c r="BC56" i="7"/>
  <c r="BE55" i="7"/>
  <c r="BC55" i="7"/>
  <c r="BE54" i="7"/>
  <c r="BC54" i="7"/>
  <c r="BE53" i="7"/>
  <c r="BC53" i="7"/>
  <c r="BE52" i="7"/>
  <c r="BC52" i="7"/>
  <c r="BE50" i="7"/>
  <c r="BC50" i="7"/>
  <c r="BE48" i="7"/>
  <c r="BD48" i="7"/>
  <c r="BC48" i="7"/>
  <c r="BE47" i="7"/>
  <c r="BD47" i="7"/>
  <c r="BC47" i="7"/>
  <c r="BE46" i="7"/>
  <c r="BD46" i="7"/>
  <c r="BC46" i="7"/>
  <c r="BE45" i="7"/>
  <c r="BC45" i="7"/>
  <c r="BE43" i="7"/>
  <c r="BC43" i="7"/>
  <c r="BE42" i="7"/>
  <c r="BC42" i="7"/>
  <c r="BE41" i="7"/>
  <c r="BC41" i="7"/>
  <c r="BE40" i="7"/>
  <c r="BC40" i="7"/>
  <c r="BE37" i="7"/>
  <c r="BC37" i="7"/>
  <c r="BE35" i="7"/>
  <c r="BC35" i="7"/>
  <c r="BE34" i="7"/>
  <c r="BC34" i="7"/>
  <c r="BE33" i="7"/>
  <c r="BC33" i="7"/>
  <c r="BE32" i="7"/>
  <c r="BC32" i="7"/>
  <c r="BE31" i="7"/>
  <c r="BC31" i="7"/>
  <c r="BE30" i="7"/>
  <c r="BC30" i="7"/>
  <c r="BE28" i="7"/>
  <c r="BC28" i="7"/>
  <c r="BE26" i="7"/>
  <c r="BC26" i="7"/>
  <c r="BE25" i="7"/>
  <c r="BC25" i="7"/>
  <c r="BE24" i="7"/>
  <c r="BC24" i="7"/>
  <c r="BE23" i="7"/>
  <c r="BC23" i="7"/>
  <c r="BE22" i="7"/>
  <c r="BC22" i="7"/>
  <c r="BE20" i="7"/>
  <c r="BC20" i="7"/>
  <c r="BE18" i="7"/>
  <c r="BC18" i="7"/>
  <c r="BE17" i="7"/>
  <c r="BC17" i="7"/>
  <c r="BE16" i="7"/>
  <c r="BC16" i="7"/>
  <c r="BE15" i="7"/>
  <c r="BC15" i="7"/>
  <c r="BE14" i="7"/>
  <c r="BC14" i="7"/>
  <c r="BE13" i="7"/>
  <c r="BC13" i="7"/>
  <c r="BE12" i="7"/>
  <c r="BC12" i="7"/>
  <c r="BE11" i="7"/>
  <c r="BC11" i="7"/>
  <c r="BE10" i="7"/>
  <c r="BC10" i="7"/>
  <c r="BE9" i="7"/>
  <c r="BC9" i="7"/>
  <c r="BB78" i="7"/>
  <c r="BA78" i="7"/>
  <c r="AZ78" i="7"/>
  <c r="AY78" i="7"/>
  <c r="AX78" i="7"/>
  <c r="AW78" i="7"/>
  <c r="AV78" i="7"/>
  <c r="AU78" i="7"/>
  <c r="AS84" i="7"/>
  <c r="AQ84" i="7"/>
  <c r="AS81" i="7"/>
  <c r="AQ81" i="7"/>
  <c r="AS80" i="7"/>
  <c r="AQ80" i="7"/>
  <c r="AT78" i="7"/>
  <c r="AS78" i="7"/>
  <c r="AR78" i="7"/>
  <c r="AQ78" i="7"/>
  <c r="AS77" i="7"/>
  <c r="AQ77" i="7"/>
  <c r="AS76" i="7"/>
  <c r="AQ76" i="7"/>
  <c r="AS75" i="7"/>
  <c r="AQ75" i="7"/>
  <c r="AS74" i="7"/>
  <c r="AQ74" i="7"/>
  <c r="AS73" i="7"/>
  <c r="AQ73" i="7"/>
  <c r="AS72" i="7"/>
  <c r="AQ72" i="7"/>
  <c r="AS71" i="7"/>
  <c r="AQ71" i="7"/>
  <c r="AS69" i="7"/>
  <c r="AQ69" i="7"/>
  <c r="AS68" i="7"/>
  <c r="AQ68" i="7"/>
  <c r="AS67" i="7"/>
  <c r="AQ67" i="7"/>
  <c r="AS65" i="7"/>
  <c r="AQ65" i="7"/>
  <c r="AS64" i="7"/>
  <c r="AQ64" i="7"/>
  <c r="AS63" i="7"/>
  <c r="AQ63" i="7"/>
  <c r="AS62" i="7"/>
  <c r="AQ62" i="7"/>
  <c r="AS61" i="7"/>
  <c r="AQ61" i="7"/>
  <c r="AS60" i="7"/>
  <c r="AQ60" i="7"/>
  <c r="AS59" i="7"/>
  <c r="AQ59" i="7"/>
  <c r="AS58" i="7"/>
  <c r="AQ58" i="7"/>
  <c r="AS57" i="7"/>
  <c r="AQ57" i="7"/>
  <c r="AS56" i="7"/>
  <c r="AQ56" i="7"/>
  <c r="AS55" i="7"/>
  <c r="AQ55" i="7"/>
  <c r="AS54" i="7"/>
  <c r="AQ54" i="7"/>
  <c r="AS53" i="7"/>
  <c r="AQ53" i="7"/>
  <c r="AS52" i="7"/>
  <c r="AQ52" i="7"/>
  <c r="AS50" i="7"/>
  <c r="AQ50" i="7"/>
  <c r="AS48" i="7"/>
  <c r="AR48" i="7"/>
  <c r="AQ48" i="7"/>
  <c r="AS47" i="7"/>
  <c r="AR47" i="7"/>
  <c r="AQ47" i="7"/>
  <c r="AS46" i="7"/>
  <c r="AQ46" i="7"/>
  <c r="AS45" i="7"/>
  <c r="AR45" i="7"/>
  <c r="AQ45" i="7"/>
  <c r="AS43" i="7"/>
  <c r="AR43" i="7"/>
  <c r="AQ43" i="7"/>
  <c r="AS42" i="7"/>
  <c r="AR42" i="7"/>
  <c r="AQ42" i="7"/>
  <c r="AS41" i="7"/>
  <c r="AR41" i="7"/>
  <c r="AQ41" i="7"/>
  <c r="AS40" i="7"/>
  <c r="AR40" i="7"/>
  <c r="AQ40" i="7"/>
  <c r="AR39" i="7"/>
  <c r="AS37" i="7"/>
  <c r="AQ37" i="7"/>
  <c r="AS35" i="7"/>
  <c r="AQ35" i="7"/>
  <c r="AS34" i="7"/>
  <c r="AQ34" i="7"/>
  <c r="AS33" i="7"/>
  <c r="AQ33" i="7"/>
  <c r="AS32" i="7"/>
  <c r="AQ32" i="7"/>
  <c r="AS31" i="7"/>
  <c r="AQ31" i="7"/>
  <c r="AS30" i="7"/>
  <c r="AQ30" i="7"/>
  <c r="AS28" i="7"/>
  <c r="AQ28" i="7"/>
  <c r="AS26" i="7"/>
  <c r="AQ26" i="7"/>
  <c r="AS25" i="7"/>
  <c r="AQ25" i="7"/>
  <c r="AS24" i="7"/>
  <c r="AQ24" i="7"/>
  <c r="AS23" i="7"/>
  <c r="AQ23" i="7"/>
  <c r="AS22" i="7"/>
  <c r="AQ22" i="7"/>
  <c r="AS20" i="7"/>
  <c r="AQ20" i="7"/>
  <c r="AS18" i="7"/>
  <c r="AQ18" i="7"/>
  <c r="AS17" i="7"/>
  <c r="AQ17" i="7"/>
  <c r="AS16" i="7"/>
  <c r="AQ16" i="7"/>
  <c r="AS15" i="7"/>
  <c r="AQ15" i="7"/>
  <c r="AS14" i="7"/>
  <c r="AQ14" i="7"/>
  <c r="AS13" i="7"/>
  <c r="AQ13" i="7"/>
  <c r="AS12" i="7"/>
  <c r="AQ12" i="7"/>
  <c r="AS11" i="7"/>
  <c r="AQ11" i="7"/>
  <c r="AS10" i="7"/>
  <c r="AQ10" i="7"/>
  <c r="AS9" i="7"/>
  <c r="AQ9" i="7"/>
  <c r="AP78" i="7"/>
  <c r="AO78" i="7"/>
  <c r="AN78" i="7"/>
  <c r="AM78" i="7"/>
  <c r="AL78" i="7"/>
  <c r="AK78" i="7"/>
  <c r="AJ78" i="7"/>
  <c r="AI78" i="7"/>
  <c r="AH78" i="7"/>
  <c r="AG78" i="7"/>
  <c r="AF78" i="7"/>
  <c r="AE78" i="7"/>
  <c r="AC84" i="7"/>
  <c r="AC81" i="7"/>
  <c r="AC80" i="7"/>
  <c r="AD78" i="7"/>
  <c r="AC78" i="7"/>
  <c r="AB78" i="7"/>
  <c r="AA78" i="7"/>
  <c r="AC77" i="7"/>
  <c r="AC76" i="7"/>
  <c r="AC75" i="7"/>
  <c r="AC74" i="7"/>
  <c r="AC73" i="7"/>
  <c r="AC72" i="7"/>
  <c r="AC71" i="7"/>
  <c r="AC69" i="7"/>
  <c r="AC68" i="7"/>
  <c r="AC67" i="7"/>
  <c r="AC65" i="7"/>
  <c r="AC64" i="7"/>
  <c r="AC63" i="7"/>
  <c r="AC62" i="7"/>
  <c r="AC61" i="7"/>
  <c r="AC60" i="7"/>
  <c r="AC59" i="7"/>
  <c r="AC58" i="7"/>
  <c r="AC57" i="7"/>
  <c r="AC56" i="7"/>
  <c r="AC55" i="7"/>
  <c r="AC54" i="7"/>
  <c r="AC53" i="7"/>
  <c r="AC52" i="7"/>
  <c r="AC50" i="7"/>
  <c r="AC48" i="7"/>
  <c r="AC47" i="7"/>
  <c r="AC46" i="7"/>
  <c r="AC45" i="7"/>
  <c r="AC43" i="7"/>
  <c r="AC42" i="7"/>
  <c r="AC41" i="7"/>
  <c r="AC40" i="7"/>
  <c r="AC37" i="7"/>
  <c r="AC35" i="7"/>
  <c r="AC34" i="7"/>
  <c r="AC33" i="7"/>
  <c r="AC32" i="7"/>
  <c r="AC31" i="7"/>
  <c r="AC30" i="7"/>
  <c r="AC28" i="7"/>
  <c r="AC26" i="7"/>
  <c r="AC25" i="7"/>
  <c r="AC24" i="7"/>
  <c r="AC23" i="7"/>
  <c r="AC22" i="7"/>
  <c r="AC20" i="7"/>
  <c r="AC18" i="7"/>
  <c r="AC17" i="7"/>
  <c r="AC16" i="7"/>
  <c r="AC15" i="7"/>
  <c r="AC14" i="7"/>
  <c r="AC13" i="7"/>
  <c r="AC12" i="7"/>
  <c r="AC11" i="7"/>
  <c r="AC10" i="7"/>
  <c r="AC9" i="7"/>
  <c r="AA8" i="7"/>
  <c r="Y84" i="7"/>
  <c r="W84" i="7"/>
  <c r="Y81" i="7"/>
  <c r="W81" i="7"/>
  <c r="Y80" i="7"/>
  <c r="W80" i="7"/>
  <c r="Z78" i="7"/>
  <c r="Y78" i="7"/>
  <c r="X78" i="7"/>
  <c r="W78" i="7"/>
  <c r="Y77" i="7"/>
  <c r="W77" i="7"/>
  <c r="Y76" i="7"/>
  <c r="W76" i="7"/>
  <c r="Y75" i="7"/>
  <c r="W75" i="7"/>
  <c r="Y74" i="7"/>
  <c r="W74" i="7"/>
  <c r="Y73" i="7"/>
  <c r="W73" i="7"/>
  <c r="Y72" i="7"/>
  <c r="W72" i="7"/>
  <c r="Y71" i="7"/>
  <c r="W71" i="7"/>
  <c r="Y69" i="7"/>
  <c r="W69" i="7"/>
  <c r="Y68" i="7"/>
  <c r="W68" i="7"/>
  <c r="Y67" i="7"/>
  <c r="W67" i="7"/>
  <c r="Y65" i="7"/>
  <c r="W65" i="7"/>
  <c r="Y64" i="7"/>
  <c r="W64" i="7"/>
  <c r="Y63" i="7"/>
  <c r="W63" i="7"/>
  <c r="Y62" i="7"/>
  <c r="W62" i="7"/>
  <c r="Y61" i="7"/>
  <c r="W61" i="7"/>
  <c r="Y60" i="7"/>
  <c r="W60" i="7"/>
  <c r="Y59" i="7"/>
  <c r="W59" i="7"/>
  <c r="Y58" i="7"/>
  <c r="W58" i="7"/>
  <c r="Y57" i="7"/>
  <c r="W57" i="7"/>
  <c r="Y56" i="7"/>
  <c r="W56" i="7"/>
  <c r="Y55" i="7"/>
  <c r="W55" i="7"/>
  <c r="Y54" i="7"/>
  <c r="W54" i="7"/>
  <c r="Y53" i="7"/>
  <c r="W53" i="7"/>
  <c r="Y52" i="7"/>
  <c r="W52" i="7"/>
  <c r="Y50" i="7"/>
  <c r="W50" i="7"/>
  <c r="Y48" i="7"/>
  <c r="X48" i="7"/>
  <c r="W48" i="7"/>
  <c r="Y47" i="7"/>
  <c r="X47" i="7"/>
  <c r="W47" i="7"/>
  <c r="Y46" i="7"/>
  <c r="X46" i="7"/>
  <c r="W46" i="7"/>
  <c r="Y45" i="7"/>
  <c r="X45" i="7"/>
  <c r="W45" i="7"/>
  <c r="X44" i="7"/>
  <c r="Y43" i="7"/>
  <c r="X43" i="7"/>
  <c r="W43" i="7"/>
  <c r="Y42" i="7"/>
  <c r="X42" i="7"/>
  <c r="W42" i="7"/>
  <c r="Y41" i="7"/>
  <c r="X41" i="7"/>
  <c r="W41" i="7"/>
  <c r="Y40" i="7"/>
  <c r="X40" i="7"/>
  <c r="W40" i="7"/>
  <c r="X39" i="7"/>
  <c r="Y37" i="7"/>
  <c r="W37" i="7"/>
  <c r="Y35" i="7"/>
  <c r="W35" i="7"/>
  <c r="Y34" i="7"/>
  <c r="W34" i="7"/>
  <c r="Y33" i="7"/>
  <c r="W33" i="7"/>
  <c r="Y32" i="7"/>
  <c r="W32" i="7"/>
  <c r="Y31" i="7"/>
  <c r="W31" i="7"/>
  <c r="Y30" i="7"/>
  <c r="W30" i="7"/>
  <c r="Y28" i="7"/>
  <c r="W28" i="7"/>
  <c r="Y26" i="7"/>
  <c r="W26" i="7"/>
  <c r="Y25" i="7"/>
  <c r="W25" i="7"/>
  <c r="Y24" i="7"/>
  <c r="W24" i="7"/>
  <c r="Y23" i="7"/>
  <c r="W23" i="7"/>
  <c r="Y22" i="7"/>
  <c r="W22" i="7"/>
  <c r="Y20" i="7"/>
  <c r="W20" i="7"/>
  <c r="Y18" i="7"/>
  <c r="W18" i="7"/>
  <c r="Y17" i="7"/>
  <c r="W17" i="7"/>
  <c r="Y16" i="7"/>
  <c r="W16" i="7"/>
  <c r="Y15" i="7"/>
  <c r="W15" i="7"/>
  <c r="Y14" i="7"/>
  <c r="W14" i="7"/>
  <c r="Y13" i="7"/>
  <c r="W13" i="7"/>
  <c r="Y12" i="7"/>
  <c r="W12" i="7"/>
  <c r="Y11" i="7"/>
  <c r="W11" i="7"/>
  <c r="Y10" i="7"/>
  <c r="W10" i="7"/>
  <c r="Y9" i="7"/>
  <c r="W9" i="7"/>
  <c r="W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G78" i="7"/>
  <c r="C20" i="7"/>
  <c r="AB25" i="1" l="1"/>
  <c r="AD25" i="1" s="1"/>
  <c r="AC87" i="1"/>
  <c r="AA87" i="1"/>
  <c r="AB83" i="1"/>
  <c r="AD83" i="1" s="1"/>
  <c r="AB87" i="1" l="1"/>
  <c r="AB89" i="1" s="1"/>
  <c r="AA89" i="1"/>
  <c r="AC89" i="1"/>
  <c r="BA88" i="6"/>
  <c r="BA85" i="6"/>
  <c r="BA84" i="6"/>
  <c r="BA81" i="6"/>
  <c r="BA80" i="6"/>
  <c r="BA79" i="6"/>
  <c r="BA78" i="6"/>
  <c r="BA77" i="6"/>
  <c r="BA76" i="6"/>
  <c r="BA75" i="6"/>
  <c r="BA73" i="6"/>
  <c r="BA72" i="6"/>
  <c r="BA71" i="6"/>
  <c r="BA69" i="6"/>
  <c r="BA68" i="6"/>
  <c r="BA67" i="6"/>
  <c r="BA66" i="6"/>
  <c r="BA65" i="6"/>
  <c r="BA64" i="6"/>
  <c r="BA63" i="6"/>
  <c r="BA62" i="6"/>
  <c r="BA61" i="6"/>
  <c r="BA60" i="6"/>
  <c r="BA59" i="6"/>
  <c r="BA58" i="6"/>
  <c r="BA57" i="6"/>
  <c r="BA56" i="6"/>
  <c r="BA54" i="6"/>
  <c r="BA52" i="6"/>
  <c r="BA51" i="6"/>
  <c r="BA50" i="6"/>
  <c r="BA49" i="6"/>
  <c r="BA47" i="6"/>
  <c r="BA46" i="6"/>
  <c r="BA45" i="6"/>
  <c r="BA44" i="6"/>
  <c r="BA41" i="6"/>
  <c r="BA39" i="6"/>
  <c r="BA38" i="6"/>
  <c r="BA37" i="6"/>
  <c r="BA36" i="6"/>
  <c r="BA35" i="6"/>
  <c r="BA34" i="6"/>
  <c r="BA32" i="6"/>
  <c r="BA30" i="6"/>
  <c r="BA29" i="6"/>
  <c r="BA28" i="6"/>
  <c r="BA27" i="6"/>
  <c r="BA26" i="6"/>
  <c r="BA24" i="6"/>
  <c r="BA22" i="6"/>
  <c r="BA21" i="6"/>
  <c r="BA20" i="6"/>
  <c r="BA19" i="6"/>
  <c r="BA18" i="6"/>
  <c r="BA17" i="6"/>
  <c r="BA16" i="6"/>
  <c r="BA15" i="6"/>
  <c r="BA14" i="6"/>
  <c r="BA13" i="6"/>
  <c r="AY88" i="6"/>
  <c r="AY85" i="6"/>
  <c r="AY84" i="6"/>
  <c r="AY81" i="6"/>
  <c r="AY80" i="6"/>
  <c r="AY79" i="6"/>
  <c r="AY78" i="6"/>
  <c r="AY77" i="6"/>
  <c r="AY76" i="6"/>
  <c r="AY75" i="6"/>
  <c r="AY73" i="6"/>
  <c r="AY72" i="6"/>
  <c r="AY71" i="6"/>
  <c r="AY69" i="6"/>
  <c r="AY68" i="6"/>
  <c r="AY67" i="6"/>
  <c r="AY66" i="6"/>
  <c r="AY65" i="6"/>
  <c r="AY64" i="6"/>
  <c r="AY63" i="6"/>
  <c r="AY62" i="6"/>
  <c r="AY61" i="6"/>
  <c r="AY60" i="6"/>
  <c r="AY59" i="6"/>
  <c r="AY58" i="6"/>
  <c r="AY57" i="6"/>
  <c r="AY56" i="6"/>
  <c r="AY54" i="6"/>
  <c r="AY52" i="6"/>
  <c r="AY51" i="6"/>
  <c r="AY50" i="6"/>
  <c r="AY49" i="6"/>
  <c r="AY47" i="6"/>
  <c r="AY46" i="6"/>
  <c r="AY45" i="6"/>
  <c r="AY44" i="6"/>
  <c r="AY41" i="6"/>
  <c r="AY39" i="6"/>
  <c r="AY38" i="6"/>
  <c r="AY37" i="6"/>
  <c r="AY36" i="6"/>
  <c r="AY35" i="6"/>
  <c r="AY34" i="6"/>
  <c r="AY32" i="6"/>
  <c r="AY30" i="6"/>
  <c r="AY29" i="6"/>
  <c r="AY28" i="6"/>
  <c r="AY27" i="6"/>
  <c r="AY26" i="6"/>
  <c r="AY24" i="6"/>
  <c r="AY22" i="6"/>
  <c r="AY21" i="6"/>
  <c r="AY20" i="6"/>
  <c r="AY19" i="6"/>
  <c r="AY18" i="6"/>
  <c r="AY17" i="6"/>
  <c r="AY16" i="6"/>
  <c r="AY15" i="6"/>
  <c r="AY14" i="6"/>
  <c r="AY13" i="6"/>
  <c r="AV88" i="6"/>
  <c r="AX88" i="6" s="1"/>
  <c r="AW86" i="6"/>
  <c r="CC82" i="7" s="1"/>
  <c r="AU86" i="6"/>
  <c r="AV85" i="6"/>
  <c r="AX85" i="6" s="1"/>
  <c r="AV84" i="6"/>
  <c r="AX84" i="6" s="1"/>
  <c r="AV81" i="6"/>
  <c r="AX81" i="6" s="1"/>
  <c r="AV80" i="6"/>
  <c r="AX80" i="6" s="1"/>
  <c r="AV79" i="6"/>
  <c r="AX79" i="6" s="1"/>
  <c r="AV78" i="6"/>
  <c r="AX78" i="6" s="1"/>
  <c r="AV77" i="6"/>
  <c r="AX77" i="6" s="1"/>
  <c r="AV76" i="6"/>
  <c r="AX76" i="6" s="1"/>
  <c r="AV75" i="6"/>
  <c r="AX75" i="6" s="1"/>
  <c r="AW74" i="6"/>
  <c r="CC70" i="7" s="1"/>
  <c r="AU74" i="6"/>
  <c r="CA70" i="7" s="1"/>
  <c r="AV73" i="6"/>
  <c r="AX73" i="6" s="1"/>
  <c r="AV72" i="6"/>
  <c r="AX72" i="6" s="1"/>
  <c r="AV71" i="6"/>
  <c r="AX71" i="6" s="1"/>
  <c r="AW70" i="6"/>
  <c r="AU70" i="6"/>
  <c r="CA66" i="7" s="1"/>
  <c r="AV69" i="6"/>
  <c r="AX69" i="6" s="1"/>
  <c r="AV68" i="6"/>
  <c r="AX68" i="6" s="1"/>
  <c r="AV67" i="6"/>
  <c r="AX67" i="6" s="1"/>
  <c r="AV66" i="6"/>
  <c r="AX66" i="6" s="1"/>
  <c r="AV65" i="6"/>
  <c r="AX65" i="6" s="1"/>
  <c r="AV64" i="6"/>
  <c r="AX64" i="6" s="1"/>
  <c r="AV63" i="6"/>
  <c r="AX63" i="6" s="1"/>
  <c r="AV62" i="6"/>
  <c r="AX62" i="6" s="1"/>
  <c r="AV61" i="6"/>
  <c r="AX61" i="6" s="1"/>
  <c r="AV60" i="6"/>
  <c r="AX60" i="6" s="1"/>
  <c r="AV59" i="6"/>
  <c r="AV58" i="6"/>
  <c r="AX58" i="6" s="1"/>
  <c r="AV57" i="6"/>
  <c r="AX57" i="6" s="1"/>
  <c r="AV56" i="6"/>
  <c r="AW55" i="6"/>
  <c r="BA55" i="6" s="1"/>
  <c r="AU55" i="6"/>
  <c r="CA51" i="7" s="1"/>
  <c r="CD48" i="7"/>
  <c r="CD47" i="7"/>
  <c r="CD46" i="7"/>
  <c r="CD45" i="7"/>
  <c r="AW48" i="6"/>
  <c r="AU48" i="6"/>
  <c r="AY48" i="6" s="1"/>
  <c r="CD43" i="7"/>
  <c r="CD42" i="7"/>
  <c r="AZ46" i="6"/>
  <c r="CD41" i="7"/>
  <c r="AZ44" i="6"/>
  <c r="BB44" i="6" s="1"/>
  <c r="AW43" i="6"/>
  <c r="AW31" i="6" s="1"/>
  <c r="AU43" i="6"/>
  <c r="AX41" i="6"/>
  <c r="CC29" i="7"/>
  <c r="AU33" i="6"/>
  <c r="AY33" i="6" s="1"/>
  <c r="AV32" i="6"/>
  <c r="AX32" i="6" s="1"/>
  <c r="AV30" i="6"/>
  <c r="AX30" i="6" s="1"/>
  <c r="AV29" i="6"/>
  <c r="AX29" i="6" s="1"/>
  <c r="AV28" i="6"/>
  <c r="AX28" i="6" s="1"/>
  <c r="AV27" i="6"/>
  <c r="AX27" i="6" s="1"/>
  <c r="CD23" i="7" s="1"/>
  <c r="AV26" i="6"/>
  <c r="AX26" i="6" s="1"/>
  <c r="AV24" i="6"/>
  <c r="AX24" i="6" s="1"/>
  <c r="AV22" i="6"/>
  <c r="AX22" i="6" s="1"/>
  <c r="AV21" i="6"/>
  <c r="AX21" i="6" s="1"/>
  <c r="AV20" i="6"/>
  <c r="AX20" i="6" s="1"/>
  <c r="AV19" i="6"/>
  <c r="AX19" i="6" s="1"/>
  <c r="AV18" i="6"/>
  <c r="AX18" i="6" s="1"/>
  <c r="AV17" i="6"/>
  <c r="AX17" i="6" s="1"/>
  <c r="AV16" i="6"/>
  <c r="AX16" i="6" s="1"/>
  <c r="AV15" i="6"/>
  <c r="AX15" i="6" s="1"/>
  <c r="AV14" i="6"/>
  <c r="AX14" i="6" s="1"/>
  <c r="AV13" i="6"/>
  <c r="AX13" i="6" s="1"/>
  <c r="AW12" i="6"/>
  <c r="AU12" i="6"/>
  <c r="CA8" i="7" s="1"/>
  <c r="BT50" i="7"/>
  <c r="AJ56" i="6"/>
  <c r="AJ57" i="6"/>
  <c r="AJ58" i="6"/>
  <c r="AZ43" i="6" l="1"/>
  <c r="CA39" i="7"/>
  <c r="AX48" i="6"/>
  <c r="CC44" i="7"/>
  <c r="AY43" i="6"/>
  <c r="AY55" i="6"/>
  <c r="CB29" i="7"/>
  <c r="CA29" i="7"/>
  <c r="AV86" i="6"/>
  <c r="AX86" i="6" s="1"/>
  <c r="CD82" i="7" s="1"/>
  <c r="CA82" i="7"/>
  <c r="BA74" i="6"/>
  <c r="AY86" i="6"/>
  <c r="BA48" i="6"/>
  <c r="AZ48" i="6"/>
  <c r="BB48" i="6" s="1"/>
  <c r="CA44" i="7"/>
  <c r="AY70" i="6"/>
  <c r="AY74" i="6"/>
  <c r="BA86" i="6"/>
  <c r="AL56" i="6"/>
  <c r="AX56" i="6"/>
  <c r="BB46" i="6"/>
  <c r="AV31" i="6"/>
  <c r="AX31" i="6" s="1"/>
  <c r="BT54" i="7"/>
  <c r="AL58" i="6"/>
  <c r="AX59" i="6"/>
  <c r="CD55" i="7" s="1"/>
  <c r="BT53" i="7"/>
  <c r="AL57" i="6"/>
  <c r="CC66" i="7"/>
  <c r="BA70" i="6"/>
  <c r="AW53" i="6"/>
  <c r="CC51" i="7"/>
  <c r="CC39" i="7"/>
  <c r="AX43" i="6"/>
  <c r="CC8" i="7"/>
  <c r="BA43" i="6"/>
  <c r="BB43" i="6" s="1"/>
  <c r="AV12" i="6"/>
  <c r="AV23" i="6" s="1"/>
  <c r="CB19" i="7" s="1"/>
  <c r="AV74" i="6"/>
  <c r="BT52" i="7"/>
  <c r="AV55" i="6"/>
  <c r="AX55" i="6" s="1"/>
  <c r="AV70" i="6"/>
  <c r="AZ70" i="6" s="1"/>
  <c r="CD11" i="7"/>
  <c r="CB11" i="7"/>
  <c r="CD15" i="7"/>
  <c r="CB15" i="7"/>
  <c r="CD20" i="7"/>
  <c r="CB20" i="7"/>
  <c r="CD24" i="7"/>
  <c r="CB24" i="7"/>
  <c r="CD28" i="7"/>
  <c r="CB28" i="7"/>
  <c r="CD31" i="7"/>
  <c r="CB31" i="7"/>
  <c r="CD34" i="7"/>
  <c r="CB34" i="7"/>
  <c r="CD52" i="7"/>
  <c r="CB52" i="7"/>
  <c r="CD59" i="7"/>
  <c r="CB59" i="7"/>
  <c r="AZ67" i="6"/>
  <c r="BB67" i="6" s="1"/>
  <c r="CB63" i="7"/>
  <c r="CD72" i="7"/>
  <c r="CB72" i="7"/>
  <c r="CD76" i="7"/>
  <c r="CB76" i="7"/>
  <c r="CD81" i="7"/>
  <c r="CB81" i="7"/>
  <c r="CD16" i="7"/>
  <c r="CB16" i="7"/>
  <c r="CD25" i="7"/>
  <c r="CB25" i="7"/>
  <c r="CD32" i="7"/>
  <c r="CB32" i="7"/>
  <c r="CD35" i="7"/>
  <c r="CB35" i="7"/>
  <c r="CD50" i="7"/>
  <c r="CB50" i="7"/>
  <c r="CD53" i="7"/>
  <c r="CB53" i="7"/>
  <c r="CD56" i="7"/>
  <c r="CB56" i="7"/>
  <c r="CD60" i="7"/>
  <c r="CB60" i="7"/>
  <c r="CD64" i="7"/>
  <c r="CB64" i="7"/>
  <c r="CD67" i="7"/>
  <c r="CB67" i="7"/>
  <c r="CD73" i="7"/>
  <c r="CB73" i="7"/>
  <c r="AZ81" i="6"/>
  <c r="BB81" i="6" s="1"/>
  <c r="CB77" i="7"/>
  <c r="CD9" i="7"/>
  <c r="CB9" i="7"/>
  <c r="CD13" i="7"/>
  <c r="CB13" i="7"/>
  <c r="CD17" i="7"/>
  <c r="CB17" i="7"/>
  <c r="CD22" i="7"/>
  <c r="CB22" i="7"/>
  <c r="CD26" i="7"/>
  <c r="CB26" i="7"/>
  <c r="AZ37" i="6"/>
  <c r="BB37" i="6" s="1"/>
  <c r="CB33" i="7"/>
  <c r="CD37" i="7"/>
  <c r="CB37" i="7"/>
  <c r="CD54" i="7"/>
  <c r="CB54" i="7"/>
  <c r="CD57" i="7"/>
  <c r="CB57" i="7"/>
  <c r="CD61" i="7"/>
  <c r="CB61" i="7"/>
  <c r="CD65" i="7"/>
  <c r="CB65" i="7"/>
  <c r="CD68" i="7"/>
  <c r="CB68" i="7"/>
  <c r="CD74" i="7"/>
  <c r="CB74" i="7"/>
  <c r="CD77" i="7"/>
  <c r="CD12" i="7"/>
  <c r="CB12" i="7"/>
  <c r="CD10" i="7"/>
  <c r="CB10" i="7"/>
  <c r="CD14" i="7"/>
  <c r="CB14" i="7"/>
  <c r="CD18" i="7"/>
  <c r="CB18" i="7"/>
  <c r="AZ27" i="6"/>
  <c r="BB27" i="6" s="1"/>
  <c r="CB23" i="7"/>
  <c r="CD30" i="7"/>
  <c r="CB30" i="7"/>
  <c r="CD33" i="7"/>
  <c r="AZ59" i="6"/>
  <c r="BB59" i="6" s="1"/>
  <c r="CB55" i="7"/>
  <c r="CD58" i="7"/>
  <c r="CB58" i="7"/>
  <c r="CD62" i="7"/>
  <c r="CB62" i="7"/>
  <c r="CD69" i="7"/>
  <c r="CB69" i="7"/>
  <c r="CD71" i="7"/>
  <c r="CB71" i="7"/>
  <c r="AZ79" i="6"/>
  <c r="BB79" i="6" s="1"/>
  <c r="CB75" i="7"/>
  <c r="CD80" i="7"/>
  <c r="CB80" i="7"/>
  <c r="CD84" i="7"/>
  <c r="CB84" i="7"/>
  <c r="CD29" i="7"/>
  <c r="BA33" i="6"/>
  <c r="AD87" i="1"/>
  <c r="AD89" i="1"/>
  <c r="AZ16" i="6"/>
  <c r="BB16" i="6" s="1"/>
  <c r="AZ20" i="6"/>
  <c r="BB20" i="6" s="1"/>
  <c r="AZ24" i="6"/>
  <c r="BB24" i="6" s="1"/>
  <c r="AZ28" i="6"/>
  <c r="BB28" i="6" s="1"/>
  <c r="AZ32" i="6"/>
  <c r="BB32" i="6" s="1"/>
  <c r="AZ36" i="6"/>
  <c r="BB36" i="6" s="1"/>
  <c r="AZ41" i="6"/>
  <c r="BB41" i="6" s="1"/>
  <c r="AZ50" i="6"/>
  <c r="BB50" i="6" s="1"/>
  <c r="AZ54" i="6"/>
  <c r="BB54" i="6" s="1"/>
  <c r="AZ58" i="6"/>
  <c r="BB58" i="6" s="1"/>
  <c r="AZ62" i="6"/>
  <c r="BB62" i="6" s="1"/>
  <c r="AZ66" i="6"/>
  <c r="BB66" i="6" s="1"/>
  <c r="AZ78" i="6"/>
  <c r="BB78" i="6" s="1"/>
  <c r="CD40" i="7"/>
  <c r="CD63" i="7"/>
  <c r="CD75" i="7"/>
  <c r="AZ13" i="6"/>
  <c r="BB13" i="6" s="1"/>
  <c r="AZ17" i="6"/>
  <c r="BB17" i="6" s="1"/>
  <c r="AZ21" i="6"/>
  <c r="BB21" i="6" s="1"/>
  <c r="AZ29" i="6"/>
  <c r="BB29" i="6" s="1"/>
  <c r="AZ33" i="6"/>
  <c r="AZ47" i="6"/>
  <c r="BB47" i="6" s="1"/>
  <c r="AZ51" i="6"/>
  <c r="BB51" i="6" s="1"/>
  <c r="AZ63" i="6"/>
  <c r="BB63" i="6" s="1"/>
  <c r="AZ71" i="6"/>
  <c r="BB71" i="6" s="1"/>
  <c r="AZ75" i="6"/>
  <c r="BB75" i="6" s="1"/>
  <c r="AZ84" i="6"/>
  <c r="BB84" i="6" s="1"/>
  <c r="AZ88" i="6"/>
  <c r="BB88" i="6" s="1"/>
  <c r="AZ14" i="6"/>
  <c r="BB14" i="6" s="1"/>
  <c r="AZ18" i="6"/>
  <c r="BB18" i="6" s="1"/>
  <c r="AZ22" i="6"/>
  <c r="BB22" i="6" s="1"/>
  <c r="AZ26" i="6"/>
  <c r="BB26" i="6" s="1"/>
  <c r="AZ30" i="6"/>
  <c r="BB30" i="6" s="1"/>
  <c r="AZ34" i="6"/>
  <c r="BB34" i="6" s="1"/>
  <c r="AZ38" i="6"/>
  <c r="BB38" i="6" s="1"/>
  <c r="AZ52" i="6"/>
  <c r="BB52" i="6" s="1"/>
  <c r="AZ56" i="6"/>
  <c r="BB56" i="6" s="1"/>
  <c r="AZ60" i="6"/>
  <c r="BB60" i="6" s="1"/>
  <c r="AZ64" i="6"/>
  <c r="BB64" i="6" s="1"/>
  <c r="AZ68" i="6"/>
  <c r="BB68" i="6" s="1"/>
  <c r="AZ72" i="6"/>
  <c r="BB72" i="6" s="1"/>
  <c r="AZ76" i="6"/>
  <c r="BB76" i="6" s="1"/>
  <c r="AZ80" i="6"/>
  <c r="BB80" i="6" s="1"/>
  <c r="AZ85" i="6"/>
  <c r="BB85" i="6" s="1"/>
  <c r="AZ15" i="6"/>
  <c r="BB15" i="6" s="1"/>
  <c r="AZ19" i="6"/>
  <c r="BB19" i="6" s="1"/>
  <c r="AZ35" i="6"/>
  <c r="BB35" i="6" s="1"/>
  <c r="AZ39" i="6"/>
  <c r="BB39" i="6" s="1"/>
  <c r="AZ45" i="6"/>
  <c r="BB45" i="6" s="1"/>
  <c r="AZ49" i="6"/>
  <c r="BB49" i="6" s="1"/>
  <c r="AZ57" i="6"/>
  <c r="BB57" i="6" s="1"/>
  <c r="AZ61" i="6"/>
  <c r="BB61" i="6" s="1"/>
  <c r="AZ65" i="6"/>
  <c r="BB65" i="6" s="1"/>
  <c r="AZ69" i="6"/>
  <c r="BB69" i="6" s="1"/>
  <c r="AZ73" i="6"/>
  <c r="BB73" i="6" s="1"/>
  <c r="AZ77" i="6"/>
  <c r="BB77" i="6" s="1"/>
  <c r="AZ86" i="6"/>
  <c r="BB86" i="6" s="1"/>
  <c r="AU53" i="6"/>
  <c r="CD44" i="7"/>
  <c r="CD39" i="7"/>
  <c r="AW23" i="6"/>
  <c r="AU31" i="6"/>
  <c r="AU23" i="6"/>
  <c r="CB82" i="7" l="1"/>
  <c r="CA19" i="7"/>
  <c r="AY23" i="6"/>
  <c r="CA27" i="7"/>
  <c r="AY31" i="6"/>
  <c r="CA49" i="7"/>
  <c r="AY53" i="6"/>
  <c r="AX23" i="6"/>
  <c r="CD19" i="7" s="1"/>
  <c r="BA31" i="6"/>
  <c r="BB33" i="6"/>
  <c r="AX12" i="6"/>
  <c r="CD8" i="7" s="1"/>
  <c r="BB70" i="6"/>
  <c r="CB70" i="7"/>
  <c r="AX74" i="6"/>
  <c r="CD70" i="7" s="1"/>
  <c r="AX70" i="6"/>
  <c r="CD66" i="7" s="1"/>
  <c r="CC49" i="7"/>
  <c r="BA53" i="6"/>
  <c r="AZ74" i="6"/>
  <c r="BB74" i="6" s="1"/>
  <c r="CB8" i="7"/>
  <c r="AZ23" i="6"/>
  <c r="CB66" i="7"/>
  <c r="CB51" i="7"/>
  <c r="AV53" i="6"/>
  <c r="AV25" i="6" s="1"/>
  <c r="AV83" i="6" s="1"/>
  <c r="AV87" i="6" s="1"/>
  <c r="CC27" i="7"/>
  <c r="AW25" i="6"/>
  <c r="CC19" i="7"/>
  <c r="BA23" i="6"/>
  <c r="CD51" i="7"/>
  <c r="AZ55" i="6"/>
  <c r="BB55" i="6" s="1"/>
  <c r="CB27" i="7"/>
  <c r="AU25" i="6"/>
  <c r="BB23" i="6" l="1"/>
  <c r="CA21" i="7"/>
  <c r="CA86" i="7" s="1"/>
  <c r="AY25" i="6"/>
  <c r="AX25" i="6"/>
  <c r="AX53" i="6"/>
  <c r="CD49" i="7" s="1"/>
  <c r="CB49" i="7"/>
  <c r="AZ53" i="6"/>
  <c r="BB53" i="6" s="1"/>
  <c r="CC21" i="7"/>
  <c r="CC86" i="7" s="1"/>
  <c r="BA25" i="6"/>
  <c r="AW83" i="6"/>
  <c r="AX83" i="6" s="1"/>
  <c r="CD27" i="7"/>
  <c r="AZ31" i="6"/>
  <c r="BB31" i="6" s="1"/>
  <c r="AU83" i="6"/>
  <c r="CB21" i="7"/>
  <c r="CB86" i="7" s="1"/>
  <c r="CA79" i="7" l="1"/>
  <c r="AY83" i="6"/>
  <c r="CC79" i="7"/>
  <c r="BA83" i="6"/>
  <c r="AW87" i="6"/>
  <c r="AX87" i="6" s="1"/>
  <c r="CD21" i="7"/>
  <c r="CD86" i="7" s="1"/>
  <c r="AZ25" i="6"/>
  <c r="BB25" i="6" s="1"/>
  <c r="CB79" i="7"/>
  <c r="AU87" i="6"/>
  <c r="CA83" i="7" l="1"/>
  <c r="AY87" i="6"/>
  <c r="BA87" i="6"/>
  <c r="CC83" i="7"/>
  <c r="AW89" i="6"/>
  <c r="CD79" i="7"/>
  <c r="AZ83" i="6"/>
  <c r="BB83" i="6" s="1"/>
  <c r="AU89" i="6"/>
  <c r="CA85" i="7" l="1"/>
  <c r="AY89" i="6"/>
  <c r="BA89" i="6"/>
  <c r="CC85" i="7"/>
  <c r="AZ87" i="6"/>
  <c r="BB87" i="6" s="1"/>
  <c r="CB83" i="7"/>
  <c r="AV89" i="6"/>
  <c r="CB85" i="7" s="1"/>
  <c r="CD83" i="7"/>
  <c r="AX89" i="6" l="1"/>
  <c r="CD85" i="7" s="1"/>
  <c r="AZ89" i="6"/>
  <c r="BB89" i="6" s="1"/>
  <c r="AC88" i="6"/>
  <c r="BM84" i="7" s="1"/>
  <c r="AC85" i="6"/>
  <c r="BM81" i="7" s="1"/>
  <c r="AC84" i="6"/>
  <c r="BM80" i="7" s="1"/>
  <c r="AC81" i="6"/>
  <c r="BM77" i="7" s="1"/>
  <c r="AC80" i="6"/>
  <c r="BM76" i="7" s="1"/>
  <c r="AC79" i="6"/>
  <c r="BM75" i="7" s="1"/>
  <c r="AC78" i="6"/>
  <c r="BM74" i="7" s="1"/>
  <c r="AC77" i="6"/>
  <c r="AC76" i="6"/>
  <c r="AC75" i="6"/>
  <c r="AC73" i="6"/>
  <c r="BM69" i="7" s="1"/>
  <c r="AC72" i="6"/>
  <c r="AC71" i="6"/>
  <c r="AC69" i="6"/>
  <c r="AC68" i="6"/>
  <c r="AC67" i="6"/>
  <c r="AC66" i="6"/>
  <c r="AC65" i="6"/>
  <c r="AC64" i="6"/>
  <c r="AC63" i="6"/>
  <c r="AC62" i="6"/>
  <c r="AC61" i="6"/>
  <c r="AC60" i="6"/>
  <c r="AC59" i="6"/>
  <c r="AC58" i="6"/>
  <c r="AC57" i="6"/>
  <c r="AC56" i="6"/>
  <c r="AC54" i="6"/>
  <c r="AC52" i="6"/>
  <c r="AC51" i="6"/>
  <c r="AC50" i="6"/>
  <c r="AC49" i="6"/>
  <c r="AC47" i="6"/>
  <c r="AC46" i="6"/>
  <c r="AC45" i="6"/>
  <c r="AC44" i="6"/>
  <c r="AC41" i="6"/>
  <c r="AC39" i="6"/>
  <c r="AC38" i="6"/>
  <c r="AC37" i="6"/>
  <c r="AC36" i="6"/>
  <c r="AC35" i="6"/>
  <c r="AC34" i="6"/>
  <c r="AC32" i="6"/>
  <c r="BM28" i="7" s="1"/>
  <c r="AC30" i="6"/>
  <c r="BM26" i="7" s="1"/>
  <c r="AC29" i="6"/>
  <c r="BM25" i="7" s="1"/>
  <c r="AC28" i="6"/>
  <c r="BM24" i="7" s="1"/>
  <c r="AC27" i="6"/>
  <c r="BM23" i="7" s="1"/>
  <c r="AC26" i="6"/>
  <c r="BM22" i="7" s="1"/>
  <c r="AC24" i="6"/>
  <c r="BM20" i="7" s="1"/>
  <c r="AC22" i="6"/>
  <c r="BM18" i="7" s="1"/>
  <c r="AC21" i="6"/>
  <c r="AC20" i="6"/>
  <c r="AC19" i="6"/>
  <c r="BM15" i="7" s="1"/>
  <c r="AC18" i="6"/>
  <c r="AC17" i="6"/>
  <c r="AC16" i="6"/>
  <c r="AC15" i="6"/>
  <c r="AC14" i="6"/>
  <c r="BM10" i="7" s="1"/>
  <c r="AC13" i="6"/>
  <c r="BM9" i="7" s="1"/>
  <c r="AA88" i="6"/>
  <c r="BK84" i="7" s="1"/>
  <c r="AA85" i="6"/>
  <c r="BK81" i="7" s="1"/>
  <c r="AA84" i="6"/>
  <c r="BK80" i="7" s="1"/>
  <c r="AA81" i="6"/>
  <c r="BK77" i="7" s="1"/>
  <c r="AA80" i="6"/>
  <c r="BK76" i="7" s="1"/>
  <c r="AA79" i="6"/>
  <c r="BK75" i="7" s="1"/>
  <c r="AA78" i="6"/>
  <c r="BK74" i="7" s="1"/>
  <c r="AA77" i="6"/>
  <c r="BK73" i="7" s="1"/>
  <c r="AA76" i="6"/>
  <c r="BK72" i="7" s="1"/>
  <c r="AA75" i="6"/>
  <c r="BK71" i="7" s="1"/>
  <c r="AA73" i="6"/>
  <c r="BK69" i="7" s="1"/>
  <c r="AA72" i="6"/>
  <c r="BK68" i="7" s="1"/>
  <c r="AA71" i="6"/>
  <c r="BK67" i="7" s="1"/>
  <c r="AA69" i="6"/>
  <c r="BK65" i="7" s="1"/>
  <c r="AA68" i="6"/>
  <c r="BK64" i="7" s="1"/>
  <c r="AA67" i="6"/>
  <c r="BK63" i="7" s="1"/>
  <c r="AA66" i="6"/>
  <c r="BK62" i="7" s="1"/>
  <c r="AA65" i="6"/>
  <c r="BK61" i="7" s="1"/>
  <c r="AA64" i="6"/>
  <c r="BK60" i="7" s="1"/>
  <c r="AA63" i="6"/>
  <c r="BK59" i="7" s="1"/>
  <c r="AA62" i="6"/>
  <c r="BK58" i="7" s="1"/>
  <c r="AA61" i="6"/>
  <c r="BK57" i="7" s="1"/>
  <c r="AA60" i="6"/>
  <c r="BK56" i="7" s="1"/>
  <c r="AA59" i="6"/>
  <c r="BK55" i="7" s="1"/>
  <c r="AA58" i="6"/>
  <c r="BK54" i="7" s="1"/>
  <c r="AA57" i="6"/>
  <c r="BK53" i="7" s="1"/>
  <c r="AA56" i="6"/>
  <c r="BK52" i="7" s="1"/>
  <c r="AA54" i="6"/>
  <c r="BK50" i="7" s="1"/>
  <c r="AA52" i="6"/>
  <c r="BK48" i="7" s="1"/>
  <c r="AA51" i="6"/>
  <c r="BK47" i="7" s="1"/>
  <c r="AA50" i="6"/>
  <c r="BK46" i="7" s="1"/>
  <c r="AA49" i="6"/>
  <c r="BK45" i="7" s="1"/>
  <c r="AA47" i="6"/>
  <c r="BK43" i="7" s="1"/>
  <c r="AA46" i="6"/>
  <c r="BK42" i="7" s="1"/>
  <c r="AA45" i="6"/>
  <c r="BK41" i="7" s="1"/>
  <c r="AA44" i="6"/>
  <c r="BK40" i="7" s="1"/>
  <c r="AA41" i="6"/>
  <c r="BK37" i="7" s="1"/>
  <c r="AA39" i="6"/>
  <c r="BK35" i="7" s="1"/>
  <c r="AA38" i="6"/>
  <c r="BK34" i="7" s="1"/>
  <c r="AA37" i="6"/>
  <c r="BK33" i="7" s="1"/>
  <c r="AA36" i="6"/>
  <c r="BK32" i="7" s="1"/>
  <c r="AA35" i="6"/>
  <c r="BK31" i="7" s="1"/>
  <c r="AA34" i="6"/>
  <c r="BK30" i="7" s="1"/>
  <c r="AA32" i="6"/>
  <c r="BK28" i="7" s="1"/>
  <c r="AA30" i="6"/>
  <c r="BK26" i="7" s="1"/>
  <c r="AA29" i="6"/>
  <c r="BK25" i="7" s="1"/>
  <c r="AA28" i="6"/>
  <c r="BK24" i="7" s="1"/>
  <c r="AA27" i="6"/>
  <c r="BK23" i="7" s="1"/>
  <c r="AA26" i="6"/>
  <c r="BK22" i="7" s="1"/>
  <c r="AA24" i="6"/>
  <c r="BK20" i="7" s="1"/>
  <c r="AA22" i="6"/>
  <c r="BK18" i="7" s="1"/>
  <c r="AA21" i="6"/>
  <c r="BK17" i="7" s="1"/>
  <c r="AA20" i="6"/>
  <c r="BK16" i="7" s="1"/>
  <c r="AA19" i="6"/>
  <c r="BK15" i="7" s="1"/>
  <c r="AA18" i="6"/>
  <c r="BK14" i="7" s="1"/>
  <c r="AA17" i="6"/>
  <c r="BK13" i="7" s="1"/>
  <c r="AA16" i="6"/>
  <c r="BK12" i="7" s="1"/>
  <c r="AA15" i="6"/>
  <c r="BK11" i="7" s="1"/>
  <c r="AA14" i="6"/>
  <c r="BK10" i="7" s="1"/>
  <c r="AA13" i="6"/>
  <c r="BK9" i="7" s="1"/>
  <c r="T88" i="6"/>
  <c r="T85" i="6"/>
  <c r="T84" i="6"/>
  <c r="T81" i="6"/>
  <c r="T80" i="6"/>
  <c r="T79" i="6"/>
  <c r="T78" i="6"/>
  <c r="T77" i="6"/>
  <c r="V77" i="6" s="1"/>
  <c r="T76" i="6"/>
  <c r="V76" i="6" s="1"/>
  <c r="T75" i="6"/>
  <c r="V75" i="6" s="1"/>
  <c r="T73" i="6"/>
  <c r="T72" i="6"/>
  <c r="V72" i="6" s="1"/>
  <c r="T71" i="6"/>
  <c r="T69" i="6"/>
  <c r="V69" i="6" s="1"/>
  <c r="T68" i="6"/>
  <c r="V68" i="6" s="1"/>
  <c r="T67" i="6"/>
  <c r="V67" i="6" s="1"/>
  <c r="T66" i="6"/>
  <c r="V66" i="6" s="1"/>
  <c r="T65" i="6"/>
  <c r="V65" i="6" s="1"/>
  <c r="T64" i="6"/>
  <c r="V64" i="6" s="1"/>
  <c r="T63" i="6"/>
  <c r="V63" i="6" s="1"/>
  <c r="T62" i="6"/>
  <c r="V62" i="6" s="1"/>
  <c r="T61" i="6"/>
  <c r="V61" i="6" s="1"/>
  <c r="T60" i="6"/>
  <c r="V60" i="6" s="1"/>
  <c r="T59" i="6"/>
  <c r="V59" i="6" s="1"/>
  <c r="T58" i="6"/>
  <c r="V58" i="6" s="1"/>
  <c r="T57" i="6"/>
  <c r="V57" i="6" s="1"/>
  <c r="T56" i="6"/>
  <c r="T54" i="6"/>
  <c r="T52" i="6"/>
  <c r="V52" i="6" s="1"/>
  <c r="T51" i="6"/>
  <c r="V51" i="6" s="1"/>
  <c r="T50" i="6"/>
  <c r="T49" i="6"/>
  <c r="T47" i="6"/>
  <c r="T46" i="6"/>
  <c r="T45" i="6"/>
  <c r="T44" i="6"/>
  <c r="T41" i="6"/>
  <c r="V41" i="6" s="1"/>
  <c r="T39" i="6"/>
  <c r="V39" i="6" s="1"/>
  <c r="T38" i="6"/>
  <c r="T37" i="6"/>
  <c r="V37" i="6" s="1"/>
  <c r="T36" i="6"/>
  <c r="V36" i="6" s="1"/>
  <c r="T35" i="6"/>
  <c r="V35" i="6" s="1"/>
  <c r="T34" i="6"/>
  <c r="T32" i="6"/>
  <c r="T30" i="6"/>
  <c r="T29" i="6"/>
  <c r="T28" i="6"/>
  <c r="T27" i="6"/>
  <c r="T26" i="6"/>
  <c r="T24" i="6"/>
  <c r="T22" i="6"/>
  <c r="T21" i="6"/>
  <c r="V21" i="6" s="1"/>
  <c r="V20" i="6"/>
  <c r="T19" i="6"/>
  <c r="T18" i="6"/>
  <c r="V18" i="6" s="1"/>
  <c r="T17" i="6"/>
  <c r="V17" i="6" s="1"/>
  <c r="T16" i="6"/>
  <c r="V16" i="6" s="1"/>
  <c r="T15" i="6"/>
  <c r="V15" i="6" s="1"/>
  <c r="T14" i="6"/>
  <c r="T13" i="6"/>
  <c r="P88" i="6"/>
  <c r="R88" i="6" s="1"/>
  <c r="P85" i="6"/>
  <c r="R85" i="6" s="1"/>
  <c r="P84" i="6"/>
  <c r="R84" i="6" s="1"/>
  <c r="P81" i="6"/>
  <c r="R81" i="6" s="1"/>
  <c r="P80" i="6"/>
  <c r="R80" i="6" s="1"/>
  <c r="P79" i="6"/>
  <c r="R79" i="6" s="1"/>
  <c r="P78" i="6"/>
  <c r="R78" i="6" s="1"/>
  <c r="P77" i="6"/>
  <c r="R77" i="6" s="1"/>
  <c r="P76" i="6"/>
  <c r="R76" i="6" s="1"/>
  <c r="P75" i="6"/>
  <c r="R75" i="6" s="1"/>
  <c r="P73" i="6"/>
  <c r="R73" i="6" s="1"/>
  <c r="P72" i="6"/>
  <c r="R72" i="6" s="1"/>
  <c r="P71" i="6"/>
  <c r="R71" i="6" s="1"/>
  <c r="P69" i="6"/>
  <c r="R69" i="6" s="1"/>
  <c r="P68" i="6"/>
  <c r="R68" i="6" s="1"/>
  <c r="P67" i="6"/>
  <c r="R67" i="6" s="1"/>
  <c r="P66" i="6"/>
  <c r="R66" i="6" s="1"/>
  <c r="P65" i="6"/>
  <c r="R65" i="6" s="1"/>
  <c r="P64" i="6"/>
  <c r="R64" i="6" s="1"/>
  <c r="P63" i="6"/>
  <c r="R63" i="6" s="1"/>
  <c r="P62" i="6"/>
  <c r="R62" i="6" s="1"/>
  <c r="P61" i="6"/>
  <c r="R61" i="6" s="1"/>
  <c r="P60" i="6"/>
  <c r="R60" i="6" s="1"/>
  <c r="P59" i="6"/>
  <c r="R59" i="6" s="1"/>
  <c r="P58" i="6"/>
  <c r="R58" i="6" s="1"/>
  <c r="P57" i="6"/>
  <c r="R57" i="6" s="1"/>
  <c r="P56" i="6"/>
  <c r="P54" i="6"/>
  <c r="P52" i="6"/>
  <c r="R52" i="6" s="1"/>
  <c r="P51" i="6"/>
  <c r="R51" i="6" s="1"/>
  <c r="P50" i="6"/>
  <c r="R50" i="6" s="1"/>
  <c r="P49" i="6"/>
  <c r="R49" i="6" s="1"/>
  <c r="P47" i="6"/>
  <c r="R47" i="6" s="1"/>
  <c r="P46" i="6"/>
  <c r="R46" i="6" s="1"/>
  <c r="P45" i="6"/>
  <c r="R45" i="6" s="1"/>
  <c r="P44" i="6"/>
  <c r="R44" i="6" s="1"/>
  <c r="P41" i="6"/>
  <c r="R41" i="6" s="1"/>
  <c r="P39" i="6"/>
  <c r="R39" i="6" s="1"/>
  <c r="P38" i="6"/>
  <c r="R38" i="6" s="1"/>
  <c r="P37" i="6"/>
  <c r="R37" i="6" s="1"/>
  <c r="P36" i="6"/>
  <c r="R36" i="6" s="1"/>
  <c r="P35" i="6"/>
  <c r="R35" i="6" s="1"/>
  <c r="P34" i="6"/>
  <c r="R34" i="6" s="1"/>
  <c r="P32" i="6"/>
  <c r="R32" i="6" s="1"/>
  <c r="P30" i="6"/>
  <c r="R30" i="6" s="1"/>
  <c r="P29" i="6"/>
  <c r="R29" i="6" s="1"/>
  <c r="P28" i="6"/>
  <c r="R28" i="6" s="1"/>
  <c r="P27" i="6"/>
  <c r="R27" i="6" s="1"/>
  <c r="P26" i="6"/>
  <c r="R26" i="6" s="1"/>
  <c r="P24" i="6"/>
  <c r="R24" i="6" s="1"/>
  <c r="P22" i="6"/>
  <c r="R22" i="6" s="1"/>
  <c r="P21" i="6"/>
  <c r="R21" i="6" s="1"/>
  <c r="P20" i="6"/>
  <c r="R20" i="6" s="1"/>
  <c r="P19" i="6"/>
  <c r="R19" i="6" s="1"/>
  <c r="P18" i="6"/>
  <c r="R18" i="6" s="1"/>
  <c r="P17" i="6"/>
  <c r="R17" i="6" s="1"/>
  <c r="P16" i="6"/>
  <c r="R16" i="6" s="1"/>
  <c r="P15" i="6"/>
  <c r="R15" i="6" s="1"/>
  <c r="P14" i="6"/>
  <c r="R14" i="6" s="1"/>
  <c r="P13" i="6"/>
  <c r="R13" i="6" s="1"/>
  <c r="M88" i="6"/>
  <c r="BI84" i="7" s="1"/>
  <c r="M85" i="6"/>
  <c r="BI81" i="7" s="1"/>
  <c r="M84" i="6"/>
  <c r="BI80" i="7" s="1"/>
  <c r="M81" i="6"/>
  <c r="BI77" i="7" s="1"/>
  <c r="M80" i="6"/>
  <c r="BI76" i="7" s="1"/>
  <c r="M79" i="6"/>
  <c r="BI75" i="7" s="1"/>
  <c r="M78" i="6"/>
  <c r="BI74" i="7" s="1"/>
  <c r="M77" i="6"/>
  <c r="BI73" i="7" s="1"/>
  <c r="M76" i="6"/>
  <c r="BI72" i="7" s="1"/>
  <c r="M75" i="6"/>
  <c r="M73" i="6"/>
  <c r="M72" i="6"/>
  <c r="M71" i="6"/>
  <c r="M69" i="6"/>
  <c r="M68" i="6"/>
  <c r="M67" i="6"/>
  <c r="M66" i="6"/>
  <c r="M65" i="6"/>
  <c r="M64" i="6"/>
  <c r="M63" i="6"/>
  <c r="M62" i="6"/>
  <c r="M61" i="6"/>
  <c r="M60" i="6"/>
  <c r="M59" i="6"/>
  <c r="M58" i="6"/>
  <c r="M57" i="6"/>
  <c r="M56" i="6"/>
  <c r="M54" i="6"/>
  <c r="M52" i="6"/>
  <c r="M51" i="6"/>
  <c r="M50" i="6"/>
  <c r="M49" i="6"/>
  <c r="BI45" i="7" s="1"/>
  <c r="M47" i="6"/>
  <c r="M46" i="6"/>
  <c r="M45" i="6"/>
  <c r="M44" i="6"/>
  <c r="M41" i="6"/>
  <c r="M39" i="6"/>
  <c r="M38" i="6"/>
  <c r="M37" i="6"/>
  <c r="M36" i="6"/>
  <c r="M35" i="6"/>
  <c r="M34" i="6"/>
  <c r="M32" i="6"/>
  <c r="BI28" i="7" s="1"/>
  <c r="M30" i="6"/>
  <c r="BI26" i="7" s="1"/>
  <c r="M29" i="6"/>
  <c r="BI25" i="7" s="1"/>
  <c r="M28" i="6"/>
  <c r="BI24" i="7" s="1"/>
  <c r="M27" i="6"/>
  <c r="BI23" i="7" s="1"/>
  <c r="M26" i="6"/>
  <c r="BI22" i="7" s="1"/>
  <c r="M24" i="6"/>
  <c r="BI20" i="7" s="1"/>
  <c r="M22" i="6"/>
  <c r="M21" i="6"/>
  <c r="M20" i="6"/>
  <c r="M19" i="6"/>
  <c r="BI15" i="7" s="1"/>
  <c r="M18" i="6"/>
  <c r="M17" i="6"/>
  <c r="M16" i="6"/>
  <c r="M15" i="6"/>
  <c r="M14" i="6"/>
  <c r="BI10" i="7" s="1"/>
  <c r="M13" i="6"/>
  <c r="BI9" i="7" s="1"/>
  <c r="K88" i="6"/>
  <c r="BG84" i="7" s="1"/>
  <c r="K85" i="6"/>
  <c r="BG81" i="7" s="1"/>
  <c r="K84" i="6"/>
  <c r="BG80" i="7" s="1"/>
  <c r="K81" i="6"/>
  <c r="BG77" i="7" s="1"/>
  <c r="K80" i="6"/>
  <c r="BG76" i="7" s="1"/>
  <c r="K79" i="6"/>
  <c r="BG75" i="7" s="1"/>
  <c r="K78" i="6"/>
  <c r="BG74" i="7" s="1"/>
  <c r="K77" i="6"/>
  <c r="BG73" i="7" s="1"/>
  <c r="K76" i="6"/>
  <c r="BG72" i="7" s="1"/>
  <c r="K75" i="6"/>
  <c r="BG71" i="7" s="1"/>
  <c r="K73" i="6"/>
  <c r="BG69" i="7" s="1"/>
  <c r="K72" i="6"/>
  <c r="BG68" i="7" s="1"/>
  <c r="K71" i="6"/>
  <c r="BG67" i="7" s="1"/>
  <c r="K69" i="6"/>
  <c r="BG65" i="7" s="1"/>
  <c r="K68" i="6"/>
  <c r="BG64" i="7" s="1"/>
  <c r="K67" i="6"/>
  <c r="BG63" i="7" s="1"/>
  <c r="K66" i="6"/>
  <c r="BG62" i="7" s="1"/>
  <c r="K65" i="6"/>
  <c r="BG61" i="7" s="1"/>
  <c r="K64" i="6"/>
  <c r="BG60" i="7" s="1"/>
  <c r="K63" i="6"/>
  <c r="BG59" i="7" s="1"/>
  <c r="K62" i="6"/>
  <c r="BG58" i="7" s="1"/>
  <c r="K61" i="6"/>
  <c r="BG57" i="7" s="1"/>
  <c r="K60" i="6"/>
  <c r="BG56" i="7" s="1"/>
  <c r="K59" i="6"/>
  <c r="BG55" i="7" s="1"/>
  <c r="K58" i="6"/>
  <c r="BG54" i="7" s="1"/>
  <c r="K57" i="6"/>
  <c r="BG53" i="7" s="1"/>
  <c r="K56" i="6"/>
  <c r="BG52" i="7" s="1"/>
  <c r="K54" i="6"/>
  <c r="BG50" i="7" s="1"/>
  <c r="K52" i="6"/>
  <c r="BG48" i="7" s="1"/>
  <c r="K51" i="6"/>
  <c r="BG47" i="7" s="1"/>
  <c r="K50" i="6"/>
  <c r="BG46" i="7" s="1"/>
  <c r="K49" i="6"/>
  <c r="BG45" i="7" s="1"/>
  <c r="K47" i="6"/>
  <c r="BG43" i="7" s="1"/>
  <c r="K46" i="6"/>
  <c r="BG42" i="7" s="1"/>
  <c r="K45" i="6"/>
  <c r="BG41" i="7" s="1"/>
  <c r="K44" i="6"/>
  <c r="BG40" i="7" s="1"/>
  <c r="K41" i="6"/>
  <c r="BG37" i="7" s="1"/>
  <c r="K39" i="6"/>
  <c r="BG35" i="7" s="1"/>
  <c r="K38" i="6"/>
  <c r="BG34" i="7" s="1"/>
  <c r="K37" i="6"/>
  <c r="BG33" i="7" s="1"/>
  <c r="K36" i="6"/>
  <c r="BG32" i="7" s="1"/>
  <c r="K35" i="6"/>
  <c r="BG31" i="7" s="1"/>
  <c r="K34" i="6"/>
  <c r="BG30" i="7" s="1"/>
  <c r="K32" i="6"/>
  <c r="BG28" i="7" s="1"/>
  <c r="K30" i="6"/>
  <c r="BG26" i="7" s="1"/>
  <c r="K29" i="6"/>
  <c r="BG25" i="7" s="1"/>
  <c r="K28" i="6"/>
  <c r="BG24" i="7" s="1"/>
  <c r="K27" i="6"/>
  <c r="BG23" i="7" s="1"/>
  <c r="K26" i="6"/>
  <c r="BG22" i="7" s="1"/>
  <c r="K24" i="6"/>
  <c r="BG20" i="7" s="1"/>
  <c r="K22" i="6"/>
  <c r="BG18" i="7" s="1"/>
  <c r="K21" i="6"/>
  <c r="BG17" i="7" s="1"/>
  <c r="K20" i="6"/>
  <c r="BG16" i="7" s="1"/>
  <c r="K19" i="6"/>
  <c r="BG15" i="7" s="1"/>
  <c r="K18" i="6"/>
  <c r="BG14" i="7" s="1"/>
  <c r="K17" i="6"/>
  <c r="BG13" i="7" s="1"/>
  <c r="K16" i="6"/>
  <c r="BG12" i="7" s="1"/>
  <c r="K15" i="6"/>
  <c r="BG11" i="7" s="1"/>
  <c r="K14" i="6"/>
  <c r="BG10" i="7" s="1"/>
  <c r="K13" i="6"/>
  <c r="BG9" i="7" s="1"/>
  <c r="V54" i="6" l="1"/>
  <c r="AB80" i="6"/>
  <c r="V80" i="6"/>
  <c r="R54" i="6"/>
  <c r="V56" i="6"/>
  <c r="AB81" i="6"/>
  <c r="V81" i="6"/>
  <c r="AB88" i="6"/>
  <c r="V88" i="6"/>
  <c r="R56" i="6"/>
  <c r="AB84" i="6"/>
  <c r="V84" i="6"/>
  <c r="AB79" i="6"/>
  <c r="V79" i="6"/>
  <c r="AB85" i="6"/>
  <c r="V85" i="6"/>
  <c r="AB13" i="6"/>
  <c r="V13" i="6"/>
  <c r="AB27" i="6"/>
  <c r="V27" i="6"/>
  <c r="AB32" i="6"/>
  <c r="V32" i="6"/>
  <c r="AB47" i="6"/>
  <c r="BL43" i="7" s="1"/>
  <c r="V47" i="6"/>
  <c r="AB73" i="6"/>
  <c r="V73" i="6"/>
  <c r="AB78" i="6"/>
  <c r="V78" i="6"/>
  <c r="AB14" i="6"/>
  <c r="V14" i="6"/>
  <c r="AB22" i="6"/>
  <c r="V22" i="6"/>
  <c r="AB28" i="6"/>
  <c r="V28" i="6"/>
  <c r="AB34" i="6"/>
  <c r="BL30" i="7" s="1"/>
  <c r="V34" i="6"/>
  <c r="AB38" i="6"/>
  <c r="BL34" i="7" s="1"/>
  <c r="V38" i="6"/>
  <c r="AB44" i="6"/>
  <c r="BL40" i="7" s="1"/>
  <c r="V44" i="6"/>
  <c r="AB19" i="6"/>
  <c r="V19" i="6"/>
  <c r="AB24" i="6"/>
  <c r="V24" i="6"/>
  <c r="AB29" i="6"/>
  <c r="V29" i="6"/>
  <c r="AB45" i="6"/>
  <c r="BL41" i="7" s="1"/>
  <c r="V45" i="6"/>
  <c r="AB49" i="6"/>
  <c r="BL45" i="7" s="1"/>
  <c r="V49" i="6"/>
  <c r="AB71" i="6"/>
  <c r="BL67" i="7" s="1"/>
  <c r="V71" i="6"/>
  <c r="AB26" i="6"/>
  <c r="V26" i="6"/>
  <c r="AB30" i="6"/>
  <c r="V30" i="6"/>
  <c r="AB46" i="6"/>
  <c r="BL42" i="7" s="1"/>
  <c r="V46" i="6"/>
  <c r="AB50" i="6"/>
  <c r="BL46" i="7" s="1"/>
  <c r="V50" i="6"/>
  <c r="BM72" i="7"/>
  <c r="BM73" i="7"/>
  <c r="BM71" i="7"/>
  <c r="BM67" i="7"/>
  <c r="BM68" i="7"/>
  <c r="BM54" i="7"/>
  <c r="BM55" i="7"/>
  <c r="BM59" i="7"/>
  <c r="BM63" i="7"/>
  <c r="BM58" i="7"/>
  <c r="BM52" i="7"/>
  <c r="BM56" i="7"/>
  <c r="BM60" i="7"/>
  <c r="BM64" i="7"/>
  <c r="BM62" i="7"/>
  <c r="BM53" i="7"/>
  <c r="BM57" i="7"/>
  <c r="BM61" i="7"/>
  <c r="BM65" i="7"/>
  <c r="BM50" i="7"/>
  <c r="BM45" i="7"/>
  <c r="AD49" i="6"/>
  <c r="BM46" i="7"/>
  <c r="AD50" i="6"/>
  <c r="BM48" i="7"/>
  <c r="BM47" i="7"/>
  <c r="BM41" i="7"/>
  <c r="AD45" i="6"/>
  <c r="BM42" i="7"/>
  <c r="AD46" i="6"/>
  <c r="BM40" i="7"/>
  <c r="AD44" i="6"/>
  <c r="BM43" i="7"/>
  <c r="AD47" i="6"/>
  <c r="BM31" i="7"/>
  <c r="BM30" i="7"/>
  <c r="BM34" i="7"/>
  <c r="BM35" i="7"/>
  <c r="BM32" i="7"/>
  <c r="BM37" i="7"/>
  <c r="BM33" i="7"/>
  <c r="BM17" i="7"/>
  <c r="BM14" i="7"/>
  <c r="BM16" i="7"/>
  <c r="BM11" i="7"/>
  <c r="BM12" i="7"/>
  <c r="BM13" i="7"/>
  <c r="BI71" i="7"/>
  <c r="BI69" i="7"/>
  <c r="BI67" i="7"/>
  <c r="BI68" i="7"/>
  <c r="BI56" i="7"/>
  <c r="BI53" i="7"/>
  <c r="BI57" i="7"/>
  <c r="BI61" i="7"/>
  <c r="BI65" i="7"/>
  <c r="BI52" i="7"/>
  <c r="BI60" i="7"/>
  <c r="BI54" i="7"/>
  <c r="BI58" i="7"/>
  <c r="BI62" i="7"/>
  <c r="BI64" i="7"/>
  <c r="BI55" i="7"/>
  <c r="BI59" i="7"/>
  <c r="BI63" i="7"/>
  <c r="BI50" i="7"/>
  <c r="BI47" i="7"/>
  <c r="BI46" i="7"/>
  <c r="BI48" i="7"/>
  <c r="BI41" i="7"/>
  <c r="BI42" i="7"/>
  <c r="BI43" i="7"/>
  <c r="BI40" i="7"/>
  <c r="BI30" i="7"/>
  <c r="BI31" i="7"/>
  <c r="BI35" i="7"/>
  <c r="BI32" i="7"/>
  <c r="BI37" i="7"/>
  <c r="BI34" i="7"/>
  <c r="BI33" i="7"/>
  <c r="BI18" i="7"/>
  <c r="BI17" i="7"/>
  <c r="BI14" i="7"/>
  <c r="BI16" i="7"/>
  <c r="BI11" i="7"/>
  <c r="BI12" i="7"/>
  <c r="BI13" i="7"/>
  <c r="AB75" i="6"/>
  <c r="BL71" i="7" s="1"/>
  <c r="AB76" i="6"/>
  <c r="BL72" i="7" s="1"/>
  <c r="AB77" i="6"/>
  <c r="BL73" i="7" s="1"/>
  <c r="AB72" i="6"/>
  <c r="BL68" i="7" s="1"/>
  <c r="AB56" i="6"/>
  <c r="BL52" i="7" s="1"/>
  <c r="AB57" i="6"/>
  <c r="BL53" i="7" s="1"/>
  <c r="AB58" i="6"/>
  <c r="BL54" i="7" s="1"/>
  <c r="AB60" i="6"/>
  <c r="BL56" i="7" s="1"/>
  <c r="AB64" i="6"/>
  <c r="BL60" i="7" s="1"/>
  <c r="AB68" i="6"/>
  <c r="BL64" i="7" s="1"/>
  <c r="AB61" i="6"/>
  <c r="BL57" i="7" s="1"/>
  <c r="AB65" i="6"/>
  <c r="BL61" i="7" s="1"/>
  <c r="AB69" i="6"/>
  <c r="BL65" i="7" s="1"/>
  <c r="AB62" i="6"/>
  <c r="BL58" i="7" s="1"/>
  <c r="AB66" i="6"/>
  <c r="BL62" i="7" s="1"/>
  <c r="AB59" i="6"/>
  <c r="BL55" i="7" s="1"/>
  <c r="AB63" i="6"/>
  <c r="BL59" i="7" s="1"/>
  <c r="AB67" i="6"/>
  <c r="BL63" i="7" s="1"/>
  <c r="AB54" i="6"/>
  <c r="BL50" i="7" s="1"/>
  <c r="AB52" i="6"/>
  <c r="BL48" i="7" s="1"/>
  <c r="AB51" i="6"/>
  <c r="BL47" i="7" s="1"/>
  <c r="AB41" i="6"/>
  <c r="BL37" i="7" s="1"/>
  <c r="AB37" i="6"/>
  <c r="BL33" i="7" s="1"/>
  <c r="AB35" i="6"/>
  <c r="BL31" i="7" s="1"/>
  <c r="AB39" i="6"/>
  <c r="BL35" i="7" s="1"/>
  <c r="AB36" i="6"/>
  <c r="BL32" i="7" s="1"/>
  <c r="AB21" i="6"/>
  <c r="BL17" i="7" s="1"/>
  <c r="AB20" i="6"/>
  <c r="BL16" i="7" s="1"/>
  <c r="AB18" i="6"/>
  <c r="BL14" i="7" s="1"/>
  <c r="AB17" i="6"/>
  <c r="BL13" i="7" s="1"/>
  <c r="AB16" i="6"/>
  <c r="BL12" i="7" s="1"/>
  <c r="AB15" i="6"/>
  <c r="BL11" i="7" s="1"/>
  <c r="BN43" i="7"/>
  <c r="BN40" i="7"/>
  <c r="BN41" i="7"/>
  <c r="BN45" i="7"/>
  <c r="AQ14" i="6"/>
  <c r="AQ18" i="6"/>
  <c r="AQ22" i="6"/>
  <c r="AQ26" i="6"/>
  <c r="AQ30" i="6"/>
  <c r="AQ34" i="6"/>
  <c r="AQ38" i="6"/>
  <c r="AQ44" i="6"/>
  <c r="AQ52" i="6"/>
  <c r="AQ56" i="6"/>
  <c r="AQ60" i="6"/>
  <c r="AQ64" i="6"/>
  <c r="AQ68" i="6"/>
  <c r="AQ72" i="6"/>
  <c r="AQ76" i="6"/>
  <c r="AQ80" i="6"/>
  <c r="AQ85" i="6"/>
  <c r="AS16" i="6"/>
  <c r="AS20" i="6"/>
  <c r="AS24" i="6"/>
  <c r="AS28" i="6"/>
  <c r="AS32" i="6"/>
  <c r="AS36" i="6"/>
  <c r="AS41" i="6"/>
  <c r="AS46" i="6"/>
  <c r="AS50" i="6"/>
  <c r="AS54" i="6"/>
  <c r="AS58" i="6"/>
  <c r="AS62" i="6"/>
  <c r="AS66" i="6"/>
  <c r="AS78" i="6"/>
  <c r="AQ15" i="6"/>
  <c r="AQ19" i="6"/>
  <c r="AQ27" i="6"/>
  <c r="AQ35" i="6"/>
  <c r="AQ39" i="6"/>
  <c r="AQ45" i="6"/>
  <c r="AQ49" i="6"/>
  <c r="AQ57" i="6"/>
  <c r="AQ61" i="6"/>
  <c r="AQ65" i="6"/>
  <c r="AQ69" i="6"/>
  <c r="AQ73" i="6"/>
  <c r="AQ77" i="6"/>
  <c r="AQ81" i="6"/>
  <c r="AS13" i="6"/>
  <c r="AS17" i="6"/>
  <c r="AS21" i="6"/>
  <c r="AS29" i="6"/>
  <c r="AS37" i="6"/>
  <c r="AS47" i="6"/>
  <c r="AS51" i="6"/>
  <c r="AS59" i="6"/>
  <c r="AS63" i="6"/>
  <c r="AS67" i="6"/>
  <c r="AS71" i="6"/>
  <c r="AS75" i="6"/>
  <c r="AS79" i="6"/>
  <c r="AS84" i="6"/>
  <c r="AS88" i="6"/>
  <c r="AQ16" i="6"/>
  <c r="AQ20" i="6"/>
  <c r="AQ24" i="6"/>
  <c r="AQ28" i="6"/>
  <c r="AQ32" i="6"/>
  <c r="AQ36" i="6"/>
  <c r="AQ41" i="6"/>
  <c r="AQ46" i="6"/>
  <c r="AQ50" i="6"/>
  <c r="AQ54" i="6"/>
  <c r="AQ58" i="6"/>
  <c r="AQ62" i="6"/>
  <c r="AQ66" i="6"/>
  <c r="AQ78" i="6"/>
  <c r="AS14" i="6"/>
  <c r="AS18" i="6"/>
  <c r="AS22" i="6"/>
  <c r="AS26" i="6"/>
  <c r="AS30" i="6"/>
  <c r="AS34" i="6"/>
  <c r="AS38" i="6"/>
  <c r="AS44" i="6"/>
  <c r="AS52" i="6"/>
  <c r="AS56" i="6"/>
  <c r="AS60" i="6"/>
  <c r="AS64" i="6"/>
  <c r="AS68" i="6"/>
  <c r="AS72" i="6"/>
  <c r="AS76" i="6"/>
  <c r="AS80" i="6"/>
  <c r="AS85" i="6"/>
  <c r="AQ13" i="6"/>
  <c r="AQ17" i="6"/>
  <c r="AQ21" i="6"/>
  <c r="AQ29" i="6"/>
  <c r="AQ37" i="6"/>
  <c r="AQ47" i="6"/>
  <c r="AQ51" i="6"/>
  <c r="AQ59" i="6"/>
  <c r="AQ63" i="6"/>
  <c r="AQ67" i="6"/>
  <c r="AQ71" i="6"/>
  <c r="AQ75" i="6"/>
  <c r="AQ79" i="6"/>
  <c r="AQ84" i="6"/>
  <c r="AQ88" i="6"/>
  <c r="AS15" i="6"/>
  <c r="AS19" i="6"/>
  <c r="AS27" i="6"/>
  <c r="AS35" i="6"/>
  <c r="AS39" i="6"/>
  <c r="AS45" i="6"/>
  <c r="AS49" i="6"/>
  <c r="AS57" i="6"/>
  <c r="AS61" i="6"/>
  <c r="AS65" i="6"/>
  <c r="AS69" i="6"/>
  <c r="AS73" i="6"/>
  <c r="AS77" i="6"/>
  <c r="AS81" i="6"/>
  <c r="BN42" i="7"/>
  <c r="BN46" i="7"/>
  <c r="AN88" i="6"/>
  <c r="AJ88" i="6"/>
  <c r="AF88" i="6"/>
  <c r="AH88" i="6" s="1"/>
  <c r="AO86" i="6"/>
  <c r="BY82" i="7" s="1"/>
  <c r="AN86" i="6"/>
  <c r="AM86" i="6"/>
  <c r="BW82" i="7" s="1"/>
  <c r="AK86" i="6"/>
  <c r="BU82" i="7" s="1"/>
  <c r="AI86" i="6"/>
  <c r="BS82" i="7" s="1"/>
  <c r="AG86" i="6"/>
  <c r="BQ82" i="7" s="1"/>
  <c r="AE86" i="6"/>
  <c r="BO82" i="7" s="1"/>
  <c r="AN85" i="6"/>
  <c r="AJ85" i="6"/>
  <c r="AL85" i="6" s="1"/>
  <c r="AF85" i="6"/>
  <c r="AH85" i="6" s="1"/>
  <c r="AN84" i="6"/>
  <c r="AJ84" i="6"/>
  <c r="AL84" i="6" s="1"/>
  <c r="AF84" i="6"/>
  <c r="AH84" i="6" s="1"/>
  <c r="AN81" i="6"/>
  <c r="AJ81" i="6"/>
  <c r="AL81" i="6" s="1"/>
  <c r="AF81" i="6"/>
  <c r="AN80" i="6"/>
  <c r="AJ80" i="6"/>
  <c r="AL80" i="6" s="1"/>
  <c r="AF80" i="6"/>
  <c r="AH80" i="6" s="1"/>
  <c r="AN79" i="6"/>
  <c r="AJ79" i="6"/>
  <c r="AL79" i="6" s="1"/>
  <c r="AF79" i="6"/>
  <c r="AN78" i="6"/>
  <c r="AJ78" i="6"/>
  <c r="AF78" i="6"/>
  <c r="AH78" i="6" s="1"/>
  <c r="AN77" i="6"/>
  <c r="AJ77" i="6"/>
  <c r="AL77" i="6" s="1"/>
  <c r="AF77" i="6"/>
  <c r="AN76" i="6"/>
  <c r="AJ76" i="6"/>
  <c r="AF76" i="6"/>
  <c r="AH76" i="6" s="1"/>
  <c r="AN75" i="6"/>
  <c r="AP75" i="6" s="1"/>
  <c r="AJ75" i="6"/>
  <c r="AL75" i="6" s="1"/>
  <c r="AF75" i="6"/>
  <c r="AH75" i="6" s="1"/>
  <c r="AO74" i="6"/>
  <c r="AM74" i="6"/>
  <c r="BW70" i="7" s="1"/>
  <c r="AK74" i="6"/>
  <c r="BU70" i="7" s="1"/>
  <c r="AI74" i="6"/>
  <c r="BS70" i="7" s="1"/>
  <c r="AG74" i="6"/>
  <c r="AE74" i="6"/>
  <c r="BO70" i="7" s="1"/>
  <c r="AN73" i="6"/>
  <c r="AJ73" i="6"/>
  <c r="AL73" i="6" s="1"/>
  <c r="AF73" i="6"/>
  <c r="AH73" i="6" s="1"/>
  <c r="AN72" i="6"/>
  <c r="AJ72" i="6"/>
  <c r="AL72" i="6" s="1"/>
  <c r="AF72" i="6"/>
  <c r="AN71" i="6"/>
  <c r="AP71" i="6" s="1"/>
  <c r="AJ71" i="6"/>
  <c r="AL71" i="6" s="1"/>
  <c r="AF71" i="6"/>
  <c r="AH71" i="6" s="1"/>
  <c r="AO70" i="6"/>
  <c r="AM70" i="6"/>
  <c r="BW66" i="7" s="1"/>
  <c r="AK70" i="6"/>
  <c r="BU66" i="7" s="1"/>
  <c r="AI70" i="6"/>
  <c r="BS66" i="7" s="1"/>
  <c r="AG70" i="6"/>
  <c r="AE70" i="6"/>
  <c r="BO66" i="7" s="1"/>
  <c r="AJ69" i="6"/>
  <c r="AL69" i="6" s="1"/>
  <c r="AF69" i="6"/>
  <c r="AH69" i="6" s="1"/>
  <c r="AJ68" i="6"/>
  <c r="AL68" i="6" s="1"/>
  <c r="AF68" i="6"/>
  <c r="AH68" i="6" s="1"/>
  <c r="AJ67" i="6"/>
  <c r="AF67" i="6"/>
  <c r="AH67" i="6" s="1"/>
  <c r="AJ66" i="6"/>
  <c r="AL66" i="6" s="1"/>
  <c r="AF66" i="6"/>
  <c r="AH66" i="6" s="1"/>
  <c r="AJ65" i="6"/>
  <c r="AL65" i="6" s="1"/>
  <c r="AF65" i="6"/>
  <c r="AH65" i="6" s="1"/>
  <c r="AJ64" i="6"/>
  <c r="AL64" i="6" s="1"/>
  <c r="AF64" i="6"/>
  <c r="AJ63" i="6"/>
  <c r="AL63" i="6" s="1"/>
  <c r="AF63" i="6"/>
  <c r="AH63" i="6" s="1"/>
  <c r="AJ62" i="6"/>
  <c r="AL62" i="6" s="1"/>
  <c r="AF62" i="6"/>
  <c r="AH62" i="6" s="1"/>
  <c r="AJ61" i="6"/>
  <c r="AL61" i="6" s="1"/>
  <c r="AF61" i="6"/>
  <c r="AH61" i="6" s="1"/>
  <c r="AJ60" i="6"/>
  <c r="AL60" i="6" s="1"/>
  <c r="AF60" i="6"/>
  <c r="AJ59" i="6"/>
  <c r="AF59" i="6"/>
  <c r="AH59" i="6" s="1"/>
  <c r="BV54" i="7"/>
  <c r="AF58" i="6"/>
  <c r="BV53" i="7"/>
  <c r="AF57" i="6"/>
  <c r="AH57" i="6" s="1"/>
  <c r="BV52" i="7"/>
  <c r="AF56" i="6"/>
  <c r="AO55" i="6"/>
  <c r="AM55" i="6"/>
  <c r="BW51" i="7" s="1"/>
  <c r="AK55" i="6"/>
  <c r="BU51" i="7" s="1"/>
  <c r="AI55" i="6"/>
  <c r="BS51" i="7" s="1"/>
  <c r="AG55" i="6"/>
  <c r="AE55" i="6"/>
  <c r="BO51" i="7" s="1"/>
  <c r="BX50" i="7"/>
  <c r="BV50" i="7"/>
  <c r="AJ52" i="6"/>
  <c r="AL52" i="6" s="1"/>
  <c r="BR48" i="7"/>
  <c r="BZ47" i="7"/>
  <c r="AJ51" i="6"/>
  <c r="AL51" i="6" s="1"/>
  <c r="BR47" i="7"/>
  <c r="AJ50" i="6"/>
  <c r="AL50" i="6" s="1"/>
  <c r="BR46" i="7"/>
  <c r="AJ49" i="6"/>
  <c r="AL49" i="6" s="1"/>
  <c r="BR45" i="7"/>
  <c r="AO48" i="6"/>
  <c r="AM48" i="6"/>
  <c r="BW44" i="7" s="1"/>
  <c r="AK48" i="6"/>
  <c r="BU44" i="7" s="1"/>
  <c r="AI48" i="6"/>
  <c r="BS44" i="7" s="1"/>
  <c r="AG48" i="6"/>
  <c r="AE48" i="6"/>
  <c r="BO44" i="7" s="1"/>
  <c r="AJ47" i="6"/>
  <c r="BR43" i="7"/>
  <c r="AJ46" i="6"/>
  <c r="AL46" i="6" s="1"/>
  <c r="BR42" i="7"/>
  <c r="AJ45" i="6"/>
  <c r="AL45" i="6" s="1"/>
  <c r="BR41" i="7"/>
  <c r="AJ44" i="6"/>
  <c r="AL44" i="6" s="1"/>
  <c r="BR40" i="7"/>
  <c r="AO43" i="6"/>
  <c r="AM43" i="6"/>
  <c r="BW39" i="7" s="1"/>
  <c r="AK43" i="6"/>
  <c r="AI43" i="6"/>
  <c r="BS39" i="7" s="1"/>
  <c r="AG43" i="6"/>
  <c r="AE43" i="6"/>
  <c r="BO39" i="7" s="1"/>
  <c r="AP41" i="6"/>
  <c r="AL41" i="6"/>
  <c r="AH41" i="6"/>
  <c r="BX35" i="7"/>
  <c r="BX34" i="7"/>
  <c r="BX33" i="7"/>
  <c r="BX32" i="7"/>
  <c r="BX31" i="7"/>
  <c r="BX30" i="7"/>
  <c r="BY29" i="7"/>
  <c r="AM33" i="6"/>
  <c r="BU29" i="7"/>
  <c r="AI33" i="6"/>
  <c r="BQ29" i="7"/>
  <c r="AE33" i="6"/>
  <c r="AN32" i="6"/>
  <c r="AJ32" i="6"/>
  <c r="AL32" i="6" s="1"/>
  <c r="AF32" i="6"/>
  <c r="AH32" i="6" s="1"/>
  <c r="AN30" i="6"/>
  <c r="AJ30" i="6"/>
  <c r="AF30" i="6"/>
  <c r="AH30" i="6" s="1"/>
  <c r="AN29" i="6"/>
  <c r="AJ29" i="6"/>
  <c r="AL29" i="6" s="1"/>
  <c r="AF29" i="6"/>
  <c r="AH29" i="6" s="1"/>
  <c r="AN28" i="6"/>
  <c r="AJ28" i="6"/>
  <c r="AL28" i="6" s="1"/>
  <c r="AF28" i="6"/>
  <c r="AH28" i="6" s="1"/>
  <c r="AN27" i="6"/>
  <c r="AJ27" i="6"/>
  <c r="AF27" i="6"/>
  <c r="AN26" i="6"/>
  <c r="AJ26" i="6"/>
  <c r="AL26" i="6" s="1"/>
  <c r="AF26" i="6"/>
  <c r="AH26" i="6" s="1"/>
  <c r="AN24" i="6"/>
  <c r="AJ24" i="6"/>
  <c r="AF24" i="6"/>
  <c r="AH24" i="6" s="1"/>
  <c r="AN22" i="6"/>
  <c r="AJ22" i="6"/>
  <c r="AL22" i="6" s="1"/>
  <c r="AF22" i="6"/>
  <c r="AH22" i="6" s="1"/>
  <c r="AN21" i="6"/>
  <c r="AJ21" i="6"/>
  <c r="AL21" i="6" s="1"/>
  <c r="AF21" i="6"/>
  <c r="AH21" i="6" s="1"/>
  <c r="AN20" i="6"/>
  <c r="AJ20" i="6"/>
  <c r="AL20" i="6" s="1"/>
  <c r="AF20" i="6"/>
  <c r="AN19" i="6"/>
  <c r="AJ19" i="6"/>
  <c r="AL19" i="6" s="1"/>
  <c r="AF19" i="6"/>
  <c r="AH19" i="6" s="1"/>
  <c r="AN18" i="6"/>
  <c r="AJ18" i="6"/>
  <c r="AL18" i="6" s="1"/>
  <c r="AF18" i="6"/>
  <c r="AH18" i="6" s="1"/>
  <c r="AN17" i="6"/>
  <c r="AJ17" i="6"/>
  <c r="AL17" i="6" s="1"/>
  <c r="AF17" i="6"/>
  <c r="AH17" i="6" s="1"/>
  <c r="AN16" i="6"/>
  <c r="AJ16" i="6"/>
  <c r="AL16" i="6" s="1"/>
  <c r="AF16" i="6"/>
  <c r="AH16" i="6" s="1"/>
  <c r="AN15" i="6"/>
  <c r="AJ15" i="6"/>
  <c r="AL15" i="6" s="1"/>
  <c r="AF15" i="6"/>
  <c r="AH15" i="6" s="1"/>
  <c r="AN14" i="6"/>
  <c r="AP14" i="6" s="1"/>
  <c r="AJ14" i="6"/>
  <c r="AL14" i="6" s="1"/>
  <c r="AF14" i="6"/>
  <c r="AH14" i="6" s="1"/>
  <c r="AN13" i="6"/>
  <c r="AJ13" i="6"/>
  <c r="AL13" i="6" s="1"/>
  <c r="AF13" i="6"/>
  <c r="AH13" i="6" s="1"/>
  <c r="AO12" i="6"/>
  <c r="AM12" i="6"/>
  <c r="AK12" i="6"/>
  <c r="AI12" i="6"/>
  <c r="AG12" i="6"/>
  <c r="AE12" i="6"/>
  <c r="Y86" i="6"/>
  <c r="W86" i="6"/>
  <c r="Y74" i="6"/>
  <c r="Z74" i="6" s="1"/>
  <c r="W74" i="6"/>
  <c r="Y70" i="6"/>
  <c r="Z70" i="6" s="1"/>
  <c r="W70" i="6"/>
  <c r="Y55" i="6"/>
  <c r="W55" i="6"/>
  <c r="W48" i="6"/>
  <c r="W43" i="6"/>
  <c r="W33" i="6"/>
  <c r="Y12" i="6"/>
  <c r="W12" i="6"/>
  <c r="W23" i="6" s="1"/>
  <c r="U86" i="6"/>
  <c r="S86" i="6"/>
  <c r="Q86" i="6"/>
  <c r="O86" i="6"/>
  <c r="P86" i="6" s="1"/>
  <c r="R86" i="6" s="1"/>
  <c r="U74" i="6"/>
  <c r="S74" i="6"/>
  <c r="T74" i="6" s="1"/>
  <c r="V74" i="6" s="1"/>
  <c r="Q74" i="6"/>
  <c r="O74" i="6"/>
  <c r="U70" i="6"/>
  <c r="S70" i="6"/>
  <c r="T70" i="6" s="1"/>
  <c r="V70" i="6" s="1"/>
  <c r="Q70" i="6"/>
  <c r="O70" i="6"/>
  <c r="U55" i="6"/>
  <c r="U53" i="6" s="1"/>
  <c r="S55" i="6"/>
  <c r="T55" i="6" s="1"/>
  <c r="V55" i="6" s="1"/>
  <c r="Q55" i="6"/>
  <c r="O55" i="6"/>
  <c r="U48" i="6"/>
  <c r="S48" i="6"/>
  <c r="T48" i="6" s="1"/>
  <c r="V48" i="6" s="1"/>
  <c r="Q48" i="6"/>
  <c r="O48" i="6"/>
  <c r="U43" i="6"/>
  <c r="S43" i="6"/>
  <c r="T43" i="6" s="1"/>
  <c r="V43" i="6" s="1"/>
  <c r="Q43" i="6"/>
  <c r="Q31" i="6" s="1"/>
  <c r="O43" i="6"/>
  <c r="P43" i="6" s="1"/>
  <c r="R43" i="6" s="1"/>
  <c r="S33" i="6"/>
  <c r="T33" i="6" s="1"/>
  <c r="V33" i="6" s="1"/>
  <c r="O33" i="6"/>
  <c r="U12" i="6"/>
  <c r="U23" i="6" s="1"/>
  <c r="S12" i="6"/>
  <c r="Q12" i="6"/>
  <c r="O12" i="6"/>
  <c r="H88" i="6"/>
  <c r="J88" i="6" s="1"/>
  <c r="D88" i="6"/>
  <c r="F88" i="6" s="1"/>
  <c r="I86" i="6"/>
  <c r="G86" i="6"/>
  <c r="E86" i="6"/>
  <c r="C86" i="6"/>
  <c r="D86" i="6" s="1"/>
  <c r="F86" i="6" s="1"/>
  <c r="H85" i="6"/>
  <c r="J85" i="6" s="1"/>
  <c r="D85" i="6"/>
  <c r="F85" i="6" s="1"/>
  <c r="H84" i="6"/>
  <c r="J84" i="6" s="1"/>
  <c r="D84" i="6"/>
  <c r="F84" i="6" s="1"/>
  <c r="H81" i="6"/>
  <c r="J81" i="6" s="1"/>
  <c r="D81" i="6"/>
  <c r="F81" i="6" s="1"/>
  <c r="H80" i="6"/>
  <c r="J80" i="6" s="1"/>
  <c r="D80" i="6"/>
  <c r="F80" i="6" s="1"/>
  <c r="H79" i="6"/>
  <c r="J79" i="6" s="1"/>
  <c r="D79" i="6"/>
  <c r="F79" i="6" s="1"/>
  <c r="H78" i="6"/>
  <c r="J78" i="6" s="1"/>
  <c r="D78" i="6"/>
  <c r="F78" i="6" s="1"/>
  <c r="H77" i="6"/>
  <c r="J77" i="6" s="1"/>
  <c r="D77" i="6"/>
  <c r="F77" i="6" s="1"/>
  <c r="H76" i="6"/>
  <c r="J76" i="6" s="1"/>
  <c r="D76" i="6"/>
  <c r="F76" i="6" s="1"/>
  <c r="H75" i="6"/>
  <c r="J75" i="6" s="1"/>
  <c r="D75" i="6"/>
  <c r="F75" i="6" s="1"/>
  <c r="I74" i="6"/>
  <c r="G74" i="6"/>
  <c r="E74" i="6"/>
  <c r="C74" i="6"/>
  <c r="D74" i="6" s="1"/>
  <c r="H73" i="6"/>
  <c r="J73" i="6" s="1"/>
  <c r="D73" i="6"/>
  <c r="F73" i="6" s="1"/>
  <c r="H72" i="6"/>
  <c r="J72" i="6" s="1"/>
  <c r="D72" i="6"/>
  <c r="F72" i="6" s="1"/>
  <c r="H71" i="6"/>
  <c r="J71" i="6" s="1"/>
  <c r="D71" i="6"/>
  <c r="F71" i="6" s="1"/>
  <c r="I70" i="6"/>
  <c r="G70" i="6"/>
  <c r="E70" i="6"/>
  <c r="C70" i="6"/>
  <c r="H69" i="6"/>
  <c r="J69" i="6" s="1"/>
  <c r="D69" i="6"/>
  <c r="F69" i="6" s="1"/>
  <c r="H68" i="6"/>
  <c r="J68" i="6" s="1"/>
  <c r="D68" i="6"/>
  <c r="F68" i="6" s="1"/>
  <c r="H67" i="6"/>
  <c r="J67" i="6" s="1"/>
  <c r="D67" i="6"/>
  <c r="F67" i="6" s="1"/>
  <c r="H66" i="6"/>
  <c r="J66" i="6" s="1"/>
  <c r="D66" i="6"/>
  <c r="F66" i="6" s="1"/>
  <c r="H65" i="6"/>
  <c r="J65" i="6" s="1"/>
  <c r="D65" i="6"/>
  <c r="F65" i="6" s="1"/>
  <c r="H64" i="6"/>
  <c r="J64" i="6" s="1"/>
  <c r="D64" i="6"/>
  <c r="F64" i="6" s="1"/>
  <c r="H63" i="6"/>
  <c r="J63" i="6" s="1"/>
  <c r="D63" i="6"/>
  <c r="F63" i="6" s="1"/>
  <c r="H62" i="6"/>
  <c r="J62" i="6" s="1"/>
  <c r="D62" i="6"/>
  <c r="F62" i="6" s="1"/>
  <c r="H61" i="6"/>
  <c r="J61" i="6" s="1"/>
  <c r="D61" i="6"/>
  <c r="F61" i="6" s="1"/>
  <c r="H60" i="6"/>
  <c r="J60" i="6" s="1"/>
  <c r="D60" i="6"/>
  <c r="F60" i="6" s="1"/>
  <c r="H59" i="6"/>
  <c r="J59" i="6" s="1"/>
  <c r="D59" i="6"/>
  <c r="F59" i="6" s="1"/>
  <c r="H58" i="6"/>
  <c r="J58" i="6" s="1"/>
  <c r="D58" i="6"/>
  <c r="F58" i="6" s="1"/>
  <c r="H57" i="6"/>
  <c r="J57" i="6" s="1"/>
  <c r="D57" i="6"/>
  <c r="F57" i="6" s="1"/>
  <c r="H56" i="6"/>
  <c r="J56" i="6" s="1"/>
  <c r="D56" i="6"/>
  <c r="I55" i="6"/>
  <c r="G55" i="6"/>
  <c r="E55" i="6"/>
  <c r="C55" i="6"/>
  <c r="I53" i="6"/>
  <c r="G53" i="6"/>
  <c r="H52" i="6"/>
  <c r="J52" i="6" s="1"/>
  <c r="H51" i="6"/>
  <c r="J51" i="6" s="1"/>
  <c r="H50" i="6"/>
  <c r="J50" i="6" s="1"/>
  <c r="H49" i="6"/>
  <c r="J49" i="6" s="1"/>
  <c r="I48" i="6"/>
  <c r="M48" i="6" s="1"/>
  <c r="G48" i="6"/>
  <c r="C48" i="6"/>
  <c r="H47" i="6"/>
  <c r="J47" i="6" s="1"/>
  <c r="H46" i="6"/>
  <c r="J46" i="6" s="1"/>
  <c r="H45" i="6"/>
  <c r="J45" i="6" s="1"/>
  <c r="H44" i="6"/>
  <c r="I43" i="6"/>
  <c r="I31" i="6" s="1"/>
  <c r="G43" i="6"/>
  <c r="E43" i="6"/>
  <c r="E31" i="6" s="1"/>
  <c r="C43" i="6"/>
  <c r="J41" i="6"/>
  <c r="F41" i="6"/>
  <c r="G33" i="6"/>
  <c r="C33" i="6"/>
  <c r="H32" i="6"/>
  <c r="J32" i="6" s="1"/>
  <c r="D32" i="6"/>
  <c r="F32" i="6" s="1"/>
  <c r="H30" i="6"/>
  <c r="J30" i="6" s="1"/>
  <c r="D30" i="6"/>
  <c r="F30" i="6" s="1"/>
  <c r="H29" i="6"/>
  <c r="J29" i="6" s="1"/>
  <c r="D29" i="6"/>
  <c r="F29" i="6" s="1"/>
  <c r="H28" i="6"/>
  <c r="J28" i="6" s="1"/>
  <c r="D28" i="6"/>
  <c r="F28" i="6" s="1"/>
  <c r="H27" i="6"/>
  <c r="J27" i="6" s="1"/>
  <c r="D27" i="6"/>
  <c r="F27" i="6" s="1"/>
  <c r="H26" i="6"/>
  <c r="J26" i="6" s="1"/>
  <c r="H24" i="6"/>
  <c r="J24" i="6" s="1"/>
  <c r="D24" i="6"/>
  <c r="F24" i="6" s="1"/>
  <c r="H22" i="6"/>
  <c r="J22" i="6" s="1"/>
  <c r="D22" i="6"/>
  <c r="F22" i="6" s="1"/>
  <c r="J21" i="6"/>
  <c r="D21" i="6"/>
  <c r="F21" i="6" s="1"/>
  <c r="J20" i="6"/>
  <c r="D20" i="6"/>
  <c r="F20" i="6" s="1"/>
  <c r="H19" i="6"/>
  <c r="J19" i="6" s="1"/>
  <c r="D19" i="6"/>
  <c r="F19" i="6" s="1"/>
  <c r="J18" i="6"/>
  <c r="D18" i="6"/>
  <c r="F18" i="6" s="1"/>
  <c r="J17" i="6"/>
  <c r="D17" i="6"/>
  <c r="F17" i="6" s="1"/>
  <c r="H16" i="6"/>
  <c r="J16" i="6" s="1"/>
  <c r="D16" i="6"/>
  <c r="F16" i="6" s="1"/>
  <c r="J15" i="6"/>
  <c r="D15" i="6"/>
  <c r="F15" i="6" s="1"/>
  <c r="H14" i="6"/>
  <c r="J14" i="6" s="1"/>
  <c r="D14" i="6"/>
  <c r="F14" i="6" s="1"/>
  <c r="H13" i="6"/>
  <c r="J13" i="6" s="1"/>
  <c r="D13" i="6"/>
  <c r="F13" i="6" s="1"/>
  <c r="I12" i="6"/>
  <c r="G12" i="6"/>
  <c r="G23" i="6" s="1"/>
  <c r="E12" i="6"/>
  <c r="C12" i="6"/>
  <c r="C23" i="6" s="1"/>
  <c r="BE88" i="5"/>
  <c r="BA84" i="7" s="1"/>
  <c r="BE85" i="5"/>
  <c r="BA81" i="7" s="1"/>
  <c r="BE84" i="5"/>
  <c r="BA80" i="7" s="1"/>
  <c r="BE81" i="5"/>
  <c r="BA77" i="7" s="1"/>
  <c r="BE80" i="5"/>
  <c r="BA76" i="7" s="1"/>
  <c r="BE79" i="5"/>
  <c r="BA75" i="7" s="1"/>
  <c r="BE78" i="5"/>
  <c r="BA74" i="7" s="1"/>
  <c r="BE77" i="5"/>
  <c r="BA73" i="7" s="1"/>
  <c r="BE76" i="5"/>
  <c r="BA72" i="7" s="1"/>
  <c r="BE75" i="5"/>
  <c r="BA71" i="7" s="1"/>
  <c r="BE73" i="5"/>
  <c r="BA69" i="7" s="1"/>
  <c r="BE72" i="5"/>
  <c r="BE71" i="5"/>
  <c r="BE69" i="5"/>
  <c r="BE68" i="5"/>
  <c r="BE67" i="5"/>
  <c r="BE66" i="5"/>
  <c r="BE65" i="5"/>
  <c r="BE64" i="5"/>
  <c r="BE63" i="5"/>
  <c r="BE62" i="5"/>
  <c r="BE61" i="5"/>
  <c r="BE60" i="5"/>
  <c r="BE59" i="5"/>
  <c r="BE58" i="5"/>
  <c r="BE57" i="5"/>
  <c r="BE56" i="5"/>
  <c r="BE54" i="5"/>
  <c r="BA50" i="7" s="1"/>
  <c r="BE52" i="5"/>
  <c r="BE51" i="5"/>
  <c r="BE50" i="5"/>
  <c r="BE49" i="5"/>
  <c r="BE47" i="5"/>
  <c r="BA43" i="7" s="1"/>
  <c r="BE46" i="5"/>
  <c r="BA42" i="7" s="1"/>
  <c r="BE45" i="5"/>
  <c r="BA41" i="7" s="1"/>
  <c r="BE44" i="5"/>
  <c r="BA40" i="7" s="1"/>
  <c r="BE41" i="5"/>
  <c r="BE39" i="5"/>
  <c r="BE38" i="5"/>
  <c r="BE37" i="5"/>
  <c r="BE36" i="5"/>
  <c r="BE35" i="5"/>
  <c r="BE34" i="5"/>
  <c r="BE32" i="5"/>
  <c r="BA28" i="7" s="1"/>
  <c r="BE30" i="5"/>
  <c r="BA26" i="7" s="1"/>
  <c r="BE29" i="5"/>
  <c r="BA25" i="7" s="1"/>
  <c r="BE28" i="5"/>
  <c r="BA24" i="7" s="1"/>
  <c r="BE27" i="5"/>
  <c r="BA23" i="7" s="1"/>
  <c r="BE26" i="5"/>
  <c r="BA22" i="7" s="1"/>
  <c r="BE24" i="5"/>
  <c r="BA20" i="7" s="1"/>
  <c r="BE22" i="5"/>
  <c r="BA18" i="7" s="1"/>
  <c r="BE21" i="5"/>
  <c r="BE20" i="5"/>
  <c r="BE19" i="5"/>
  <c r="BA15" i="7" s="1"/>
  <c r="BE18" i="5"/>
  <c r="BE17" i="5"/>
  <c r="BE16" i="5"/>
  <c r="BA12" i="7" s="1"/>
  <c r="BE15" i="5"/>
  <c r="BA11" i="7" s="1"/>
  <c r="BE14" i="5"/>
  <c r="BA10" i="7" s="1"/>
  <c r="BE13" i="5"/>
  <c r="BA9" i="7" s="1"/>
  <c r="BC88" i="5"/>
  <c r="AY84" i="7" s="1"/>
  <c r="BC85" i="5"/>
  <c r="AY81" i="7" s="1"/>
  <c r="BC84" i="5"/>
  <c r="AY80" i="7" s="1"/>
  <c r="BC81" i="5"/>
  <c r="AY77" i="7" s="1"/>
  <c r="BC80" i="5"/>
  <c r="AY76" i="7" s="1"/>
  <c r="BC79" i="5"/>
  <c r="AY75" i="7" s="1"/>
  <c r="BC78" i="5"/>
  <c r="AY74" i="7" s="1"/>
  <c r="BC77" i="5"/>
  <c r="AY73" i="7" s="1"/>
  <c r="BC76" i="5"/>
  <c r="AY72" i="7" s="1"/>
  <c r="BC75" i="5"/>
  <c r="AY71" i="7" s="1"/>
  <c r="BC73" i="5"/>
  <c r="AY69" i="7" s="1"/>
  <c r="BC72" i="5"/>
  <c r="AY68" i="7" s="1"/>
  <c r="BC71" i="5"/>
  <c r="AY67" i="7" s="1"/>
  <c r="BC69" i="5"/>
  <c r="AY65" i="7" s="1"/>
  <c r="BC68" i="5"/>
  <c r="AY64" i="7" s="1"/>
  <c r="BC67" i="5"/>
  <c r="AY63" i="7" s="1"/>
  <c r="BC66" i="5"/>
  <c r="AY62" i="7" s="1"/>
  <c r="BC65" i="5"/>
  <c r="AY61" i="7" s="1"/>
  <c r="BC64" i="5"/>
  <c r="AY60" i="7" s="1"/>
  <c r="BC63" i="5"/>
  <c r="AY59" i="7" s="1"/>
  <c r="BC62" i="5"/>
  <c r="AY58" i="7" s="1"/>
  <c r="BC61" i="5"/>
  <c r="AY57" i="7" s="1"/>
  <c r="BC60" i="5"/>
  <c r="AY56" i="7" s="1"/>
  <c r="BC59" i="5"/>
  <c r="AY55" i="7" s="1"/>
  <c r="BC58" i="5"/>
  <c r="AY54" i="7" s="1"/>
  <c r="BC57" i="5"/>
  <c r="AY53" i="7" s="1"/>
  <c r="BC56" i="5"/>
  <c r="AY52" i="7" s="1"/>
  <c r="BC54" i="5"/>
  <c r="AY50" i="7" s="1"/>
  <c r="BC52" i="5"/>
  <c r="AY48" i="7" s="1"/>
  <c r="BC51" i="5"/>
  <c r="AY47" i="7" s="1"/>
  <c r="BC50" i="5"/>
  <c r="AY46" i="7" s="1"/>
  <c r="BC49" i="5"/>
  <c r="AY45" i="7" s="1"/>
  <c r="BC47" i="5"/>
  <c r="AY43" i="7" s="1"/>
  <c r="BC46" i="5"/>
  <c r="AY42" i="7" s="1"/>
  <c r="BC45" i="5"/>
  <c r="AY41" i="7" s="1"/>
  <c r="BC44" i="5"/>
  <c r="AY40" i="7" s="1"/>
  <c r="BC41" i="5"/>
  <c r="AY37" i="7" s="1"/>
  <c r="BC39" i="5"/>
  <c r="AY35" i="7" s="1"/>
  <c r="BC38" i="5"/>
  <c r="AY34" i="7" s="1"/>
  <c r="BC37" i="5"/>
  <c r="AY33" i="7" s="1"/>
  <c r="BC36" i="5"/>
  <c r="AY32" i="7" s="1"/>
  <c r="BC35" i="5"/>
  <c r="AY31" i="7" s="1"/>
  <c r="BC34" i="5"/>
  <c r="AY30" i="7" s="1"/>
  <c r="BC32" i="5"/>
  <c r="AY28" i="7" s="1"/>
  <c r="BC30" i="5"/>
  <c r="AY26" i="7" s="1"/>
  <c r="BC29" i="5"/>
  <c r="AY25" i="7" s="1"/>
  <c r="BC28" i="5"/>
  <c r="AY24" i="7" s="1"/>
  <c r="BC27" i="5"/>
  <c r="AY23" i="7" s="1"/>
  <c r="BC26" i="5"/>
  <c r="AY22" i="7" s="1"/>
  <c r="BC24" i="5"/>
  <c r="AY20" i="7" s="1"/>
  <c r="BC22" i="5"/>
  <c r="AY18" i="7" s="1"/>
  <c r="BC21" i="5"/>
  <c r="AY17" i="7" s="1"/>
  <c r="BC20" i="5"/>
  <c r="AY16" i="7" s="1"/>
  <c r="BC19" i="5"/>
  <c r="AY15" i="7" s="1"/>
  <c r="BC18" i="5"/>
  <c r="AY14" i="7" s="1"/>
  <c r="BC17" i="5"/>
  <c r="AY13" i="7" s="1"/>
  <c r="BC16" i="5"/>
  <c r="AY12" i="7" s="1"/>
  <c r="BC15" i="5"/>
  <c r="AY11" i="7" s="1"/>
  <c r="BC14" i="5"/>
  <c r="AY10" i="7" s="1"/>
  <c r="BC13" i="5"/>
  <c r="AY9" i="7" s="1"/>
  <c r="K23" i="6" l="1"/>
  <c r="BG19" i="7" s="1"/>
  <c r="M86" i="6"/>
  <c r="BI82" i="7" s="1"/>
  <c r="AC48" i="6"/>
  <c r="BM44" i="7" s="1"/>
  <c r="AI23" i="6"/>
  <c r="BS19" i="7" s="1"/>
  <c r="BS8" i="7"/>
  <c r="AF86" i="6"/>
  <c r="AH86" i="6" s="1"/>
  <c r="AE23" i="6"/>
  <c r="BO19" i="7" s="1"/>
  <c r="BO8" i="7"/>
  <c r="AM23" i="6"/>
  <c r="BW19" i="7" s="1"/>
  <c r="BW8" i="7"/>
  <c r="AJ43" i="6"/>
  <c r="AL43" i="6" s="1"/>
  <c r="BV39" i="7" s="1"/>
  <c r="H55" i="6"/>
  <c r="J55" i="6" s="1"/>
  <c r="K55" i="6"/>
  <c r="BG51" i="7" s="1"/>
  <c r="H70" i="6"/>
  <c r="J70" i="6" s="1"/>
  <c r="K70" i="6"/>
  <c r="BG66" i="7" s="1"/>
  <c r="H86" i="6"/>
  <c r="J86" i="6" s="1"/>
  <c r="K86" i="6"/>
  <c r="BG82" i="7" s="1"/>
  <c r="AA86" i="6"/>
  <c r="BK82" i="7" s="1"/>
  <c r="T86" i="6"/>
  <c r="BP29" i="7"/>
  <c r="BO29" i="7"/>
  <c r="BX29" i="7"/>
  <c r="BW29" i="7"/>
  <c r="AB43" i="6"/>
  <c r="K33" i="6"/>
  <c r="BG29" i="7" s="1"/>
  <c r="U31" i="6"/>
  <c r="AC43" i="6"/>
  <c r="BM39" i="7" s="1"/>
  <c r="AC86" i="6"/>
  <c r="BM82" i="7" s="1"/>
  <c r="AA43" i="6"/>
  <c r="BK39" i="7" s="1"/>
  <c r="AO31" i="6"/>
  <c r="AJ48" i="6"/>
  <c r="BT44" i="7" s="1"/>
  <c r="AQ86" i="6"/>
  <c r="BL81" i="7"/>
  <c r="AD85" i="6"/>
  <c r="BN81" i="7" s="1"/>
  <c r="BL80" i="7"/>
  <c r="AD84" i="6"/>
  <c r="BN80" i="7" s="1"/>
  <c r="BL84" i="7"/>
  <c r="AD88" i="6"/>
  <c r="BN84" i="7" s="1"/>
  <c r="BL76" i="7"/>
  <c r="AD80" i="6"/>
  <c r="BN76" i="7" s="1"/>
  <c r="H48" i="6"/>
  <c r="J48" i="6" s="1"/>
  <c r="K48" i="6"/>
  <c r="BG44" i="7" s="1"/>
  <c r="H74" i="6"/>
  <c r="J74" i="6" s="1"/>
  <c r="K74" i="6"/>
  <c r="BG70" i="7" s="1"/>
  <c r="BT29" i="7"/>
  <c r="BS29" i="7"/>
  <c r="H43" i="6"/>
  <c r="J43" i="6" s="1"/>
  <c r="K43" i="6"/>
  <c r="BG39" i="7" s="1"/>
  <c r="AK31" i="6"/>
  <c r="BU39" i="7"/>
  <c r="AJ86" i="6"/>
  <c r="AL86" i="6" s="1"/>
  <c r="BV82" i="7" s="1"/>
  <c r="BL75" i="7"/>
  <c r="AD79" i="6"/>
  <c r="BN75" i="7" s="1"/>
  <c r="BL77" i="7"/>
  <c r="AD81" i="6"/>
  <c r="BN77" i="7" s="1"/>
  <c r="AG31" i="6"/>
  <c r="F56" i="6"/>
  <c r="AH56" i="6"/>
  <c r="BR52" i="7" s="1"/>
  <c r="AL59" i="6"/>
  <c r="AK53" i="6"/>
  <c r="BU49" i="7" s="1"/>
  <c r="AD34" i="6"/>
  <c r="BN30" i="7" s="1"/>
  <c r="AD38" i="6"/>
  <c r="BN34" i="7" s="1"/>
  <c r="BP75" i="7"/>
  <c r="AH79" i="6"/>
  <c r="BR75" i="7" s="1"/>
  <c r="BX77" i="7"/>
  <c r="AP81" i="6"/>
  <c r="BX76" i="7"/>
  <c r="AP80" i="6"/>
  <c r="BZ76" i="7" s="1"/>
  <c r="BT84" i="7"/>
  <c r="AL88" i="6"/>
  <c r="BT74" i="7"/>
  <c r="AL78" i="6"/>
  <c r="BV74" i="7" s="1"/>
  <c r="BX75" i="7"/>
  <c r="AP79" i="6"/>
  <c r="BP77" i="7"/>
  <c r="AH81" i="6"/>
  <c r="BR77" i="7" s="1"/>
  <c r="BX81" i="7"/>
  <c r="AP85" i="6"/>
  <c r="BX82" i="7"/>
  <c r="AP86" i="6"/>
  <c r="BZ82" i="7" s="1"/>
  <c r="BX84" i="7"/>
  <c r="AP88" i="6"/>
  <c r="BX74" i="7"/>
  <c r="AP78" i="6"/>
  <c r="BZ74" i="7" s="1"/>
  <c r="BX80" i="7"/>
  <c r="AP84" i="6"/>
  <c r="BX11" i="7"/>
  <c r="AP15" i="6"/>
  <c r="BZ11" i="7" s="1"/>
  <c r="BX15" i="7"/>
  <c r="AP19" i="6"/>
  <c r="BX20" i="7"/>
  <c r="AP24" i="6"/>
  <c r="BZ20" i="7" s="1"/>
  <c r="BP23" i="7"/>
  <c r="AH27" i="6"/>
  <c r="BR23" i="7" s="1"/>
  <c r="BX25" i="7"/>
  <c r="AP29" i="6"/>
  <c r="BZ25" i="7" s="1"/>
  <c r="BT43" i="7"/>
  <c r="AL47" i="6"/>
  <c r="AL48" i="6"/>
  <c r="BV44" i="7" s="1"/>
  <c r="BX55" i="7"/>
  <c r="AP59" i="6"/>
  <c r="BX59" i="7"/>
  <c r="AP63" i="6"/>
  <c r="BZ59" i="7" s="1"/>
  <c r="BX63" i="7"/>
  <c r="AP67" i="6"/>
  <c r="BP68" i="7"/>
  <c r="AH72" i="6"/>
  <c r="BR68" i="7" s="1"/>
  <c r="BT72" i="7"/>
  <c r="AL76" i="6"/>
  <c r="BX73" i="7"/>
  <c r="AP77" i="6"/>
  <c r="BZ73" i="7" s="1"/>
  <c r="AD17" i="6"/>
  <c r="BN13" i="7" s="1"/>
  <c r="AD15" i="6"/>
  <c r="BN11" i="7" s="1"/>
  <c r="AD18" i="6"/>
  <c r="BN14" i="7" s="1"/>
  <c r="AD37" i="6"/>
  <c r="BN33" i="7" s="1"/>
  <c r="AD36" i="6"/>
  <c r="BN32" i="7" s="1"/>
  <c r="AD35" i="6"/>
  <c r="AD51" i="6"/>
  <c r="AD69" i="6"/>
  <c r="BN65" i="7" s="1"/>
  <c r="AD61" i="6"/>
  <c r="BN57" i="7" s="1"/>
  <c r="AD66" i="6"/>
  <c r="BN62" i="7" s="1"/>
  <c r="AD64" i="6"/>
  <c r="BN60" i="7" s="1"/>
  <c r="AD56" i="6"/>
  <c r="BN52" i="7" s="1"/>
  <c r="AD67" i="6"/>
  <c r="BN63" i="7" s="1"/>
  <c r="AD59" i="6"/>
  <c r="AD72" i="6"/>
  <c r="AD75" i="6"/>
  <c r="BN71" i="7" s="1"/>
  <c r="AD76" i="6"/>
  <c r="BN72" i="7" s="1"/>
  <c r="BX14" i="7"/>
  <c r="AP18" i="6"/>
  <c r="BP16" i="7"/>
  <c r="AH20" i="6"/>
  <c r="BR16" i="7" s="1"/>
  <c r="BX18" i="7"/>
  <c r="AP22" i="6"/>
  <c r="BZ18" i="7" s="1"/>
  <c r="BT23" i="7"/>
  <c r="AL27" i="6"/>
  <c r="BV23" i="7" s="1"/>
  <c r="BX24" i="7"/>
  <c r="AP28" i="6"/>
  <c r="BT39" i="7"/>
  <c r="BX54" i="7"/>
  <c r="AP58" i="6"/>
  <c r="BP56" i="7"/>
  <c r="AH60" i="6"/>
  <c r="BR56" i="7" s="1"/>
  <c r="BX58" i="7"/>
  <c r="AP62" i="6"/>
  <c r="BP60" i="7"/>
  <c r="AH64" i="6"/>
  <c r="BR60" i="7" s="1"/>
  <c r="BX62" i="7"/>
  <c r="AP66" i="6"/>
  <c r="BZ62" i="7" s="1"/>
  <c r="BX69" i="7"/>
  <c r="AP73" i="6"/>
  <c r="BZ69" i="7" s="1"/>
  <c r="BX72" i="7"/>
  <c r="AP76" i="6"/>
  <c r="BL22" i="7"/>
  <c r="AD26" i="6"/>
  <c r="BN22" i="7" s="1"/>
  <c r="BL25" i="7"/>
  <c r="AD29" i="6"/>
  <c r="BN25" i="7" s="1"/>
  <c r="BL15" i="7"/>
  <c r="AD19" i="6"/>
  <c r="BN15" i="7" s="1"/>
  <c r="BL24" i="7"/>
  <c r="AD28" i="6"/>
  <c r="BN24" i="7" s="1"/>
  <c r="BL10" i="7"/>
  <c r="AD14" i="6"/>
  <c r="BN10" i="7" s="1"/>
  <c r="BL69" i="7"/>
  <c r="AD73" i="6"/>
  <c r="BN69" i="7" s="1"/>
  <c r="BL23" i="7"/>
  <c r="AD27" i="6"/>
  <c r="BN23" i="7" s="1"/>
  <c r="BX9" i="7"/>
  <c r="AP13" i="6"/>
  <c r="BZ9" i="7" s="1"/>
  <c r="BX13" i="7"/>
  <c r="AP17" i="6"/>
  <c r="BZ13" i="7" s="1"/>
  <c r="BX17" i="7"/>
  <c r="AP21" i="6"/>
  <c r="BX23" i="7"/>
  <c r="AP27" i="6"/>
  <c r="BZ23" i="7" s="1"/>
  <c r="BT26" i="7"/>
  <c r="AL30" i="6"/>
  <c r="BV26" i="7" s="1"/>
  <c r="BX28" i="7"/>
  <c r="AP32" i="6"/>
  <c r="BZ28" i="7" s="1"/>
  <c r="BX53" i="7"/>
  <c r="AP57" i="6"/>
  <c r="BX57" i="7"/>
  <c r="AP61" i="6"/>
  <c r="BZ57" i="7" s="1"/>
  <c r="BX61" i="7"/>
  <c r="AP65" i="6"/>
  <c r="BZ61" i="7" s="1"/>
  <c r="BX65" i="7"/>
  <c r="AP69" i="6"/>
  <c r="BZ65" i="7" s="1"/>
  <c r="BX68" i="7"/>
  <c r="AP72" i="6"/>
  <c r="BZ68" i="7" s="1"/>
  <c r="BP73" i="7"/>
  <c r="AH77" i="6"/>
  <c r="BR73" i="7" s="1"/>
  <c r="AD16" i="6"/>
  <c r="BN12" i="7" s="1"/>
  <c r="AD20" i="6"/>
  <c r="BN16" i="7" s="1"/>
  <c r="AD21" i="6"/>
  <c r="BN17" i="7" s="1"/>
  <c r="AD41" i="6"/>
  <c r="BN37" i="7" s="1"/>
  <c r="AD39" i="6"/>
  <c r="BN35" i="7" s="1"/>
  <c r="AD52" i="6"/>
  <c r="BN48" i="7" s="1"/>
  <c r="AD54" i="6"/>
  <c r="AD65" i="6"/>
  <c r="BN61" i="7" s="1"/>
  <c r="AD57" i="6"/>
  <c r="BN53" i="7" s="1"/>
  <c r="AD68" i="6"/>
  <c r="BN64" i="7" s="1"/>
  <c r="AD60" i="6"/>
  <c r="BN56" i="7" s="1"/>
  <c r="AD62" i="6"/>
  <c r="BN58" i="7" s="1"/>
  <c r="AD63" i="6"/>
  <c r="BN59" i="7" s="1"/>
  <c r="AD58" i="6"/>
  <c r="BN54" i="7" s="1"/>
  <c r="AD71" i="6"/>
  <c r="BN67" i="7" s="1"/>
  <c r="AD77" i="6"/>
  <c r="BN73" i="7" s="1"/>
  <c r="L44" i="6"/>
  <c r="N44" i="6" s="1"/>
  <c r="BJ40" i="7" s="1"/>
  <c r="J44" i="6"/>
  <c r="BX12" i="7"/>
  <c r="AP16" i="6"/>
  <c r="BZ12" i="7" s="1"/>
  <c r="BX16" i="7"/>
  <c r="AP20" i="6"/>
  <c r="BZ16" i="7" s="1"/>
  <c r="BT20" i="7"/>
  <c r="AL24" i="6"/>
  <c r="BV20" i="7" s="1"/>
  <c r="BX22" i="7"/>
  <c r="AP26" i="6"/>
  <c r="BZ22" i="7" s="1"/>
  <c r="BX26" i="7"/>
  <c r="AP30" i="6"/>
  <c r="BZ26" i="7" s="1"/>
  <c r="AF31" i="6"/>
  <c r="AH31" i="6" s="1"/>
  <c r="BR37" i="7"/>
  <c r="BP54" i="7"/>
  <c r="AH58" i="6"/>
  <c r="BR54" i="7" s="1"/>
  <c r="BX56" i="7"/>
  <c r="AP60" i="6"/>
  <c r="BZ56" i="7" s="1"/>
  <c r="BX60" i="7"/>
  <c r="AP64" i="6"/>
  <c r="BZ60" i="7" s="1"/>
  <c r="BT63" i="7"/>
  <c r="AL67" i="6"/>
  <c r="BV63" i="7" s="1"/>
  <c r="BX64" i="7"/>
  <c r="AP68" i="6"/>
  <c r="BZ64" i="7" s="1"/>
  <c r="BL26" i="7"/>
  <c r="AD30" i="6"/>
  <c r="BN26" i="7" s="1"/>
  <c r="BL20" i="7"/>
  <c r="AD24" i="6"/>
  <c r="BN20" i="7" s="1"/>
  <c r="BL18" i="7"/>
  <c r="AD22" i="6"/>
  <c r="BN18" i="7" s="1"/>
  <c r="BL74" i="7"/>
  <c r="AD78" i="6"/>
  <c r="BN74" i="7" s="1"/>
  <c r="BL28" i="7"/>
  <c r="AD32" i="6"/>
  <c r="BN28" i="7" s="1"/>
  <c r="BL9" i="7"/>
  <c r="AD13" i="6"/>
  <c r="BN9" i="7" s="1"/>
  <c r="BY66" i="7"/>
  <c r="BY70" i="7"/>
  <c r="BY51" i="7"/>
  <c r="BY44" i="7"/>
  <c r="AP48" i="6"/>
  <c r="BY39" i="7"/>
  <c r="AP43" i="6"/>
  <c r="BZ39" i="7" s="1"/>
  <c r="BQ70" i="7"/>
  <c r="BQ66" i="7"/>
  <c r="BQ51" i="7"/>
  <c r="AG53" i="6"/>
  <c r="BQ49" i="7" s="1"/>
  <c r="BQ44" i="7"/>
  <c r="AH48" i="6"/>
  <c r="BQ39" i="7"/>
  <c r="AH43" i="6"/>
  <c r="Y53" i="6"/>
  <c r="Z53" i="6" s="1"/>
  <c r="Z55" i="6"/>
  <c r="Y23" i="6"/>
  <c r="Z23" i="6" s="1"/>
  <c r="Z12" i="6"/>
  <c r="I23" i="6"/>
  <c r="M74" i="6"/>
  <c r="F74" i="6"/>
  <c r="M70" i="6"/>
  <c r="M55" i="6"/>
  <c r="BI44" i="7"/>
  <c r="M43" i="6"/>
  <c r="AS43" i="6" s="1"/>
  <c r="F43" i="6"/>
  <c r="E23" i="6"/>
  <c r="BA67" i="7"/>
  <c r="BA68" i="7"/>
  <c r="BA63" i="7"/>
  <c r="BA48" i="7"/>
  <c r="BA45" i="7"/>
  <c r="BA46" i="7"/>
  <c r="BA47" i="7"/>
  <c r="BA37" i="7"/>
  <c r="BA17" i="7"/>
  <c r="BA16" i="7"/>
  <c r="BA14" i="7"/>
  <c r="BA13" i="7"/>
  <c r="AO53" i="6"/>
  <c r="BN31" i="7"/>
  <c r="AQ43" i="6"/>
  <c r="BN55" i="7"/>
  <c r="BN50" i="7"/>
  <c r="S23" i="6"/>
  <c r="T23" i="6" s="1"/>
  <c r="V23" i="6" s="1"/>
  <c r="T12" i="6"/>
  <c r="V12" i="6" s="1"/>
  <c r="AA74" i="6"/>
  <c r="P74" i="6"/>
  <c r="BN68" i="7"/>
  <c r="AA70" i="6"/>
  <c r="P70" i="6"/>
  <c r="P55" i="6"/>
  <c r="AA55" i="6"/>
  <c r="BN47" i="7"/>
  <c r="P48" i="6"/>
  <c r="AA48" i="6"/>
  <c r="AA33" i="6"/>
  <c r="P33" i="6"/>
  <c r="O23" i="6"/>
  <c r="AA12" i="6"/>
  <c r="BK8" i="7" s="1"/>
  <c r="P12" i="6"/>
  <c r="AF70" i="6"/>
  <c r="AH70" i="6" s="1"/>
  <c r="BR66" i="7" s="1"/>
  <c r="AF74" i="6"/>
  <c r="AH74" i="6" s="1"/>
  <c r="H12" i="6"/>
  <c r="J12" i="6" s="1"/>
  <c r="BX52" i="7"/>
  <c r="AN55" i="6"/>
  <c r="AP55" i="6" s="1"/>
  <c r="AJ55" i="6"/>
  <c r="BT67" i="7"/>
  <c r="AJ70" i="6"/>
  <c r="AJ74" i="6"/>
  <c r="D12" i="6"/>
  <c r="F12" i="6" s="1"/>
  <c r="D55" i="6"/>
  <c r="F55" i="6" s="1"/>
  <c r="AF12" i="6"/>
  <c r="AH12" i="6" s="1"/>
  <c r="AF55" i="6"/>
  <c r="BX67" i="7"/>
  <c r="AN70" i="6"/>
  <c r="BX66" i="7" s="1"/>
  <c r="BX71" i="7"/>
  <c r="AN74" i="6"/>
  <c r="BX70" i="7" s="1"/>
  <c r="D70" i="6"/>
  <c r="F70" i="6" s="1"/>
  <c r="BX10" i="7"/>
  <c r="AN12" i="6"/>
  <c r="AP12" i="6" s="1"/>
  <c r="BX37" i="7"/>
  <c r="AN31" i="6"/>
  <c r="D31" i="6"/>
  <c r="AJ31" i="6"/>
  <c r="AL31" i="6" s="1"/>
  <c r="AS48" i="6"/>
  <c r="AC74" i="6"/>
  <c r="L71" i="6"/>
  <c r="L80" i="6"/>
  <c r="L72" i="6"/>
  <c r="BH68" i="7" s="1"/>
  <c r="BU27" i="7"/>
  <c r="BQ27" i="7"/>
  <c r="BR10" i="7"/>
  <c r="BP10" i="7"/>
  <c r="BV11" i="7"/>
  <c r="BT11" i="7"/>
  <c r="BR14" i="7"/>
  <c r="BP14" i="7"/>
  <c r="BV15" i="7"/>
  <c r="BT15" i="7"/>
  <c r="BR18" i="7"/>
  <c r="BP18" i="7"/>
  <c r="BR20" i="7"/>
  <c r="BP20" i="7"/>
  <c r="BR22" i="7"/>
  <c r="BP22" i="7"/>
  <c r="BR26" i="7"/>
  <c r="BP26" i="7"/>
  <c r="BV30" i="7"/>
  <c r="BT30" i="7"/>
  <c r="BR33" i="7"/>
  <c r="BP33" i="7"/>
  <c r="BV34" i="7"/>
  <c r="BT34" i="7"/>
  <c r="BV40" i="7"/>
  <c r="BT40" i="7"/>
  <c r="BV42" i="7"/>
  <c r="BT42" i="7"/>
  <c r="BV45" i="7"/>
  <c r="BT45" i="7"/>
  <c r="BV47" i="7"/>
  <c r="BT47" i="7"/>
  <c r="BR57" i="7"/>
  <c r="BP57" i="7"/>
  <c r="BV58" i="7"/>
  <c r="BT58" i="7"/>
  <c r="BR65" i="7"/>
  <c r="BP65" i="7"/>
  <c r="BR71" i="7"/>
  <c r="BP71" i="7"/>
  <c r="BV76" i="7"/>
  <c r="BT76" i="7"/>
  <c r="BV77" i="7"/>
  <c r="BT77" i="7"/>
  <c r="BV80" i="7"/>
  <c r="BT80" i="7"/>
  <c r="BR9" i="7"/>
  <c r="BP9" i="7"/>
  <c r="BV10" i="7"/>
  <c r="BT10" i="7"/>
  <c r="BR13" i="7"/>
  <c r="BP13" i="7"/>
  <c r="BV14" i="7"/>
  <c r="BT14" i="7"/>
  <c r="BR17" i="7"/>
  <c r="BP17" i="7"/>
  <c r="BV18" i="7"/>
  <c r="BT18" i="7"/>
  <c r="BV22" i="7"/>
  <c r="BT22" i="7"/>
  <c r="BR25" i="7"/>
  <c r="BP25" i="7"/>
  <c r="BR32" i="7"/>
  <c r="BP32" i="7"/>
  <c r="BV33" i="7"/>
  <c r="BT33" i="7"/>
  <c r="BP37" i="7"/>
  <c r="BR55" i="7"/>
  <c r="BP55" i="7"/>
  <c r="BV57" i="7"/>
  <c r="BT57" i="7"/>
  <c r="BR62" i="7"/>
  <c r="BP62" i="7"/>
  <c r="BR63" i="7"/>
  <c r="BP63" i="7"/>
  <c r="BR64" i="7"/>
  <c r="BP64" i="7"/>
  <c r="BV65" i="7"/>
  <c r="BT65" i="7"/>
  <c r="BR67" i="7"/>
  <c r="BP67" i="7"/>
  <c r="BR69" i="7"/>
  <c r="BP69" i="7"/>
  <c r="BV71" i="7"/>
  <c r="BT71" i="7"/>
  <c r="BV72" i="7"/>
  <c r="BV73" i="7"/>
  <c r="BT73" i="7"/>
  <c r="BV75" i="7"/>
  <c r="BT75" i="7"/>
  <c r="BZ81" i="7"/>
  <c r="BV84" i="7"/>
  <c r="L54" i="6"/>
  <c r="N54" i="6" s="1"/>
  <c r="L81" i="6"/>
  <c r="BV9" i="7"/>
  <c r="BT9" i="7"/>
  <c r="BR12" i="7"/>
  <c r="BP12" i="7"/>
  <c r="BV13" i="7"/>
  <c r="BT13" i="7"/>
  <c r="BV17" i="7"/>
  <c r="BT17" i="7"/>
  <c r="BR24" i="7"/>
  <c r="BP24" i="7"/>
  <c r="BV25" i="7"/>
  <c r="BT25" i="7"/>
  <c r="BR28" i="7"/>
  <c r="BP28" i="7"/>
  <c r="BR31" i="7"/>
  <c r="BP31" i="7"/>
  <c r="BV32" i="7"/>
  <c r="BT32" i="7"/>
  <c r="BR35" i="7"/>
  <c r="BP35" i="7"/>
  <c r="BV37" i="7"/>
  <c r="BT37" i="7"/>
  <c r="BV41" i="7"/>
  <c r="BT41" i="7"/>
  <c r="BV46" i="7"/>
  <c r="BT46" i="7"/>
  <c r="BR50" i="7"/>
  <c r="BP50" i="7"/>
  <c r="BR53" i="7"/>
  <c r="BP53" i="7"/>
  <c r="BV55" i="7"/>
  <c r="BT55" i="7"/>
  <c r="BV56" i="7"/>
  <c r="BT56" i="7"/>
  <c r="BR59" i="7"/>
  <c r="BP59" i="7"/>
  <c r="BR61" i="7"/>
  <c r="BP61" i="7"/>
  <c r="BV62" i="7"/>
  <c r="BT62" i="7"/>
  <c r="BV64" i="7"/>
  <c r="BT64" i="7"/>
  <c r="BV69" i="7"/>
  <c r="BT69" i="7"/>
  <c r="BZ77" i="7"/>
  <c r="BR81" i="7"/>
  <c r="BP81" i="7"/>
  <c r="L63" i="6"/>
  <c r="N63" i="6" s="1"/>
  <c r="BR11" i="7"/>
  <c r="BP11" i="7"/>
  <c r="BV12" i="7"/>
  <c r="BT12" i="7"/>
  <c r="BR15" i="7"/>
  <c r="BP15" i="7"/>
  <c r="BV16" i="7"/>
  <c r="BT16" i="7"/>
  <c r="BV24" i="7"/>
  <c r="BT24" i="7"/>
  <c r="BV28" i="7"/>
  <c r="BT28" i="7"/>
  <c r="BR30" i="7"/>
  <c r="BP30" i="7"/>
  <c r="BV31" i="7"/>
  <c r="BT31" i="7"/>
  <c r="BR34" i="7"/>
  <c r="BP34" i="7"/>
  <c r="BV35" i="7"/>
  <c r="BT35" i="7"/>
  <c r="BV43" i="7"/>
  <c r="BV48" i="7"/>
  <c r="BT48" i="7"/>
  <c r="BP52" i="7"/>
  <c r="BR58" i="7"/>
  <c r="BP58" i="7"/>
  <c r="BV59" i="7"/>
  <c r="BT59" i="7"/>
  <c r="BV60" i="7"/>
  <c r="BT60" i="7"/>
  <c r="BV61" i="7"/>
  <c r="BT61" i="7"/>
  <c r="BV67" i="7"/>
  <c r="BV68" i="7"/>
  <c r="BT68" i="7"/>
  <c r="BR72" i="7"/>
  <c r="BP72" i="7"/>
  <c r="BR74" i="7"/>
  <c r="BP74" i="7"/>
  <c r="BR76" i="7"/>
  <c r="BP76" i="7"/>
  <c r="BR80" i="7"/>
  <c r="BP80" i="7"/>
  <c r="BV81" i="7"/>
  <c r="BT81" i="7"/>
  <c r="BR82" i="7"/>
  <c r="BP82" i="7"/>
  <c r="BR84" i="7"/>
  <c r="BP84" i="7"/>
  <c r="BA65" i="7"/>
  <c r="BA64" i="7"/>
  <c r="BA62" i="7"/>
  <c r="BA61" i="7"/>
  <c r="BA60" i="7"/>
  <c r="BA59" i="7"/>
  <c r="BA58" i="7"/>
  <c r="BA57" i="7"/>
  <c r="BA56" i="7"/>
  <c r="BA55" i="7"/>
  <c r="BA54" i="7"/>
  <c r="BA53" i="7"/>
  <c r="BA52" i="7"/>
  <c r="BA35" i="7"/>
  <c r="BA34" i="7"/>
  <c r="BA33" i="7"/>
  <c r="BA32" i="7"/>
  <c r="BA31" i="7"/>
  <c r="BA30" i="7"/>
  <c r="BY27" i="7"/>
  <c r="AO23" i="6"/>
  <c r="BY8" i="7"/>
  <c r="BV29" i="7"/>
  <c r="AK23" i="6"/>
  <c r="BU8" i="7"/>
  <c r="BR29" i="7"/>
  <c r="AG23" i="6"/>
  <c r="BQ8" i="7"/>
  <c r="AC70" i="6"/>
  <c r="AC55" i="6"/>
  <c r="AC33" i="6"/>
  <c r="Q23" i="6"/>
  <c r="AC12" i="6"/>
  <c r="M33" i="6"/>
  <c r="E53" i="6"/>
  <c r="M31" i="6"/>
  <c r="L15" i="6"/>
  <c r="L17" i="6"/>
  <c r="L19" i="6"/>
  <c r="N19" i="6" s="1"/>
  <c r="L21" i="6"/>
  <c r="L37" i="6"/>
  <c r="N37" i="6" s="1"/>
  <c r="L39" i="6"/>
  <c r="N39" i="6" s="1"/>
  <c r="L88" i="6"/>
  <c r="BZ31" i="7"/>
  <c r="BZ35" i="7"/>
  <c r="AR39" i="6"/>
  <c r="AT39" i="6" s="1"/>
  <c r="BZ46" i="7"/>
  <c r="BZ48" i="7"/>
  <c r="BZ52" i="7"/>
  <c r="BZ80" i="7"/>
  <c r="L24" i="6"/>
  <c r="L27" i="6"/>
  <c r="L29" i="6"/>
  <c r="N29" i="6" s="1"/>
  <c r="L34" i="6"/>
  <c r="N34" i="6" s="1"/>
  <c r="L46" i="6"/>
  <c r="N46" i="6" s="1"/>
  <c r="L51" i="6"/>
  <c r="N51" i="6" s="1"/>
  <c r="L57" i="6"/>
  <c r="L60" i="6"/>
  <c r="N60" i="6" s="1"/>
  <c r="L62" i="6"/>
  <c r="L65" i="6"/>
  <c r="L68" i="6"/>
  <c r="L75" i="6"/>
  <c r="N75" i="6" s="1"/>
  <c r="L78" i="6"/>
  <c r="L85" i="6"/>
  <c r="N85" i="6" s="1"/>
  <c r="BZ17" i="7"/>
  <c r="BZ29" i="7"/>
  <c r="BZ30" i="7"/>
  <c r="BZ34" i="7"/>
  <c r="BZ45" i="7"/>
  <c r="BZ63" i="7"/>
  <c r="L14" i="6"/>
  <c r="N14" i="6" s="1"/>
  <c r="L16" i="6"/>
  <c r="N16" i="6" s="1"/>
  <c r="L18" i="6"/>
  <c r="N18" i="6" s="1"/>
  <c r="L20" i="6"/>
  <c r="L22" i="6"/>
  <c r="N22" i="6" s="1"/>
  <c r="L33" i="6"/>
  <c r="L36" i="6"/>
  <c r="L38" i="6"/>
  <c r="N38" i="6" s="1"/>
  <c r="L41" i="6"/>
  <c r="L50" i="6"/>
  <c r="N50" i="6" s="1"/>
  <c r="L59" i="6"/>
  <c r="L67" i="6"/>
  <c r="N67" i="6" s="1"/>
  <c r="L77" i="6"/>
  <c r="N77" i="6" s="1"/>
  <c r="BZ10" i="7"/>
  <c r="BZ15" i="7"/>
  <c r="BZ33" i="7"/>
  <c r="BZ42" i="7"/>
  <c r="BZ43" i="7"/>
  <c r="BZ50" i="7"/>
  <c r="BZ55" i="7"/>
  <c r="BZ67" i="7"/>
  <c r="BZ71" i="7"/>
  <c r="BZ72" i="7"/>
  <c r="BZ84" i="7"/>
  <c r="L13" i="6"/>
  <c r="N13" i="6" s="1"/>
  <c r="L26" i="6"/>
  <c r="N26" i="6" s="1"/>
  <c r="L28" i="6"/>
  <c r="L30" i="6"/>
  <c r="L32" i="6"/>
  <c r="L35" i="6"/>
  <c r="N35" i="6" s="1"/>
  <c r="L45" i="6"/>
  <c r="L47" i="6"/>
  <c r="N47" i="6" s="1"/>
  <c r="L48" i="6"/>
  <c r="N48" i="6" s="1"/>
  <c r="L49" i="6"/>
  <c r="N49" i="6" s="1"/>
  <c r="L52" i="6"/>
  <c r="N52" i="6" s="1"/>
  <c r="L56" i="6"/>
  <c r="N56" i="6" s="1"/>
  <c r="L58" i="6"/>
  <c r="L61" i="6"/>
  <c r="L64" i="6"/>
  <c r="N64" i="6" s="1"/>
  <c r="L66" i="6"/>
  <c r="N66" i="6" s="1"/>
  <c r="L69" i="6"/>
  <c r="N69" i="6" s="1"/>
  <c r="L73" i="6"/>
  <c r="N73" i="6" s="1"/>
  <c r="L76" i="6"/>
  <c r="N76" i="6" s="1"/>
  <c r="L79" i="6"/>
  <c r="L84" i="6"/>
  <c r="N84" i="6" s="1"/>
  <c r="BZ14" i="7"/>
  <c r="BZ24" i="7"/>
  <c r="BZ32" i="7"/>
  <c r="BZ37" i="7"/>
  <c r="BZ40" i="7"/>
  <c r="BZ41" i="7"/>
  <c r="BZ53" i="7"/>
  <c r="BZ54" i="7"/>
  <c r="BZ58" i="7"/>
  <c r="BZ75" i="7"/>
  <c r="BR44" i="7"/>
  <c r="S53" i="6"/>
  <c r="S31" i="6"/>
  <c r="T31" i="6" s="1"/>
  <c r="V31" i="6" s="1"/>
  <c r="O53" i="6"/>
  <c r="O31" i="6"/>
  <c r="BR39" i="7"/>
  <c r="BZ44" i="7"/>
  <c r="C53" i="6"/>
  <c r="K53" i="6" s="1"/>
  <c r="BG49" i="7" s="1"/>
  <c r="C31" i="6"/>
  <c r="AJ12" i="6"/>
  <c r="AL12" i="6" s="1"/>
  <c r="AE31" i="6"/>
  <c r="BO27" i="7" s="1"/>
  <c r="AI31" i="6"/>
  <c r="BS27" i="7" s="1"/>
  <c r="AM31" i="6"/>
  <c r="BW27" i="7" s="1"/>
  <c r="AE53" i="6"/>
  <c r="BO49" i="7" s="1"/>
  <c r="AI53" i="6"/>
  <c r="BS49" i="7" s="1"/>
  <c r="AM53" i="6"/>
  <c r="BW49" i="7" s="1"/>
  <c r="AK25" i="6"/>
  <c r="W31" i="6"/>
  <c r="W53" i="6"/>
  <c r="Y25" i="6"/>
  <c r="Z25" i="6" s="1"/>
  <c r="AC31" i="6"/>
  <c r="Q53" i="6"/>
  <c r="U25" i="6"/>
  <c r="G31" i="6"/>
  <c r="I25" i="6"/>
  <c r="L86" i="6" l="1"/>
  <c r="AR63" i="6"/>
  <c r="AT63" i="6" s="1"/>
  <c r="BP66" i="7"/>
  <c r="L74" i="6"/>
  <c r="N74" i="6" s="1"/>
  <c r="BJ70" i="7" s="1"/>
  <c r="BT82" i="7"/>
  <c r="L43" i="6"/>
  <c r="BH39" i="7" s="1"/>
  <c r="H53" i="6"/>
  <c r="J53" i="6" s="1"/>
  <c r="H31" i="6"/>
  <c r="J31" i="6" s="1"/>
  <c r="AS86" i="6"/>
  <c r="AB12" i="6"/>
  <c r="BL8" i="7" s="1"/>
  <c r="R12" i="6"/>
  <c r="BL39" i="7"/>
  <c r="AD43" i="6"/>
  <c r="BN39" i="7" s="1"/>
  <c r="K31" i="6"/>
  <c r="BG27" i="7" s="1"/>
  <c r="AR46" i="6"/>
  <c r="AT46" i="6" s="1"/>
  <c r="AB86" i="6"/>
  <c r="V86" i="6"/>
  <c r="M23" i="6"/>
  <c r="AC23" i="6"/>
  <c r="BM19" i="7" s="1"/>
  <c r="AR88" i="6"/>
  <c r="AT88" i="6" s="1"/>
  <c r="N88" i="6"/>
  <c r="BJ84" i="7" s="1"/>
  <c r="AR79" i="6"/>
  <c r="AT79" i="6" s="1"/>
  <c r="N79" i="6"/>
  <c r="AR81" i="6"/>
  <c r="AT81" i="6" s="1"/>
  <c r="N81" i="6"/>
  <c r="BJ77" i="7" s="1"/>
  <c r="AR86" i="6"/>
  <c r="AT86" i="6" s="1"/>
  <c r="N86" i="6"/>
  <c r="BJ82" i="7" s="1"/>
  <c r="BH76" i="7"/>
  <c r="N80" i="6"/>
  <c r="BJ76" i="7" s="1"/>
  <c r="AD12" i="6"/>
  <c r="BN8" i="7" s="1"/>
  <c r="AR20" i="6"/>
  <c r="AT20" i="6" s="1"/>
  <c r="N20" i="6"/>
  <c r="BJ16" i="7" s="1"/>
  <c r="AR15" i="6"/>
  <c r="AT15" i="6" s="1"/>
  <c r="N15" i="6"/>
  <c r="BJ11" i="7" s="1"/>
  <c r="AR30" i="6"/>
  <c r="AT30" i="6" s="1"/>
  <c r="N30" i="6"/>
  <c r="BJ26" i="7" s="1"/>
  <c r="AR59" i="6"/>
  <c r="AT59" i="6" s="1"/>
  <c r="N59" i="6"/>
  <c r="BJ55" i="7" s="1"/>
  <c r="AR65" i="6"/>
  <c r="AT65" i="6" s="1"/>
  <c r="N65" i="6"/>
  <c r="BJ61" i="7" s="1"/>
  <c r="AL74" i="6"/>
  <c r="BV70" i="7" s="1"/>
  <c r="AB48" i="6"/>
  <c r="AD48" i="6" s="1"/>
  <c r="BN44" i="7" s="1"/>
  <c r="R48" i="6"/>
  <c r="AB70" i="6"/>
  <c r="BL66" i="7" s="1"/>
  <c r="R70" i="6"/>
  <c r="AR44" i="6"/>
  <c r="AT44" i="6" s="1"/>
  <c r="AR45" i="6"/>
  <c r="AT45" i="6" s="1"/>
  <c r="N45" i="6"/>
  <c r="BJ41" i="7" s="1"/>
  <c r="AR28" i="6"/>
  <c r="AT28" i="6" s="1"/>
  <c r="N28" i="6"/>
  <c r="BJ24" i="7" s="1"/>
  <c r="AR37" i="6"/>
  <c r="AT37" i="6" s="1"/>
  <c r="AR34" i="6"/>
  <c r="AT34" i="6" s="1"/>
  <c r="AR78" i="6"/>
  <c r="AT78" i="6" s="1"/>
  <c r="N78" i="6"/>
  <c r="BJ74" i="7" s="1"/>
  <c r="AR62" i="6"/>
  <c r="AT62" i="6" s="1"/>
  <c r="N62" i="6"/>
  <c r="BJ58" i="7" s="1"/>
  <c r="AR27" i="6"/>
  <c r="AT27" i="6" s="1"/>
  <c r="N27" i="6"/>
  <c r="BJ23" i="7" s="1"/>
  <c r="BH40" i="7"/>
  <c r="N71" i="6"/>
  <c r="BJ67" i="7" s="1"/>
  <c r="AL70" i="6"/>
  <c r="BV66" i="7" s="1"/>
  <c r="BZ51" i="7"/>
  <c r="AB55" i="6"/>
  <c r="BL51" i="7" s="1"/>
  <c r="R55" i="6"/>
  <c r="AP31" i="6"/>
  <c r="AR61" i="6"/>
  <c r="AT61" i="6" s="1"/>
  <c r="N61" i="6"/>
  <c r="BJ57" i="7" s="1"/>
  <c r="AR41" i="6"/>
  <c r="AT41" i="6" s="1"/>
  <c r="N41" i="6"/>
  <c r="BJ37" i="7" s="1"/>
  <c r="AR24" i="6"/>
  <c r="AT24" i="6" s="1"/>
  <c r="N24" i="6"/>
  <c r="AR17" i="6"/>
  <c r="AT17" i="6" s="1"/>
  <c r="N17" i="6"/>
  <c r="BJ13" i="7" s="1"/>
  <c r="N72" i="6"/>
  <c r="BJ68" i="7" s="1"/>
  <c r="AH55" i="6"/>
  <c r="BR51" i="7" s="1"/>
  <c r="AP70" i="6"/>
  <c r="BZ66" i="7" s="1"/>
  <c r="AR32" i="6"/>
  <c r="AT32" i="6" s="1"/>
  <c r="N32" i="6"/>
  <c r="BJ28" i="7" s="1"/>
  <c r="AR68" i="6"/>
  <c r="AT68" i="6" s="1"/>
  <c r="N68" i="6"/>
  <c r="BJ64" i="7" s="1"/>
  <c r="AL55" i="6"/>
  <c r="BV51" i="7" s="1"/>
  <c r="AR58" i="6"/>
  <c r="AT58" i="6" s="1"/>
  <c r="N58" i="6"/>
  <c r="BJ54" i="7" s="1"/>
  <c r="AR57" i="6"/>
  <c r="AT57" i="6" s="1"/>
  <c r="N57" i="6"/>
  <c r="BJ53" i="7" s="1"/>
  <c r="AR54" i="6"/>
  <c r="AT54" i="6" s="1"/>
  <c r="AR36" i="6"/>
  <c r="AT36" i="6" s="1"/>
  <c r="N36" i="6"/>
  <c r="BJ32" i="7" s="1"/>
  <c r="AR21" i="6"/>
  <c r="AT21" i="6" s="1"/>
  <c r="N21" i="6"/>
  <c r="BJ17" i="7" s="1"/>
  <c r="BR70" i="7"/>
  <c r="AB33" i="6"/>
  <c r="BL29" i="7" s="1"/>
  <c r="R33" i="6"/>
  <c r="AB74" i="6"/>
  <c r="BL70" i="7" s="1"/>
  <c r="R74" i="6"/>
  <c r="F31" i="6"/>
  <c r="AP74" i="6"/>
  <c r="BZ70" i="7" s="1"/>
  <c r="BY49" i="7"/>
  <c r="BY19" i="7"/>
  <c r="BU21" i="7"/>
  <c r="BU86" i="7" s="1"/>
  <c r="BU19" i="7"/>
  <c r="BQ19" i="7"/>
  <c r="BM70" i="7"/>
  <c r="AC53" i="6"/>
  <c r="BM49" i="7" s="1"/>
  <c r="BM66" i="7"/>
  <c r="BM51" i="7"/>
  <c r="BM29" i="7"/>
  <c r="BI70" i="7"/>
  <c r="BI66" i="7"/>
  <c r="BI51" i="7"/>
  <c r="M53" i="6"/>
  <c r="BI39" i="7"/>
  <c r="BI29" i="7"/>
  <c r="N33" i="6"/>
  <c r="BJ29" i="7" s="1"/>
  <c r="BI19" i="7"/>
  <c r="BT51" i="7"/>
  <c r="AR72" i="6"/>
  <c r="AT72" i="6" s="1"/>
  <c r="AG25" i="6"/>
  <c r="AG83" i="6" s="1"/>
  <c r="AS74" i="6"/>
  <c r="AS70" i="6"/>
  <c r="L55" i="6"/>
  <c r="BH51" i="7" s="1"/>
  <c r="BT70" i="7"/>
  <c r="AF53" i="6"/>
  <c r="AF25" i="6" s="1"/>
  <c r="AF83" i="6" s="1"/>
  <c r="AF87" i="6" s="1"/>
  <c r="AO25" i="6"/>
  <c r="D53" i="6"/>
  <c r="D25" i="6" s="1"/>
  <c r="D83" i="6" s="1"/>
  <c r="D87" i="6" s="1"/>
  <c r="BX51" i="7"/>
  <c r="T53" i="6"/>
  <c r="V53" i="6" s="1"/>
  <c r="BK70" i="7"/>
  <c r="AQ74" i="6"/>
  <c r="BK66" i="7"/>
  <c r="AQ70" i="6"/>
  <c r="BK51" i="7"/>
  <c r="AQ55" i="6"/>
  <c r="AA53" i="6"/>
  <c r="P53" i="6"/>
  <c r="R53" i="6" s="1"/>
  <c r="BL44" i="7"/>
  <c r="BK44" i="7"/>
  <c r="AQ48" i="6"/>
  <c r="BK29" i="7"/>
  <c r="AQ33" i="6"/>
  <c r="AA31" i="6"/>
  <c r="P31" i="6"/>
  <c r="AA23" i="6"/>
  <c r="P23" i="6"/>
  <c r="R23" i="6" s="1"/>
  <c r="AN53" i="6"/>
  <c r="BH67" i="7"/>
  <c r="AR71" i="6"/>
  <c r="AT71" i="6" s="1"/>
  <c r="AR80" i="6"/>
  <c r="AT80" i="6" s="1"/>
  <c r="L70" i="6"/>
  <c r="N70" i="6" s="1"/>
  <c r="BP70" i="7"/>
  <c r="BP51" i="7"/>
  <c r="BT66" i="7"/>
  <c r="AJ53" i="6"/>
  <c r="H83" i="6"/>
  <c r="H87" i="6" s="1"/>
  <c r="AS55" i="6"/>
  <c r="AS33" i="6"/>
  <c r="E25" i="6"/>
  <c r="BV8" i="7"/>
  <c r="AJ23" i="6"/>
  <c r="AL23" i="6" s="1"/>
  <c r="BT8" i="7"/>
  <c r="BZ8" i="7"/>
  <c r="AN23" i="6"/>
  <c r="AP23" i="6" s="1"/>
  <c r="BX8" i="7"/>
  <c r="BJ62" i="7"/>
  <c r="BH62" i="7"/>
  <c r="BH26" i="7"/>
  <c r="BJ22" i="7"/>
  <c r="BH22" i="7"/>
  <c r="BJ73" i="7"/>
  <c r="BH73" i="7"/>
  <c r="BH55" i="7"/>
  <c r="BJ34" i="7"/>
  <c r="BH34" i="7"/>
  <c r="BH29" i="7"/>
  <c r="BH58" i="7"/>
  <c r="BJ25" i="7"/>
  <c r="BH25" i="7"/>
  <c r="BJ50" i="7"/>
  <c r="BH50" i="7"/>
  <c r="H23" i="6"/>
  <c r="J23" i="6" s="1"/>
  <c r="BJ80" i="7"/>
  <c r="BH80" i="7"/>
  <c r="BJ65" i="7"/>
  <c r="BH65" i="7"/>
  <c r="BJ60" i="7"/>
  <c r="BH60" i="7"/>
  <c r="BJ31" i="7"/>
  <c r="BH31" i="7"/>
  <c r="BJ18" i="7"/>
  <c r="BH18" i="7"/>
  <c r="BJ14" i="7"/>
  <c r="BH14" i="7"/>
  <c r="BJ10" i="7"/>
  <c r="BH10" i="7"/>
  <c r="BJ81" i="7"/>
  <c r="BH81" i="7"/>
  <c r="BJ71" i="7"/>
  <c r="BH71" i="7"/>
  <c r="BH61" i="7"/>
  <c r="BJ56" i="7"/>
  <c r="BH56" i="7"/>
  <c r="BJ33" i="7"/>
  <c r="BH33" i="7"/>
  <c r="BJ15" i="7"/>
  <c r="BH15" i="7"/>
  <c r="BH11" i="7"/>
  <c r="BH77" i="7"/>
  <c r="BR8" i="7"/>
  <c r="AF23" i="6"/>
  <c r="AH23" i="6" s="1"/>
  <c r="BP8" i="7"/>
  <c r="BJ63" i="7"/>
  <c r="BH63" i="7"/>
  <c r="BH32" i="7"/>
  <c r="AR67" i="6"/>
  <c r="AT67" i="6" s="1"/>
  <c r="BJ30" i="7"/>
  <c r="BH30" i="7"/>
  <c r="BH23" i="7"/>
  <c r="D23" i="6"/>
  <c r="F23" i="6" s="1"/>
  <c r="BJ72" i="7"/>
  <c r="BH72" i="7"/>
  <c r="BH54" i="7"/>
  <c r="BH28" i="7"/>
  <c r="BH24" i="7"/>
  <c r="BJ9" i="7"/>
  <c r="BH9" i="7"/>
  <c r="BH37" i="7"/>
  <c r="AR18" i="6"/>
  <c r="AT18" i="6" s="1"/>
  <c r="BJ75" i="7"/>
  <c r="BH75" i="7"/>
  <c r="BJ69" i="7"/>
  <c r="BH69" i="7"/>
  <c r="BH57" i="7"/>
  <c r="BJ52" i="7"/>
  <c r="BH52" i="7"/>
  <c r="AR19" i="6"/>
  <c r="AT19" i="6" s="1"/>
  <c r="BH16" i="7"/>
  <c r="BJ12" i="7"/>
  <c r="BH12" i="7"/>
  <c r="BH82" i="7"/>
  <c r="BH74" i="7"/>
  <c r="BH64" i="7"/>
  <c r="BH53" i="7"/>
  <c r="BJ20" i="7"/>
  <c r="BH20" i="7"/>
  <c r="AR22" i="6"/>
  <c r="AT22" i="6" s="1"/>
  <c r="BH84" i="7"/>
  <c r="BJ35" i="7"/>
  <c r="BH35" i="7"/>
  <c r="BH17" i="7"/>
  <c r="BH13" i="7"/>
  <c r="BJ59" i="7"/>
  <c r="BH59" i="7"/>
  <c r="BM27" i="7"/>
  <c r="BM8" i="7"/>
  <c r="BI27" i="7"/>
  <c r="AS31" i="6"/>
  <c r="BJ43" i="7"/>
  <c r="BH43" i="7"/>
  <c r="BH41" i="7"/>
  <c r="BJ42" i="7"/>
  <c r="BH42" i="7"/>
  <c r="BJ44" i="7"/>
  <c r="BH44" i="7"/>
  <c r="BJ46" i="7"/>
  <c r="BH46" i="7"/>
  <c r="BJ45" i="7"/>
  <c r="BH45" i="7"/>
  <c r="BJ48" i="7"/>
  <c r="BH48" i="7"/>
  <c r="BJ47" i="7"/>
  <c r="BH47" i="7"/>
  <c r="AR51" i="6"/>
  <c r="AT51" i="6" s="1"/>
  <c r="AR48" i="6"/>
  <c r="AT48" i="6" s="1"/>
  <c r="AR85" i="6"/>
  <c r="AT85" i="6" s="1"/>
  <c r="AR76" i="6"/>
  <c r="AT76" i="6" s="1"/>
  <c r="AR60" i="6"/>
  <c r="AT60" i="6" s="1"/>
  <c r="AR13" i="6"/>
  <c r="AT13" i="6" s="1"/>
  <c r="AR75" i="6"/>
  <c r="AT75" i="6" s="1"/>
  <c r="AR38" i="6"/>
  <c r="AT38" i="6" s="1"/>
  <c r="AR33" i="6"/>
  <c r="AR14" i="6"/>
  <c r="AT14" i="6" s="1"/>
  <c r="AR84" i="6"/>
  <c r="AT84" i="6" s="1"/>
  <c r="AR69" i="6"/>
  <c r="AT69" i="6" s="1"/>
  <c r="AR47" i="6"/>
  <c r="AT47" i="6" s="1"/>
  <c r="AR29" i="6"/>
  <c r="AT29" i="6" s="1"/>
  <c r="AR73" i="6"/>
  <c r="AT73" i="6" s="1"/>
  <c r="AR49" i="6"/>
  <c r="AT49" i="6" s="1"/>
  <c r="AR56" i="6"/>
  <c r="AT56" i="6" s="1"/>
  <c r="AR50" i="6"/>
  <c r="AT50" i="6" s="1"/>
  <c r="AR35" i="6"/>
  <c r="AT35" i="6" s="1"/>
  <c r="AR26" i="6"/>
  <c r="AT26" i="6" s="1"/>
  <c r="AR64" i="6"/>
  <c r="AT64" i="6" s="1"/>
  <c r="AR77" i="6"/>
  <c r="AT77" i="6" s="1"/>
  <c r="AR66" i="6"/>
  <c r="AT66" i="6" s="1"/>
  <c r="AR16" i="6"/>
  <c r="AT16" i="6" s="1"/>
  <c r="AR52" i="6"/>
  <c r="AT52" i="6" s="1"/>
  <c r="S25" i="6"/>
  <c r="T25" i="6" s="1"/>
  <c r="V25" i="6" s="1"/>
  <c r="O25" i="6"/>
  <c r="C25" i="6"/>
  <c r="AE25" i="6"/>
  <c r="BO21" i="7" s="1"/>
  <c r="BO86" i="7" s="1"/>
  <c r="AK83" i="6"/>
  <c r="BX27" i="7"/>
  <c r="AM25" i="6"/>
  <c r="BW21" i="7" s="1"/>
  <c r="BW86" i="7" s="1"/>
  <c r="AI25" i="6"/>
  <c r="BS21" i="7" s="1"/>
  <c r="BS86" i="7" s="1"/>
  <c r="W25" i="6"/>
  <c r="Y83" i="6"/>
  <c r="Z83" i="6" s="1"/>
  <c r="U83" i="6"/>
  <c r="Q25" i="6"/>
  <c r="G25" i="6"/>
  <c r="I83" i="6"/>
  <c r="AS23" i="6" l="1"/>
  <c r="AT23" i="6" s="1"/>
  <c r="AR43" i="6"/>
  <c r="AT43" i="6" s="1"/>
  <c r="N43" i="6"/>
  <c r="BJ39" i="7" s="1"/>
  <c r="BH70" i="7"/>
  <c r="K25" i="6"/>
  <c r="BG21" i="7" s="1"/>
  <c r="BL82" i="7"/>
  <c r="AD86" i="6"/>
  <c r="BN82" i="7" s="1"/>
  <c r="AD70" i="6"/>
  <c r="BN66" i="7" s="1"/>
  <c r="AD74" i="6"/>
  <c r="BN70" i="7" s="1"/>
  <c r="AR55" i="6"/>
  <c r="AT55" i="6" s="1"/>
  <c r="AD33" i="6"/>
  <c r="BN29" i="7" s="1"/>
  <c r="J83" i="6"/>
  <c r="J25" i="6"/>
  <c r="F53" i="6"/>
  <c r="AS53" i="6"/>
  <c r="AH53" i="6"/>
  <c r="BR49" i="7" s="1"/>
  <c r="AP53" i="6"/>
  <c r="BZ49" i="7" s="1"/>
  <c r="AR74" i="6"/>
  <c r="AT74" i="6" s="1"/>
  <c r="AT33" i="6"/>
  <c r="N55" i="6"/>
  <c r="BJ51" i="7" s="1"/>
  <c r="AD55" i="6"/>
  <c r="BN51" i="7" s="1"/>
  <c r="BJ66" i="7"/>
  <c r="AJ25" i="6"/>
  <c r="AL53" i="6"/>
  <c r="BV49" i="7" s="1"/>
  <c r="AB31" i="6"/>
  <c r="R31" i="6"/>
  <c r="AC25" i="6"/>
  <c r="BM21" i="7" s="1"/>
  <c r="BM86" i="7" s="1"/>
  <c r="BY21" i="7"/>
  <c r="BY86" i="7" s="1"/>
  <c r="BU79" i="7"/>
  <c r="BQ21" i="7"/>
  <c r="BQ86" i="7" s="1"/>
  <c r="AH25" i="6"/>
  <c r="BQ79" i="7"/>
  <c r="AH83" i="6"/>
  <c r="BI49" i="7"/>
  <c r="M25" i="6"/>
  <c r="F25" i="6"/>
  <c r="AO83" i="6"/>
  <c r="BP49" i="7"/>
  <c r="BT49" i="7"/>
  <c r="AN25" i="6"/>
  <c r="AN83" i="6" s="1"/>
  <c r="AN87" i="6" s="1"/>
  <c r="BX49" i="7"/>
  <c r="L53" i="6"/>
  <c r="BH49" i="7" s="1"/>
  <c r="AB53" i="6"/>
  <c r="AD53" i="6" s="1"/>
  <c r="BK49" i="7"/>
  <c r="AQ53" i="6"/>
  <c r="AA25" i="6"/>
  <c r="P25" i="6"/>
  <c r="AB25" i="6" s="1"/>
  <c r="BL21" i="7" s="1"/>
  <c r="BL86" i="7" s="1"/>
  <c r="BK27" i="7"/>
  <c r="AQ31" i="6"/>
  <c r="AB23" i="6"/>
  <c r="AD23" i="6" s="1"/>
  <c r="BK19" i="7"/>
  <c r="AR70" i="6"/>
  <c r="AT70" i="6" s="1"/>
  <c r="BH66" i="7"/>
  <c r="E83" i="6"/>
  <c r="BV27" i="7"/>
  <c r="BT27" i="7"/>
  <c r="BP19" i="7"/>
  <c r="BR19" i="7"/>
  <c r="L23" i="6"/>
  <c r="N23" i="6" s="1"/>
  <c r="BX19" i="7"/>
  <c r="BZ19" i="7"/>
  <c r="BT19" i="7"/>
  <c r="BV19" i="7"/>
  <c r="BR27" i="7"/>
  <c r="BP27" i="7"/>
  <c r="BZ27" i="7"/>
  <c r="L31" i="6"/>
  <c r="N31" i="6" s="1"/>
  <c r="S83" i="6"/>
  <c r="T83" i="6" s="1"/>
  <c r="V83" i="6" s="1"/>
  <c r="O83" i="6"/>
  <c r="C83" i="6"/>
  <c r="AG87" i="6"/>
  <c r="AM83" i="6"/>
  <c r="BW79" i="7" s="1"/>
  <c r="AK87" i="6"/>
  <c r="AI83" i="6"/>
  <c r="BS79" i="7" s="1"/>
  <c r="AE83" i="6"/>
  <c r="BO79" i="7" s="1"/>
  <c r="W83" i="6"/>
  <c r="Y87" i="6"/>
  <c r="Z87" i="6" s="1"/>
  <c r="Q83" i="6"/>
  <c r="U87" i="6"/>
  <c r="I87" i="6"/>
  <c r="J87" i="6" s="1"/>
  <c r="G83" i="6"/>
  <c r="K83" i="6" l="1"/>
  <c r="BG79" i="7" s="1"/>
  <c r="AS25" i="6"/>
  <c r="AP25" i="6"/>
  <c r="BZ21" i="7" s="1"/>
  <c r="BZ86" i="7" s="1"/>
  <c r="N53" i="6"/>
  <c r="BJ49" i="7" s="1"/>
  <c r="BL27" i="7"/>
  <c r="AD31" i="6"/>
  <c r="BN27" i="7" s="1"/>
  <c r="R25" i="6"/>
  <c r="AD25" i="6"/>
  <c r="BN21" i="7" s="1"/>
  <c r="BN86" i="7" s="1"/>
  <c r="AJ83" i="6"/>
  <c r="AL25" i="6"/>
  <c r="BV21" i="7" s="1"/>
  <c r="BV86" i="7" s="1"/>
  <c r="AC83" i="6"/>
  <c r="BM79" i="7" s="1"/>
  <c r="BY79" i="7"/>
  <c r="AP83" i="6"/>
  <c r="BU83" i="7"/>
  <c r="BQ83" i="7"/>
  <c r="AH87" i="6"/>
  <c r="M83" i="6"/>
  <c r="F83" i="6"/>
  <c r="BI21" i="7"/>
  <c r="AO87" i="6"/>
  <c r="BX21" i="7"/>
  <c r="BX86" i="7" s="1"/>
  <c r="AR53" i="6"/>
  <c r="AT53" i="6" s="1"/>
  <c r="BL49" i="7"/>
  <c r="BN49" i="7"/>
  <c r="P83" i="6"/>
  <c r="AB83" i="6" s="1"/>
  <c r="BL79" i="7" s="1"/>
  <c r="AA83" i="6"/>
  <c r="BK21" i="7"/>
  <c r="BK86" i="7" s="1"/>
  <c r="AQ25" i="6"/>
  <c r="BL19" i="7"/>
  <c r="BN19" i="7"/>
  <c r="E87" i="6"/>
  <c r="BJ27" i="7"/>
  <c r="BH27" i="7"/>
  <c r="BR21" i="7"/>
  <c r="BR86" i="7" s="1"/>
  <c r="BP21" i="7"/>
  <c r="BP86" i="7" s="1"/>
  <c r="BH19" i="7"/>
  <c r="BJ19" i="7"/>
  <c r="AR31" i="6"/>
  <c r="AT31" i="6" s="1"/>
  <c r="BT21" i="7"/>
  <c r="BT86" i="7" s="1"/>
  <c r="L25" i="6"/>
  <c r="N25" i="6" s="1"/>
  <c r="S87" i="6"/>
  <c r="T87" i="6" s="1"/>
  <c r="V87" i="6" s="1"/>
  <c r="O87" i="6"/>
  <c r="C87" i="6"/>
  <c r="AE87" i="6"/>
  <c r="BO83" i="7" s="1"/>
  <c r="BX79" i="7"/>
  <c r="AM87" i="6"/>
  <c r="BW83" i="7" s="1"/>
  <c r="AK89" i="6"/>
  <c r="AG89" i="6"/>
  <c r="AI87" i="6"/>
  <c r="BS83" i="7" s="1"/>
  <c r="W87" i="6"/>
  <c r="Y89" i="6"/>
  <c r="U89" i="6"/>
  <c r="Q87" i="6"/>
  <c r="G87" i="6"/>
  <c r="I89" i="6"/>
  <c r="K87" i="6" l="1"/>
  <c r="BG83" i="7" s="1"/>
  <c r="R83" i="6"/>
  <c r="AS83" i="6"/>
  <c r="AD83" i="6"/>
  <c r="BN79" i="7" s="1"/>
  <c r="AJ87" i="6"/>
  <c r="AL87" i="6" s="1"/>
  <c r="AL83" i="6"/>
  <c r="BV79" i="7" s="1"/>
  <c r="AC87" i="6"/>
  <c r="BY83" i="7"/>
  <c r="AP87" i="6"/>
  <c r="BU85" i="7"/>
  <c r="BQ85" i="7"/>
  <c r="E89" i="6"/>
  <c r="F87" i="6"/>
  <c r="BI79" i="7"/>
  <c r="AO89" i="6"/>
  <c r="P87" i="6"/>
  <c r="AB87" i="6" s="1"/>
  <c r="BL83" i="7" s="1"/>
  <c r="AA87" i="6"/>
  <c r="BK79" i="7"/>
  <c r="AQ83" i="6"/>
  <c r="M87" i="6"/>
  <c r="BT79" i="7"/>
  <c r="BJ21" i="7"/>
  <c r="BH21" i="7"/>
  <c r="BR79" i="7"/>
  <c r="BP79" i="7"/>
  <c r="AR25" i="6"/>
  <c r="AT25" i="6" s="1"/>
  <c r="L83" i="6"/>
  <c r="N83" i="6" s="1"/>
  <c r="BZ79" i="7"/>
  <c r="S89" i="6"/>
  <c r="T89" i="6" s="1"/>
  <c r="V89" i="6" s="1"/>
  <c r="O89" i="6"/>
  <c r="C89" i="6"/>
  <c r="AI89" i="6"/>
  <c r="BS85" i="7" s="1"/>
  <c r="BP83" i="7"/>
  <c r="AE89" i="6"/>
  <c r="BO85" i="7" s="1"/>
  <c r="BX83" i="7"/>
  <c r="AM89" i="6"/>
  <c r="BW85" i="7" s="1"/>
  <c r="W89" i="6"/>
  <c r="Q89" i="6"/>
  <c r="G89" i="6"/>
  <c r="K89" i="6" l="1"/>
  <c r="BG85" i="7" s="1"/>
  <c r="R87" i="6"/>
  <c r="AD87" i="6"/>
  <c r="BN83" i="7" s="1"/>
  <c r="BT83" i="7"/>
  <c r="BM83" i="7"/>
  <c r="AC89" i="6"/>
  <c r="BM85" i="7" s="1"/>
  <c r="BY85" i="7"/>
  <c r="M89" i="6"/>
  <c r="BI83" i="7"/>
  <c r="AA89" i="6"/>
  <c r="BK85" i="7" s="1"/>
  <c r="P89" i="6"/>
  <c r="R89" i="6" s="1"/>
  <c r="BK83" i="7"/>
  <c r="AQ87" i="6"/>
  <c r="AS87" i="6"/>
  <c r="BJ79" i="7"/>
  <c r="BH79" i="7"/>
  <c r="L87" i="6"/>
  <c r="N87" i="6" s="1"/>
  <c r="AR83" i="6"/>
  <c r="AT83" i="6" s="1"/>
  <c r="D89" i="6"/>
  <c r="F89" i="6" s="1"/>
  <c r="AJ89" i="6"/>
  <c r="AL89" i="6" s="1"/>
  <c r="BV83" i="7"/>
  <c r="AF89" i="6"/>
  <c r="AH89" i="6" s="1"/>
  <c r="BR83" i="7"/>
  <c r="AN89" i="6"/>
  <c r="BX85" i="7" s="1"/>
  <c r="BZ83" i="7"/>
  <c r="X89" i="6"/>
  <c r="Z89" i="6" s="1"/>
  <c r="H89" i="6"/>
  <c r="J89" i="6" s="1"/>
  <c r="AS89" i="6" l="1"/>
  <c r="AP89" i="6"/>
  <c r="BZ85" i="7" s="1"/>
  <c r="BI85" i="7"/>
  <c r="AQ89" i="6"/>
  <c r="BJ83" i="7"/>
  <c r="BH83" i="7"/>
  <c r="AR87" i="6"/>
  <c r="AT87" i="6" s="1"/>
  <c r="BR85" i="7"/>
  <c r="BP85" i="7"/>
  <c r="BV85" i="7"/>
  <c r="BT85" i="7"/>
  <c r="L89" i="6"/>
  <c r="N89" i="6" s="1"/>
  <c r="AB89" i="6"/>
  <c r="AD89" i="6" s="1"/>
  <c r="AV88" i="5"/>
  <c r="AX88" i="5" s="1"/>
  <c r="AV85" i="5"/>
  <c r="AX85" i="5" s="1"/>
  <c r="AV84" i="5"/>
  <c r="AX84" i="5" s="1"/>
  <c r="AV81" i="5"/>
  <c r="AX81" i="5" s="1"/>
  <c r="AV80" i="5"/>
  <c r="AX80" i="5" s="1"/>
  <c r="AV79" i="5"/>
  <c r="AX79" i="5" s="1"/>
  <c r="AV78" i="5"/>
  <c r="AX78" i="5" s="1"/>
  <c r="AV77" i="5"/>
  <c r="AX77" i="5" s="1"/>
  <c r="AV76" i="5"/>
  <c r="AX76" i="5" s="1"/>
  <c r="AV75" i="5"/>
  <c r="AX75" i="5" s="1"/>
  <c r="AV73" i="5"/>
  <c r="AX73" i="5" s="1"/>
  <c r="AV72" i="5"/>
  <c r="AX72" i="5" s="1"/>
  <c r="AV71" i="5"/>
  <c r="AX71" i="5" s="1"/>
  <c r="AV69" i="5"/>
  <c r="AX69" i="5" s="1"/>
  <c r="AV68" i="5"/>
  <c r="AX68" i="5" s="1"/>
  <c r="AV67" i="5"/>
  <c r="AX67" i="5" s="1"/>
  <c r="AV66" i="5"/>
  <c r="AX66" i="5" s="1"/>
  <c r="AV65" i="5"/>
  <c r="AX65" i="5" s="1"/>
  <c r="AV64" i="5"/>
  <c r="AX64" i="5" s="1"/>
  <c r="AV63" i="5"/>
  <c r="AX63" i="5" s="1"/>
  <c r="AV62" i="5"/>
  <c r="AX62" i="5" s="1"/>
  <c r="AV61" i="5"/>
  <c r="AX61" i="5" s="1"/>
  <c r="AV60" i="5"/>
  <c r="AX60" i="5" s="1"/>
  <c r="AV59" i="5"/>
  <c r="AX59" i="5" s="1"/>
  <c r="AV58" i="5"/>
  <c r="AX58" i="5" s="1"/>
  <c r="AV57" i="5"/>
  <c r="AX57" i="5" s="1"/>
  <c r="AV56" i="5"/>
  <c r="AX56" i="5" s="1"/>
  <c r="AV54" i="5"/>
  <c r="AV52" i="5"/>
  <c r="AX52" i="5" s="1"/>
  <c r="AV51" i="5"/>
  <c r="AX51" i="5" s="1"/>
  <c r="AV50" i="5"/>
  <c r="AX50" i="5" s="1"/>
  <c r="AV49" i="5"/>
  <c r="AX49" i="5" s="1"/>
  <c r="AV47" i="5"/>
  <c r="AX47" i="5" s="1"/>
  <c r="AV46" i="5"/>
  <c r="AX46" i="5" s="1"/>
  <c r="AV45" i="5"/>
  <c r="AX45" i="5" s="1"/>
  <c r="AV44" i="5"/>
  <c r="AX44" i="5" s="1"/>
  <c r="AV41" i="5"/>
  <c r="AX41" i="5" s="1"/>
  <c r="AV39" i="5"/>
  <c r="AX39" i="5" s="1"/>
  <c r="AV38" i="5"/>
  <c r="AX38" i="5" s="1"/>
  <c r="AV37" i="5"/>
  <c r="AX37" i="5" s="1"/>
  <c r="AV36" i="5"/>
  <c r="AX36" i="5" s="1"/>
  <c r="AV35" i="5"/>
  <c r="AX35" i="5" s="1"/>
  <c r="AV34" i="5"/>
  <c r="AX34" i="5" s="1"/>
  <c r="AV32" i="5"/>
  <c r="AX32" i="5" s="1"/>
  <c r="AV30" i="5"/>
  <c r="AX30" i="5" s="1"/>
  <c r="AV29" i="5"/>
  <c r="AX29" i="5" s="1"/>
  <c r="AV28" i="5"/>
  <c r="AX28" i="5" s="1"/>
  <c r="AV27" i="5"/>
  <c r="AX27" i="5" s="1"/>
  <c r="AV26" i="5"/>
  <c r="AX26" i="5" s="1"/>
  <c r="AV24" i="5"/>
  <c r="AX24" i="5" s="1"/>
  <c r="AV22" i="5"/>
  <c r="AX22" i="5" s="1"/>
  <c r="AV20" i="5"/>
  <c r="AX20" i="5" s="1"/>
  <c r="AV19" i="5"/>
  <c r="AX19" i="5" s="1"/>
  <c r="AV18" i="5"/>
  <c r="AX18" i="5" s="1"/>
  <c r="AV17" i="5"/>
  <c r="AX17" i="5" s="1"/>
  <c r="AV16" i="5"/>
  <c r="AX16" i="5" s="1"/>
  <c r="AV15" i="5"/>
  <c r="AX15" i="5" s="1"/>
  <c r="AV14" i="5"/>
  <c r="AX14" i="5" s="1"/>
  <c r="AV13" i="5"/>
  <c r="AX13" i="5" s="1"/>
  <c r="AR88" i="5"/>
  <c r="AT88" i="5" s="1"/>
  <c r="AR85" i="5"/>
  <c r="AT85" i="5" s="1"/>
  <c r="AR84" i="5"/>
  <c r="AT84" i="5" s="1"/>
  <c r="AR81" i="5"/>
  <c r="AT81" i="5" s="1"/>
  <c r="AR80" i="5"/>
  <c r="AT80" i="5" s="1"/>
  <c r="AR79" i="5"/>
  <c r="AT79" i="5" s="1"/>
  <c r="AR78" i="5"/>
  <c r="AT78" i="5" s="1"/>
  <c r="AR77" i="5"/>
  <c r="AT77" i="5" s="1"/>
  <c r="AR76" i="5"/>
  <c r="AT76" i="5" s="1"/>
  <c r="AR75" i="5"/>
  <c r="AT75" i="5" s="1"/>
  <c r="AR73" i="5"/>
  <c r="AT73" i="5" s="1"/>
  <c r="AR72" i="5"/>
  <c r="AT72" i="5" s="1"/>
  <c r="AR71" i="5"/>
  <c r="AT71" i="5" s="1"/>
  <c r="AR69" i="5"/>
  <c r="AT69" i="5" s="1"/>
  <c r="AR68" i="5"/>
  <c r="AT68" i="5" s="1"/>
  <c r="AR67" i="5"/>
  <c r="AT67" i="5" s="1"/>
  <c r="AR66" i="5"/>
  <c r="AT66" i="5" s="1"/>
  <c r="AR65" i="5"/>
  <c r="AT65" i="5" s="1"/>
  <c r="AR64" i="5"/>
  <c r="AT64" i="5" s="1"/>
  <c r="AR63" i="5"/>
  <c r="AT63" i="5" s="1"/>
  <c r="AR62" i="5"/>
  <c r="AT62" i="5" s="1"/>
  <c r="AR61" i="5"/>
  <c r="AT61" i="5" s="1"/>
  <c r="AR60" i="5"/>
  <c r="AT60" i="5" s="1"/>
  <c r="AR59" i="5"/>
  <c r="AT59" i="5" s="1"/>
  <c r="AR58" i="5"/>
  <c r="AT58" i="5" s="1"/>
  <c r="AR57" i="5"/>
  <c r="AT57" i="5" s="1"/>
  <c r="AR56" i="5"/>
  <c r="AR54" i="5"/>
  <c r="AR52" i="5"/>
  <c r="AT52" i="5" s="1"/>
  <c r="AR51" i="5"/>
  <c r="AT51" i="5" s="1"/>
  <c r="AR50" i="5"/>
  <c r="AT50" i="5" s="1"/>
  <c r="AR49" i="5"/>
  <c r="AT49" i="5" s="1"/>
  <c r="AR47" i="5"/>
  <c r="AT47" i="5" s="1"/>
  <c r="AR46" i="5"/>
  <c r="AT46" i="5" s="1"/>
  <c r="AR45" i="5"/>
  <c r="AT45" i="5" s="1"/>
  <c r="AR44" i="5"/>
  <c r="AT44" i="5" s="1"/>
  <c r="AR41" i="5"/>
  <c r="AT41" i="5" s="1"/>
  <c r="AR39" i="5"/>
  <c r="AT39" i="5" s="1"/>
  <c r="AR38" i="5"/>
  <c r="AT38" i="5" s="1"/>
  <c r="AR37" i="5"/>
  <c r="AT37" i="5" s="1"/>
  <c r="AR36" i="5"/>
  <c r="AT36" i="5" s="1"/>
  <c r="AR35" i="5"/>
  <c r="AT35" i="5" s="1"/>
  <c r="AR34" i="5"/>
  <c r="AT34" i="5" s="1"/>
  <c r="AR32" i="5"/>
  <c r="AT32" i="5" s="1"/>
  <c r="AR30" i="5"/>
  <c r="AT30" i="5" s="1"/>
  <c r="AR29" i="5"/>
  <c r="AT29" i="5" s="1"/>
  <c r="AR28" i="5"/>
  <c r="AT28" i="5" s="1"/>
  <c r="AR27" i="5"/>
  <c r="AT27" i="5" s="1"/>
  <c r="AR26" i="5"/>
  <c r="AT26" i="5" s="1"/>
  <c r="AR22" i="5"/>
  <c r="AT22" i="5" s="1"/>
  <c r="AR21" i="5"/>
  <c r="AT21" i="5" s="1"/>
  <c r="AR20" i="5"/>
  <c r="AT20" i="5" s="1"/>
  <c r="AR19" i="5"/>
  <c r="AT19" i="5" s="1"/>
  <c r="AR18" i="5"/>
  <c r="AT18" i="5" s="1"/>
  <c r="AR17" i="5"/>
  <c r="AT17" i="5" s="1"/>
  <c r="AR16" i="5"/>
  <c r="AT16" i="5" s="1"/>
  <c r="AR15" i="5"/>
  <c r="AT15" i="5" s="1"/>
  <c r="AO88" i="5"/>
  <c r="AW84" i="7" s="1"/>
  <c r="AO85" i="5"/>
  <c r="AW81" i="7" s="1"/>
  <c r="AO84" i="5"/>
  <c r="AW80" i="7" s="1"/>
  <c r="AO81" i="5"/>
  <c r="AW77" i="7" s="1"/>
  <c r="AO80" i="5"/>
  <c r="AW76" i="7" s="1"/>
  <c r="AO79" i="5"/>
  <c r="AW75" i="7" s="1"/>
  <c r="AO78" i="5"/>
  <c r="AO77" i="5"/>
  <c r="AW73" i="7" s="1"/>
  <c r="AO76" i="5"/>
  <c r="AO75" i="5"/>
  <c r="AO73" i="5"/>
  <c r="AO72" i="5"/>
  <c r="AO71" i="5"/>
  <c r="AO69" i="5"/>
  <c r="AW65" i="7" s="1"/>
  <c r="AO68" i="5"/>
  <c r="AW64" i="7" s="1"/>
  <c r="AO67" i="5"/>
  <c r="AW63" i="7" s="1"/>
  <c r="AO66" i="5"/>
  <c r="AO65" i="5"/>
  <c r="AW61" i="7" s="1"/>
  <c r="AO64" i="5"/>
  <c r="AO63" i="5"/>
  <c r="AW59" i="7" s="1"/>
  <c r="AO62" i="5"/>
  <c r="AO61" i="5"/>
  <c r="AW57" i="7" s="1"/>
  <c r="AO60" i="5"/>
  <c r="AO59" i="5"/>
  <c r="AO58" i="5"/>
  <c r="AO57" i="5"/>
  <c r="AO56" i="5"/>
  <c r="AW52" i="7" s="1"/>
  <c r="AO54" i="5"/>
  <c r="AW50" i="7" s="1"/>
  <c r="AO52" i="5"/>
  <c r="AO51" i="5"/>
  <c r="AO50" i="5"/>
  <c r="AO49" i="5"/>
  <c r="AW45" i="7" s="1"/>
  <c r="AO47" i="5"/>
  <c r="AO46" i="5"/>
  <c r="AO45" i="5"/>
  <c r="AW41" i="7" s="1"/>
  <c r="AO44" i="5"/>
  <c r="AW40" i="7" s="1"/>
  <c r="AO41" i="5"/>
  <c r="AO39" i="5"/>
  <c r="AO38" i="5"/>
  <c r="AO37" i="5"/>
  <c r="AO36" i="5"/>
  <c r="AO35" i="5"/>
  <c r="AO34" i="5"/>
  <c r="AO32" i="5"/>
  <c r="AW28" i="7" s="1"/>
  <c r="AO30" i="5"/>
  <c r="AW26" i="7" s="1"/>
  <c r="AO29" i="5"/>
  <c r="AW25" i="7" s="1"/>
  <c r="AO28" i="5"/>
  <c r="AW24" i="7" s="1"/>
  <c r="AO27" i="5"/>
  <c r="AW23" i="7" s="1"/>
  <c r="AO26" i="5"/>
  <c r="AW22" i="7" s="1"/>
  <c r="AO24" i="5"/>
  <c r="AW20" i="7" s="1"/>
  <c r="AO22" i="5"/>
  <c r="AO21" i="5"/>
  <c r="AO20" i="5"/>
  <c r="AO19" i="5"/>
  <c r="AW15" i="7" s="1"/>
  <c r="AO18" i="5"/>
  <c r="AO17" i="5"/>
  <c r="AO16" i="5"/>
  <c r="AO15" i="5"/>
  <c r="AO14" i="5"/>
  <c r="AW10" i="7" s="1"/>
  <c r="AO13" i="5"/>
  <c r="AW9" i="7" s="1"/>
  <c r="AM88" i="5"/>
  <c r="AU84" i="7" s="1"/>
  <c r="AM85" i="5"/>
  <c r="AU81" i="7" s="1"/>
  <c r="AM84" i="5"/>
  <c r="AU80" i="7" s="1"/>
  <c r="AM81" i="5"/>
  <c r="AU77" i="7" s="1"/>
  <c r="AM80" i="5"/>
  <c r="AU76" i="7" s="1"/>
  <c r="AM79" i="5"/>
  <c r="AU75" i="7" s="1"/>
  <c r="AM78" i="5"/>
  <c r="AU74" i="7" s="1"/>
  <c r="AM77" i="5"/>
  <c r="AU73" i="7" s="1"/>
  <c r="AM76" i="5"/>
  <c r="AU72" i="7" s="1"/>
  <c r="AM75" i="5"/>
  <c r="AU71" i="7" s="1"/>
  <c r="AM73" i="5"/>
  <c r="AU69" i="7" s="1"/>
  <c r="AM72" i="5"/>
  <c r="AU68" i="7" s="1"/>
  <c r="AM71" i="5"/>
  <c r="AU67" i="7" s="1"/>
  <c r="AM69" i="5"/>
  <c r="AU65" i="7" s="1"/>
  <c r="AM68" i="5"/>
  <c r="AU64" i="7" s="1"/>
  <c r="AM67" i="5"/>
  <c r="AU63" i="7" s="1"/>
  <c r="AM66" i="5"/>
  <c r="AU62" i="7" s="1"/>
  <c r="AM65" i="5"/>
  <c r="AU61" i="7" s="1"/>
  <c r="AM64" i="5"/>
  <c r="AU60" i="7" s="1"/>
  <c r="AM63" i="5"/>
  <c r="AU59" i="7" s="1"/>
  <c r="AM62" i="5"/>
  <c r="AU58" i="7" s="1"/>
  <c r="AM61" i="5"/>
  <c r="AU57" i="7" s="1"/>
  <c r="AM60" i="5"/>
  <c r="AU56" i="7" s="1"/>
  <c r="AM59" i="5"/>
  <c r="AU55" i="7" s="1"/>
  <c r="AM58" i="5"/>
  <c r="AU54" i="7" s="1"/>
  <c r="AM57" i="5"/>
  <c r="AU53" i="7" s="1"/>
  <c r="AM56" i="5"/>
  <c r="AU52" i="7" s="1"/>
  <c r="AM54" i="5"/>
  <c r="AU50" i="7" s="1"/>
  <c r="AM52" i="5"/>
  <c r="AU48" i="7" s="1"/>
  <c r="AM51" i="5"/>
  <c r="AU47" i="7" s="1"/>
  <c r="AM50" i="5"/>
  <c r="AU46" i="7" s="1"/>
  <c r="AM49" i="5"/>
  <c r="AU45" i="7" s="1"/>
  <c r="AM47" i="5"/>
  <c r="AU43" i="7" s="1"/>
  <c r="AM46" i="5"/>
  <c r="AU42" i="7" s="1"/>
  <c r="AM45" i="5"/>
  <c r="AU41" i="7" s="1"/>
  <c r="AM44" i="5"/>
  <c r="AU40" i="7" s="1"/>
  <c r="AM41" i="5"/>
  <c r="AU37" i="7" s="1"/>
  <c r="AM39" i="5"/>
  <c r="AU35" i="7" s="1"/>
  <c r="AM38" i="5"/>
  <c r="AU34" i="7" s="1"/>
  <c r="AM37" i="5"/>
  <c r="AU33" i="7" s="1"/>
  <c r="AM36" i="5"/>
  <c r="AU32" i="7" s="1"/>
  <c r="AM35" i="5"/>
  <c r="AU31" i="7" s="1"/>
  <c r="AM34" i="5"/>
  <c r="AU30" i="7" s="1"/>
  <c r="AM32" i="5"/>
  <c r="AU28" i="7" s="1"/>
  <c r="AM30" i="5"/>
  <c r="AU26" i="7" s="1"/>
  <c r="AM29" i="5"/>
  <c r="AU25" i="7" s="1"/>
  <c r="AM28" i="5"/>
  <c r="AU24" i="7" s="1"/>
  <c r="AM27" i="5"/>
  <c r="AU23" i="7" s="1"/>
  <c r="AM26" i="5"/>
  <c r="AU22" i="7" s="1"/>
  <c r="AM24" i="5"/>
  <c r="AU20" i="7" s="1"/>
  <c r="AM22" i="5"/>
  <c r="AU18" i="7" s="1"/>
  <c r="AM21" i="5"/>
  <c r="AU17" i="7" s="1"/>
  <c r="AM20" i="5"/>
  <c r="AU16" i="7" s="1"/>
  <c r="AM19" i="5"/>
  <c r="AU15" i="7" s="1"/>
  <c r="AM18" i="5"/>
  <c r="AU14" i="7" s="1"/>
  <c r="AM17" i="5"/>
  <c r="AU13" i="7" s="1"/>
  <c r="AM16" i="5"/>
  <c r="AU12" i="7" s="1"/>
  <c r="AM15" i="5"/>
  <c r="AU11" i="7" s="1"/>
  <c r="AM14" i="5"/>
  <c r="AU10" i="7" s="1"/>
  <c r="AM13" i="5"/>
  <c r="AU9" i="7" s="1"/>
  <c r="Y88" i="5"/>
  <c r="AO84" i="7" s="1"/>
  <c r="Y85" i="5"/>
  <c r="AO81" i="7" s="1"/>
  <c r="Y84" i="5"/>
  <c r="AO80" i="7" s="1"/>
  <c r="Y81" i="5"/>
  <c r="AO77" i="7" s="1"/>
  <c r="Y80" i="5"/>
  <c r="AO76" i="7" s="1"/>
  <c r="Y79" i="5"/>
  <c r="AO75" i="7" s="1"/>
  <c r="Y78" i="5"/>
  <c r="AO74" i="7" s="1"/>
  <c r="Y77" i="5"/>
  <c r="Y76" i="5"/>
  <c r="Y75" i="5"/>
  <c r="Y73" i="5"/>
  <c r="Y72" i="5"/>
  <c r="Y71" i="5"/>
  <c r="Y69" i="5"/>
  <c r="Y68" i="5"/>
  <c r="Y67" i="5"/>
  <c r="Y66" i="5"/>
  <c r="Y65" i="5"/>
  <c r="Y64" i="5"/>
  <c r="Y63" i="5"/>
  <c r="Y62" i="5"/>
  <c r="Y61" i="5"/>
  <c r="Y60" i="5"/>
  <c r="Y59" i="5"/>
  <c r="Y58" i="5"/>
  <c r="Y57" i="5"/>
  <c r="Y56" i="5"/>
  <c r="Y54" i="5"/>
  <c r="Y52" i="5"/>
  <c r="Y51" i="5"/>
  <c r="Y50" i="5"/>
  <c r="Y49" i="5"/>
  <c r="Y47" i="5"/>
  <c r="Y46" i="5"/>
  <c r="Y45" i="5"/>
  <c r="AO41" i="7" s="1"/>
  <c r="Y44" i="5"/>
  <c r="AO40" i="7" s="1"/>
  <c r="Y41" i="5"/>
  <c r="Y39" i="5"/>
  <c r="Y38" i="5"/>
  <c r="Y37" i="5"/>
  <c r="Y36" i="5"/>
  <c r="Y35" i="5"/>
  <c r="Y34" i="5"/>
  <c r="Y32" i="5"/>
  <c r="AO28" i="7" s="1"/>
  <c r="Y30" i="5"/>
  <c r="AO26" i="7" s="1"/>
  <c r="Y29" i="5"/>
  <c r="AO25" i="7" s="1"/>
  <c r="Y28" i="5"/>
  <c r="AO24" i="7" s="1"/>
  <c r="Y27" i="5"/>
  <c r="AO23" i="7" s="1"/>
  <c r="Y26" i="5"/>
  <c r="AO22" i="7" s="1"/>
  <c r="Y24" i="5"/>
  <c r="AO20" i="7" s="1"/>
  <c r="Y22" i="5"/>
  <c r="Y21" i="5"/>
  <c r="Y20" i="5"/>
  <c r="Y19" i="5"/>
  <c r="AO15" i="7" s="1"/>
  <c r="Y18" i="5"/>
  <c r="Y17" i="5"/>
  <c r="Y16" i="5"/>
  <c r="Y15" i="5"/>
  <c r="Y14" i="5"/>
  <c r="AO10" i="7" s="1"/>
  <c r="Y13" i="5"/>
  <c r="AO9" i="7" s="1"/>
  <c r="W88" i="5"/>
  <c r="AM84" i="7" s="1"/>
  <c r="W85" i="5"/>
  <c r="AM81" i="7" s="1"/>
  <c r="W84" i="5"/>
  <c r="AM80" i="7" s="1"/>
  <c r="W81" i="5"/>
  <c r="AM77" i="7" s="1"/>
  <c r="W80" i="5"/>
  <c r="AM76" i="7" s="1"/>
  <c r="W79" i="5"/>
  <c r="AM75" i="7" s="1"/>
  <c r="W78" i="5"/>
  <c r="AM74" i="7" s="1"/>
  <c r="W77" i="5"/>
  <c r="AM73" i="7" s="1"/>
  <c r="W76" i="5"/>
  <c r="AM72" i="7" s="1"/>
  <c r="W75" i="5"/>
  <c r="AM71" i="7" s="1"/>
  <c r="W73" i="5"/>
  <c r="AM69" i="7" s="1"/>
  <c r="W72" i="5"/>
  <c r="AM68" i="7" s="1"/>
  <c r="W71" i="5"/>
  <c r="AM67" i="7" s="1"/>
  <c r="W69" i="5"/>
  <c r="AM65" i="7" s="1"/>
  <c r="W68" i="5"/>
  <c r="AM64" i="7" s="1"/>
  <c r="W67" i="5"/>
  <c r="AM63" i="7" s="1"/>
  <c r="W66" i="5"/>
  <c r="AM62" i="7" s="1"/>
  <c r="W65" i="5"/>
  <c r="AM61" i="7" s="1"/>
  <c r="W64" i="5"/>
  <c r="AM60" i="7" s="1"/>
  <c r="W63" i="5"/>
  <c r="AM59" i="7" s="1"/>
  <c r="W62" i="5"/>
  <c r="AM58" i="7" s="1"/>
  <c r="W61" i="5"/>
  <c r="AM57" i="7" s="1"/>
  <c r="W60" i="5"/>
  <c r="AM56" i="7" s="1"/>
  <c r="W59" i="5"/>
  <c r="AM55" i="7" s="1"/>
  <c r="W58" i="5"/>
  <c r="AM54" i="7" s="1"/>
  <c r="W57" i="5"/>
  <c r="AM53" i="7" s="1"/>
  <c r="W56" i="5"/>
  <c r="AM52" i="7" s="1"/>
  <c r="W54" i="5"/>
  <c r="AM50" i="7" s="1"/>
  <c r="W52" i="5"/>
  <c r="AM48" i="7" s="1"/>
  <c r="W51" i="5"/>
  <c r="AM47" i="7" s="1"/>
  <c r="W50" i="5"/>
  <c r="AM46" i="7" s="1"/>
  <c r="W49" i="5"/>
  <c r="AM45" i="7" s="1"/>
  <c r="W47" i="5"/>
  <c r="AM43" i="7" s="1"/>
  <c r="W46" i="5"/>
  <c r="AM42" i="7" s="1"/>
  <c r="W45" i="5"/>
  <c r="AM41" i="7" s="1"/>
  <c r="W44" i="5"/>
  <c r="AM40" i="7" s="1"/>
  <c r="W41" i="5"/>
  <c r="AM37" i="7" s="1"/>
  <c r="W39" i="5"/>
  <c r="AM35" i="7" s="1"/>
  <c r="W38" i="5"/>
  <c r="AM34" i="7" s="1"/>
  <c r="W37" i="5"/>
  <c r="AM33" i="7" s="1"/>
  <c r="W36" i="5"/>
  <c r="AM32" i="7" s="1"/>
  <c r="W35" i="5"/>
  <c r="AM31" i="7" s="1"/>
  <c r="W34" i="5"/>
  <c r="AM30" i="7" s="1"/>
  <c r="W32" i="5"/>
  <c r="AM28" i="7" s="1"/>
  <c r="W30" i="5"/>
  <c r="AM26" i="7" s="1"/>
  <c r="W29" i="5"/>
  <c r="AM25" i="7" s="1"/>
  <c r="W28" i="5"/>
  <c r="AM24" i="7" s="1"/>
  <c r="W27" i="5"/>
  <c r="AM23" i="7" s="1"/>
  <c r="W26" i="5"/>
  <c r="AM22" i="7" s="1"/>
  <c r="W24" i="5"/>
  <c r="AM20" i="7" s="1"/>
  <c r="W22" i="5"/>
  <c r="AM18" i="7" s="1"/>
  <c r="W21" i="5"/>
  <c r="AM17" i="7" s="1"/>
  <c r="W20" i="5"/>
  <c r="AM16" i="7" s="1"/>
  <c r="W19" i="5"/>
  <c r="AM15" i="7" s="1"/>
  <c r="W18" i="5"/>
  <c r="AM14" i="7" s="1"/>
  <c r="W17" i="5"/>
  <c r="AM13" i="7" s="1"/>
  <c r="W16" i="5"/>
  <c r="AM12" i="7" s="1"/>
  <c r="W15" i="5"/>
  <c r="AM11" i="7" s="1"/>
  <c r="W14" i="5"/>
  <c r="AM10" i="7" s="1"/>
  <c r="W13" i="5"/>
  <c r="AM9" i="7" s="1"/>
  <c r="M88" i="5"/>
  <c r="AK84" i="7" s="1"/>
  <c r="M85" i="5"/>
  <c r="M84" i="5"/>
  <c r="AK80" i="7" s="1"/>
  <c r="M81" i="5"/>
  <c r="AK77" i="7" s="1"/>
  <c r="M80" i="5"/>
  <c r="AK76" i="7" s="1"/>
  <c r="M79" i="5"/>
  <c r="AK75" i="7" s="1"/>
  <c r="M78" i="5"/>
  <c r="AK74" i="7" s="1"/>
  <c r="M77" i="5"/>
  <c r="AK73" i="7" s="1"/>
  <c r="M76" i="5"/>
  <c r="M75" i="5"/>
  <c r="M73" i="5"/>
  <c r="M72" i="5"/>
  <c r="M71" i="5"/>
  <c r="M69" i="5"/>
  <c r="M68" i="5"/>
  <c r="M67" i="5"/>
  <c r="M66" i="5"/>
  <c r="M65" i="5"/>
  <c r="M64" i="5"/>
  <c r="M63" i="5"/>
  <c r="M62" i="5"/>
  <c r="M61" i="5"/>
  <c r="M60" i="5"/>
  <c r="M59" i="5"/>
  <c r="M58" i="5"/>
  <c r="M57" i="5"/>
  <c r="M56" i="5"/>
  <c r="M54" i="5"/>
  <c r="M52" i="5"/>
  <c r="AK48" i="7" s="1"/>
  <c r="M51" i="5"/>
  <c r="AK47" i="7" s="1"/>
  <c r="M50" i="5"/>
  <c r="AK46" i="7" s="1"/>
  <c r="M49" i="5"/>
  <c r="AK45" i="7" s="1"/>
  <c r="M47" i="5"/>
  <c r="M46" i="5"/>
  <c r="M45" i="5"/>
  <c r="M44" i="5"/>
  <c r="M41" i="5"/>
  <c r="M39" i="5"/>
  <c r="M38" i="5"/>
  <c r="M37" i="5"/>
  <c r="M36" i="5"/>
  <c r="M35" i="5"/>
  <c r="M34" i="5"/>
  <c r="M32" i="5"/>
  <c r="AK28" i="7" s="1"/>
  <c r="M30" i="5"/>
  <c r="AK26" i="7" s="1"/>
  <c r="M29" i="5"/>
  <c r="AK25" i="7" s="1"/>
  <c r="M28" i="5"/>
  <c r="AK24" i="7" s="1"/>
  <c r="M27" i="5"/>
  <c r="AK23" i="7" s="1"/>
  <c r="M26" i="5"/>
  <c r="AK22" i="7" s="1"/>
  <c r="M24" i="5"/>
  <c r="AK20" i="7" s="1"/>
  <c r="M22" i="5"/>
  <c r="M21" i="5"/>
  <c r="M20" i="5"/>
  <c r="M19" i="5"/>
  <c r="AK15" i="7" s="1"/>
  <c r="M18" i="5"/>
  <c r="M17" i="5"/>
  <c r="M16" i="5"/>
  <c r="M15" i="5"/>
  <c r="M14" i="5"/>
  <c r="AK10" i="7" s="1"/>
  <c r="M13" i="5"/>
  <c r="AK9" i="7" s="1"/>
  <c r="K88" i="5"/>
  <c r="AI84" i="7" s="1"/>
  <c r="K85" i="5"/>
  <c r="AI81" i="7" s="1"/>
  <c r="K84" i="5"/>
  <c r="AI80" i="7" s="1"/>
  <c r="K81" i="5"/>
  <c r="AI77" i="7" s="1"/>
  <c r="K80" i="5"/>
  <c r="AI76" i="7" s="1"/>
  <c r="K79" i="5"/>
  <c r="AI75" i="7" s="1"/>
  <c r="K78" i="5"/>
  <c r="AI74" i="7" s="1"/>
  <c r="K77" i="5"/>
  <c r="AI73" i="7" s="1"/>
  <c r="K76" i="5"/>
  <c r="AI72" i="7" s="1"/>
  <c r="K75" i="5"/>
  <c r="AI71" i="7" s="1"/>
  <c r="K73" i="5"/>
  <c r="AI69" i="7" s="1"/>
  <c r="K72" i="5"/>
  <c r="AI68" i="7" s="1"/>
  <c r="K71" i="5"/>
  <c r="AI67" i="7" s="1"/>
  <c r="K69" i="5"/>
  <c r="AI65" i="7" s="1"/>
  <c r="K68" i="5"/>
  <c r="AI64" i="7" s="1"/>
  <c r="K67" i="5"/>
  <c r="AI63" i="7" s="1"/>
  <c r="K66" i="5"/>
  <c r="AI62" i="7" s="1"/>
  <c r="K65" i="5"/>
  <c r="AI61" i="7" s="1"/>
  <c r="K64" i="5"/>
  <c r="AI60" i="7" s="1"/>
  <c r="K63" i="5"/>
  <c r="AI59" i="7" s="1"/>
  <c r="K62" i="5"/>
  <c r="AI58" i="7" s="1"/>
  <c r="K61" i="5"/>
  <c r="AI57" i="7" s="1"/>
  <c r="K60" i="5"/>
  <c r="AI56" i="7" s="1"/>
  <c r="K59" i="5"/>
  <c r="AI55" i="7" s="1"/>
  <c r="K58" i="5"/>
  <c r="AI54" i="7" s="1"/>
  <c r="K57" i="5"/>
  <c r="AI53" i="7" s="1"/>
  <c r="K56" i="5"/>
  <c r="AI52" i="7" s="1"/>
  <c r="K54" i="5"/>
  <c r="AI50" i="7" s="1"/>
  <c r="K52" i="5"/>
  <c r="AI48" i="7" s="1"/>
  <c r="K51" i="5"/>
  <c r="AI47" i="7" s="1"/>
  <c r="K50" i="5"/>
  <c r="AI46" i="7" s="1"/>
  <c r="K49" i="5"/>
  <c r="AI45" i="7" s="1"/>
  <c r="K47" i="5"/>
  <c r="AI43" i="7" s="1"/>
  <c r="K46" i="5"/>
  <c r="AI42" i="7" s="1"/>
  <c r="K45" i="5"/>
  <c r="AI41" i="7" s="1"/>
  <c r="K44" i="5"/>
  <c r="AI40" i="7" s="1"/>
  <c r="K41" i="5"/>
  <c r="AI37" i="7" s="1"/>
  <c r="K39" i="5"/>
  <c r="AI35" i="7" s="1"/>
  <c r="K38" i="5"/>
  <c r="AI34" i="7" s="1"/>
  <c r="K37" i="5"/>
  <c r="AI33" i="7" s="1"/>
  <c r="K36" i="5"/>
  <c r="AI32" i="7" s="1"/>
  <c r="K35" i="5"/>
  <c r="AI31" i="7" s="1"/>
  <c r="K34" i="5"/>
  <c r="AI30" i="7" s="1"/>
  <c r="K32" i="5"/>
  <c r="AI28" i="7" s="1"/>
  <c r="K30" i="5"/>
  <c r="AI26" i="7" s="1"/>
  <c r="K29" i="5"/>
  <c r="AI25" i="7" s="1"/>
  <c r="K28" i="5"/>
  <c r="AI24" i="7" s="1"/>
  <c r="K27" i="5"/>
  <c r="AI23" i="7" s="1"/>
  <c r="K26" i="5"/>
  <c r="AI22" i="7" s="1"/>
  <c r="K24" i="5"/>
  <c r="AI20" i="7" s="1"/>
  <c r="K22" i="5"/>
  <c r="AI18" i="7" s="1"/>
  <c r="K21" i="5"/>
  <c r="AI17" i="7" s="1"/>
  <c r="K20" i="5"/>
  <c r="AI16" i="7" s="1"/>
  <c r="K19" i="5"/>
  <c r="AI15" i="7" s="1"/>
  <c r="K18" i="5"/>
  <c r="AI14" i="7" s="1"/>
  <c r="K17" i="5"/>
  <c r="AI13" i="7" s="1"/>
  <c r="K16" i="5"/>
  <c r="AI12" i="7" s="1"/>
  <c r="K15" i="5"/>
  <c r="AI11" i="7" s="1"/>
  <c r="K14" i="5"/>
  <c r="AI10" i="7" s="1"/>
  <c r="K13" i="5"/>
  <c r="AI9" i="7" s="1"/>
  <c r="BH88" i="5"/>
  <c r="BI86" i="5"/>
  <c r="BE82" i="7" s="1"/>
  <c r="BG86" i="5"/>
  <c r="BH85" i="5"/>
  <c r="BH84" i="5"/>
  <c r="BH81" i="5"/>
  <c r="BH80" i="5"/>
  <c r="BH79" i="5"/>
  <c r="BH78" i="5"/>
  <c r="BH77" i="5"/>
  <c r="BH76" i="5"/>
  <c r="BH75" i="5"/>
  <c r="BJ75" i="5" s="1"/>
  <c r="BI74" i="5"/>
  <c r="BE70" i="7" s="1"/>
  <c r="BG74" i="5"/>
  <c r="BC70" i="7" s="1"/>
  <c r="BH73" i="5"/>
  <c r="BH72" i="5"/>
  <c r="BH71" i="5"/>
  <c r="BJ71" i="5" s="1"/>
  <c r="BI70" i="5"/>
  <c r="BG70" i="5"/>
  <c r="BC66" i="7" s="1"/>
  <c r="BH69" i="5"/>
  <c r="BH68" i="5"/>
  <c r="BH67" i="5"/>
  <c r="BH66" i="5"/>
  <c r="BH65" i="5"/>
  <c r="BH64" i="5"/>
  <c r="BH63" i="5"/>
  <c r="BH62" i="5"/>
  <c r="BH61" i="5"/>
  <c r="BH60" i="5"/>
  <c r="BH59" i="5"/>
  <c r="BH58" i="5"/>
  <c r="BH57" i="5"/>
  <c r="BH56" i="5"/>
  <c r="BG55" i="5"/>
  <c r="BC51" i="7" s="1"/>
  <c r="BD50" i="7"/>
  <c r="BH49" i="5"/>
  <c r="BJ49" i="5" s="1"/>
  <c r="BI48" i="5"/>
  <c r="BE44" i="7" s="1"/>
  <c r="BG48" i="5"/>
  <c r="BC44" i="7" s="1"/>
  <c r="BH47" i="5"/>
  <c r="BH46" i="5"/>
  <c r="BH45" i="5"/>
  <c r="BH44" i="5"/>
  <c r="BI43" i="5"/>
  <c r="BG43" i="5"/>
  <c r="BJ41" i="5"/>
  <c r="BD35" i="7"/>
  <c r="BD34" i="7"/>
  <c r="BD33" i="7"/>
  <c r="BD32" i="7"/>
  <c r="BD31" i="7"/>
  <c r="BD30" i="7"/>
  <c r="BE29" i="7"/>
  <c r="BG33" i="5"/>
  <c r="BH32" i="5"/>
  <c r="BH30" i="5"/>
  <c r="BH29" i="5"/>
  <c r="BH28" i="5"/>
  <c r="BH27" i="5"/>
  <c r="BH26" i="5"/>
  <c r="BH24" i="5"/>
  <c r="BH22" i="5"/>
  <c r="BH21" i="5"/>
  <c r="BH20" i="5"/>
  <c r="BH19" i="5"/>
  <c r="BH18" i="5"/>
  <c r="BH17" i="5"/>
  <c r="BH16" i="5"/>
  <c r="BH15" i="5"/>
  <c r="BH14" i="5"/>
  <c r="BJ14" i="5" s="1"/>
  <c r="BH13" i="5"/>
  <c r="BI12" i="5"/>
  <c r="BG12" i="5"/>
  <c r="BA86" i="5"/>
  <c r="AY86" i="5"/>
  <c r="AZ86" i="5" s="1"/>
  <c r="BA74" i="5"/>
  <c r="AY74" i="5"/>
  <c r="BA70" i="5"/>
  <c r="AY70" i="5"/>
  <c r="BA55" i="5"/>
  <c r="AY55" i="5"/>
  <c r="BA48" i="5"/>
  <c r="AY48" i="5"/>
  <c r="BA43" i="5"/>
  <c r="AY43" i="5"/>
  <c r="AY33" i="5"/>
  <c r="BA12" i="5"/>
  <c r="AY12" i="5"/>
  <c r="AY23" i="5" s="1"/>
  <c r="AW86" i="5"/>
  <c r="AU86" i="5"/>
  <c r="AV86" i="5" s="1"/>
  <c r="AX86" i="5" s="1"/>
  <c r="AS86" i="5"/>
  <c r="AQ86" i="5"/>
  <c r="AR86" i="5" s="1"/>
  <c r="AT86" i="5" s="1"/>
  <c r="AW74" i="5"/>
  <c r="AU74" i="5"/>
  <c r="AV74" i="5" s="1"/>
  <c r="AX74" i="5" s="1"/>
  <c r="AS74" i="5"/>
  <c r="AQ74" i="5"/>
  <c r="AW70" i="5"/>
  <c r="AU70" i="5"/>
  <c r="AV70" i="5" s="1"/>
  <c r="AX70" i="5" s="1"/>
  <c r="AS70" i="5"/>
  <c r="AQ70" i="5"/>
  <c r="AW55" i="5"/>
  <c r="AU55" i="5"/>
  <c r="AV55" i="5" s="1"/>
  <c r="AX55" i="5" s="1"/>
  <c r="AS55" i="5"/>
  <c r="AQ55" i="5"/>
  <c r="AW48" i="5"/>
  <c r="AU48" i="5"/>
  <c r="AV48" i="5" s="1"/>
  <c r="AX48" i="5" s="1"/>
  <c r="AS48" i="5"/>
  <c r="AQ48" i="5"/>
  <c r="AW43" i="5"/>
  <c r="AW31" i="5" s="1"/>
  <c r="AU43" i="5"/>
  <c r="AV43" i="5" s="1"/>
  <c r="AX43" i="5" s="1"/>
  <c r="AS43" i="5"/>
  <c r="AS31" i="5" s="1"/>
  <c r="AQ43" i="5"/>
  <c r="AU33" i="5"/>
  <c r="AV33" i="5" s="1"/>
  <c r="AX33" i="5" s="1"/>
  <c r="AQ33" i="5"/>
  <c r="BC33" i="5" s="1"/>
  <c r="AY29" i="7" s="1"/>
  <c r="AR24" i="5"/>
  <c r="AT24" i="5" s="1"/>
  <c r="AR14" i="5"/>
  <c r="AT14" i="5" s="1"/>
  <c r="AR13" i="5"/>
  <c r="AT13" i="5" s="1"/>
  <c r="AW12" i="5"/>
  <c r="AW23" i="5" s="1"/>
  <c r="AU12" i="5"/>
  <c r="AS12" i="5"/>
  <c r="AQ12" i="5"/>
  <c r="AJ88" i="5"/>
  <c r="AL88" i="5" s="1"/>
  <c r="AK86" i="5"/>
  <c r="AI86" i="5"/>
  <c r="AJ86" i="5" s="1"/>
  <c r="AL86" i="5" s="1"/>
  <c r="AJ85" i="5"/>
  <c r="AL85" i="5" s="1"/>
  <c r="AJ84" i="5"/>
  <c r="AL84" i="5" s="1"/>
  <c r="AJ81" i="5"/>
  <c r="AL81" i="5" s="1"/>
  <c r="AJ80" i="5"/>
  <c r="AL80" i="5" s="1"/>
  <c r="AJ79" i="5"/>
  <c r="AL79" i="5" s="1"/>
  <c r="AJ78" i="5"/>
  <c r="AL78" i="5" s="1"/>
  <c r="AJ77" i="5"/>
  <c r="AL77" i="5" s="1"/>
  <c r="AJ76" i="5"/>
  <c r="AL76" i="5" s="1"/>
  <c r="AJ75" i="5"/>
  <c r="AL75" i="5" s="1"/>
  <c r="AK74" i="5"/>
  <c r="AI74" i="5"/>
  <c r="AJ73" i="5"/>
  <c r="AL73" i="5" s="1"/>
  <c r="AJ72" i="5"/>
  <c r="AL72" i="5" s="1"/>
  <c r="AJ71" i="5"/>
  <c r="AL71" i="5" s="1"/>
  <c r="AK70" i="5"/>
  <c r="AI70" i="5"/>
  <c r="AJ70" i="5" s="1"/>
  <c r="AL70" i="5" s="1"/>
  <c r="AJ69" i="5"/>
  <c r="AL69" i="5" s="1"/>
  <c r="AJ68" i="5"/>
  <c r="AL68" i="5" s="1"/>
  <c r="AJ67" i="5"/>
  <c r="AL67" i="5" s="1"/>
  <c r="AJ66" i="5"/>
  <c r="AL66" i="5" s="1"/>
  <c r="AJ65" i="5"/>
  <c r="AL65" i="5" s="1"/>
  <c r="AJ64" i="5"/>
  <c r="AL64" i="5" s="1"/>
  <c r="AJ63" i="5"/>
  <c r="AL63" i="5" s="1"/>
  <c r="AJ62" i="5"/>
  <c r="AL62" i="5" s="1"/>
  <c r="AJ61" i="5"/>
  <c r="AL61" i="5" s="1"/>
  <c r="AJ60" i="5"/>
  <c r="AL60" i="5" s="1"/>
  <c r="AJ59" i="5"/>
  <c r="AL59" i="5" s="1"/>
  <c r="AJ58" i="5"/>
  <c r="AL58" i="5" s="1"/>
  <c r="AJ57" i="5"/>
  <c r="AL57" i="5" s="1"/>
  <c r="AJ56" i="5"/>
  <c r="AL56" i="5" s="1"/>
  <c r="AK55" i="5"/>
  <c r="AK53" i="5" s="1"/>
  <c r="AI55" i="5"/>
  <c r="AJ55" i="5" s="1"/>
  <c r="AL55" i="5" s="1"/>
  <c r="AJ54" i="5"/>
  <c r="AL54" i="5" s="1"/>
  <c r="AJ52" i="5"/>
  <c r="AL52" i="5" s="1"/>
  <c r="AJ51" i="5"/>
  <c r="AL51" i="5" s="1"/>
  <c r="AJ50" i="5"/>
  <c r="AL50" i="5" s="1"/>
  <c r="AJ49" i="5"/>
  <c r="AL49" i="5" s="1"/>
  <c r="AK48" i="5"/>
  <c r="AI48" i="5"/>
  <c r="AJ47" i="5"/>
  <c r="AL47" i="5" s="1"/>
  <c r="AJ46" i="5"/>
  <c r="AL46" i="5" s="1"/>
  <c r="AJ45" i="5"/>
  <c r="AL45" i="5" s="1"/>
  <c r="AJ44" i="5"/>
  <c r="AL44" i="5" s="1"/>
  <c r="AK43" i="5"/>
  <c r="AI43" i="5"/>
  <c r="AJ43" i="5" s="1"/>
  <c r="AL43" i="5" s="1"/>
  <c r="AJ41" i="5"/>
  <c r="AL41" i="5" s="1"/>
  <c r="AJ39" i="5"/>
  <c r="AL39" i="5" s="1"/>
  <c r="AJ38" i="5"/>
  <c r="AL38" i="5" s="1"/>
  <c r="AJ37" i="5"/>
  <c r="AL37" i="5" s="1"/>
  <c r="AJ36" i="5"/>
  <c r="AL36" i="5" s="1"/>
  <c r="AJ35" i="5"/>
  <c r="AL35" i="5" s="1"/>
  <c r="AJ34" i="5"/>
  <c r="AL34" i="5" s="1"/>
  <c r="AI33" i="5"/>
  <c r="AJ33" i="5" s="1"/>
  <c r="AL33" i="5" s="1"/>
  <c r="AJ32" i="5"/>
  <c r="AL32" i="5" s="1"/>
  <c r="AJ30" i="5"/>
  <c r="AL30" i="5" s="1"/>
  <c r="AJ29" i="5"/>
  <c r="AL29" i="5" s="1"/>
  <c r="AJ28" i="5"/>
  <c r="AL28" i="5" s="1"/>
  <c r="AJ27" i="5"/>
  <c r="AL27" i="5" s="1"/>
  <c r="AJ26" i="5"/>
  <c r="AL26" i="5" s="1"/>
  <c r="AJ24" i="5"/>
  <c r="AL24" i="5" s="1"/>
  <c r="AJ22" i="5"/>
  <c r="AL22" i="5" s="1"/>
  <c r="AJ21" i="5"/>
  <c r="AL21" i="5" s="1"/>
  <c r="AJ20" i="5"/>
  <c r="AL20" i="5" s="1"/>
  <c r="AJ19" i="5"/>
  <c r="AL19" i="5" s="1"/>
  <c r="AJ18" i="5"/>
  <c r="AL18" i="5" s="1"/>
  <c r="AJ17" i="5"/>
  <c r="AL17" i="5" s="1"/>
  <c r="AJ16" i="5"/>
  <c r="AL16" i="5" s="1"/>
  <c r="AJ15" i="5"/>
  <c r="AL15" i="5" s="1"/>
  <c r="AJ14" i="5"/>
  <c r="AL14" i="5" s="1"/>
  <c r="AJ13" i="5"/>
  <c r="AL13" i="5" s="1"/>
  <c r="AK12" i="5"/>
  <c r="AK23" i="5" s="1"/>
  <c r="AI12" i="5"/>
  <c r="AI23" i="5" s="1"/>
  <c r="AJ23" i="5" s="1"/>
  <c r="AL23" i="5" s="1"/>
  <c r="AF88" i="5"/>
  <c r="AH88" i="5" s="1"/>
  <c r="AB88" i="5"/>
  <c r="AD88" i="5" s="1"/>
  <c r="AG86" i="5"/>
  <c r="AE86" i="5"/>
  <c r="AF86" i="5" s="1"/>
  <c r="AH86" i="5" s="1"/>
  <c r="AC86" i="5"/>
  <c r="AS82" i="7" s="1"/>
  <c r="AA86" i="5"/>
  <c r="AF85" i="5"/>
  <c r="AH85" i="5" s="1"/>
  <c r="AB85" i="5"/>
  <c r="AD85" i="5" s="1"/>
  <c r="AF84" i="5"/>
  <c r="AH84" i="5" s="1"/>
  <c r="AB84" i="5"/>
  <c r="AD84" i="5" s="1"/>
  <c r="AF81" i="5"/>
  <c r="AH81" i="5" s="1"/>
  <c r="AB81" i="5"/>
  <c r="AD81" i="5" s="1"/>
  <c r="AF80" i="5"/>
  <c r="AH80" i="5" s="1"/>
  <c r="AB80" i="5"/>
  <c r="AD80" i="5" s="1"/>
  <c r="AF79" i="5"/>
  <c r="AH79" i="5" s="1"/>
  <c r="AB79" i="5"/>
  <c r="AD79" i="5" s="1"/>
  <c r="AF78" i="5"/>
  <c r="AH78" i="5" s="1"/>
  <c r="AB78" i="5"/>
  <c r="AD78" i="5" s="1"/>
  <c r="AF77" i="5"/>
  <c r="AH77" i="5" s="1"/>
  <c r="AB77" i="5"/>
  <c r="AD77" i="5" s="1"/>
  <c r="AF76" i="5"/>
  <c r="AH76" i="5" s="1"/>
  <c r="AB76" i="5"/>
  <c r="AD76" i="5" s="1"/>
  <c r="AF75" i="5"/>
  <c r="AH75" i="5" s="1"/>
  <c r="AB75" i="5"/>
  <c r="AD75" i="5" s="1"/>
  <c r="AG74" i="5"/>
  <c r="AE74" i="5"/>
  <c r="AC74" i="5"/>
  <c r="AA74" i="5"/>
  <c r="AQ70" i="7" s="1"/>
  <c r="AF73" i="5"/>
  <c r="AH73" i="5" s="1"/>
  <c r="AB73" i="5"/>
  <c r="AD73" i="5" s="1"/>
  <c r="AF72" i="5"/>
  <c r="AH72" i="5" s="1"/>
  <c r="AB72" i="5"/>
  <c r="AD72" i="5" s="1"/>
  <c r="AF71" i="5"/>
  <c r="AH71" i="5" s="1"/>
  <c r="AB71" i="5"/>
  <c r="AO70" i="5"/>
  <c r="AE70" i="5"/>
  <c r="AC70" i="5"/>
  <c r="AQ66" i="7"/>
  <c r="AF69" i="5"/>
  <c r="AH69" i="5" s="1"/>
  <c r="AB69" i="5"/>
  <c r="AD69" i="5" s="1"/>
  <c r="AF68" i="5"/>
  <c r="AH68" i="5" s="1"/>
  <c r="AB68" i="5"/>
  <c r="AD68" i="5" s="1"/>
  <c r="AF67" i="5"/>
  <c r="AH67" i="5" s="1"/>
  <c r="AB67" i="5"/>
  <c r="AD67" i="5" s="1"/>
  <c r="AF66" i="5"/>
  <c r="AH66" i="5" s="1"/>
  <c r="AB66" i="5"/>
  <c r="AD66" i="5" s="1"/>
  <c r="AF65" i="5"/>
  <c r="AH65" i="5" s="1"/>
  <c r="AB65" i="5"/>
  <c r="AD65" i="5" s="1"/>
  <c r="AF64" i="5"/>
  <c r="AH64" i="5" s="1"/>
  <c r="AB64" i="5"/>
  <c r="AD64" i="5" s="1"/>
  <c r="AF63" i="5"/>
  <c r="AH63" i="5" s="1"/>
  <c r="AB63" i="5"/>
  <c r="AD63" i="5" s="1"/>
  <c r="AF62" i="5"/>
  <c r="AH62" i="5" s="1"/>
  <c r="AB62" i="5"/>
  <c r="AD62" i="5" s="1"/>
  <c r="AF61" i="5"/>
  <c r="AH61" i="5" s="1"/>
  <c r="AB61" i="5"/>
  <c r="AD61" i="5" s="1"/>
  <c r="AF60" i="5"/>
  <c r="AH60" i="5" s="1"/>
  <c r="AB60" i="5"/>
  <c r="AD60" i="5" s="1"/>
  <c r="AF59" i="5"/>
  <c r="AH59" i="5" s="1"/>
  <c r="AB59" i="5"/>
  <c r="AD59" i="5" s="1"/>
  <c r="AF58" i="5"/>
  <c r="AH58" i="5" s="1"/>
  <c r="AB58" i="5"/>
  <c r="AD58" i="5" s="1"/>
  <c r="AF57" i="5"/>
  <c r="AH57" i="5" s="1"/>
  <c r="AB57" i="5"/>
  <c r="AD57" i="5" s="1"/>
  <c r="AF56" i="5"/>
  <c r="AB56" i="5"/>
  <c r="AG55" i="5"/>
  <c r="AE55" i="5"/>
  <c r="AE53" i="5" s="1"/>
  <c r="AC55" i="5"/>
  <c r="AA55" i="5"/>
  <c r="AQ51" i="7" s="1"/>
  <c r="AT48" i="7"/>
  <c r="AT47" i="7"/>
  <c r="AF49" i="5"/>
  <c r="AH49" i="5" s="1"/>
  <c r="AT45" i="7"/>
  <c r="AG48" i="5"/>
  <c r="AE48" i="5"/>
  <c r="AC48" i="5"/>
  <c r="AA48" i="5"/>
  <c r="AQ44" i="7" s="1"/>
  <c r="AT43" i="7"/>
  <c r="AT42" i="7"/>
  <c r="AT41" i="7"/>
  <c r="AT40" i="7"/>
  <c r="AG43" i="5"/>
  <c r="AG31" i="5" s="1"/>
  <c r="AE43" i="5"/>
  <c r="AC43" i="5"/>
  <c r="AC31" i="5" s="1"/>
  <c r="AA43" i="5"/>
  <c r="AQ39" i="7" s="1"/>
  <c r="AD41" i="5"/>
  <c r="AO33" i="5"/>
  <c r="AE33" i="5"/>
  <c r="AS29" i="7"/>
  <c r="AA33" i="5"/>
  <c r="AF32" i="5"/>
  <c r="AH32" i="5" s="1"/>
  <c r="AB32" i="5"/>
  <c r="AD32" i="5" s="1"/>
  <c r="AF30" i="5"/>
  <c r="AH30" i="5" s="1"/>
  <c r="AB30" i="5"/>
  <c r="AD30" i="5" s="1"/>
  <c r="AF29" i="5"/>
  <c r="AH29" i="5" s="1"/>
  <c r="AB29" i="5"/>
  <c r="AD29" i="5" s="1"/>
  <c r="AF28" i="5"/>
  <c r="AH28" i="5" s="1"/>
  <c r="AB28" i="5"/>
  <c r="AD28" i="5" s="1"/>
  <c r="AF27" i="5"/>
  <c r="AH27" i="5" s="1"/>
  <c r="AB27" i="5"/>
  <c r="AF26" i="5"/>
  <c r="AH26" i="5" s="1"/>
  <c r="AB26" i="5"/>
  <c r="AD26" i="5" s="1"/>
  <c r="AF24" i="5"/>
  <c r="AH24" i="5" s="1"/>
  <c r="AB24" i="5"/>
  <c r="AD24" i="5" s="1"/>
  <c r="AF22" i="5"/>
  <c r="AH22" i="5" s="1"/>
  <c r="AB22" i="5"/>
  <c r="AD22" i="5" s="1"/>
  <c r="AF21" i="5"/>
  <c r="AH21" i="5" s="1"/>
  <c r="AB21" i="5"/>
  <c r="AD21" i="5" s="1"/>
  <c r="AF20" i="5"/>
  <c r="AH20" i="5" s="1"/>
  <c r="AB20" i="5"/>
  <c r="AD20" i="5" s="1"/>
  <c r="AF19" i="5"/>
  <c r="AH19" i="5" s="1"/>
  <c r="AB19" i="5"/>
  <c r="AD19" i="5" s="1"/>
  <c r="AF18" i="5"/>
  <c r="AH18" i="5" s="1"/>
  <c r="AB18" i="5"/>
  <c r="AD18" i="5" s="1"/>
  <c r="AF17" i="5"/>
  <c r="AH17" i="5" s="1"/>
  <c r="AB17" i="5"/>
  <c r="AD17" i="5" s="1"/>
  <c r="AF16" i="5"/>
  <c r="AH16" i="5" s="1"/>
  <c r="AB16" i="5"/>
  <c r="AD16" i="5" s="1"/>
  <c r="AF15" i="5"/>
  <c r="AH15" i="5" s="1"/>
  <c r="AB15" i="5"/>
  <c r="AD15" i="5" s="1"/>
  <c r="AF14" i="5"/>
  <c r="AH14" i="5" s="1"/>
  <c r="AB14" i="5"/>
  <c r="AF13" i="5"/>
  <c r="AH13" i="5" s="1"/>
  <c r="AB13" i="5"/>
  <c r="AD13" i="5" s="1"/>
  <c r="AG12" i="5"/>
  <c r="AE12" i="5"/>
  <c r="AE23" i="5" s="1"/>
  <c r="AC12" i="5"/>
  <c r="AA12" i="5"/>
  <c r="AQ8" i="7" s="1"/>
  <c r="T88" i="5"/>
  <c r="V88" i="5" s="1"/>
  <c r="P88" i="5"/>
  <c r="R88" i="5" s="1"/>
  <c r="U86" i="5"/>
  <c r="S86" i="5"/>
  <c r="T86" i="5" s="1"/>
  <c r="V86" i="5" s="1"/>
  <c r="Q86" i="5"/>
  <c r="O86" i="5"/>
  <c r="P86" i="5" s="1"/>
  <c r="R86" i="5" s="1"/>
  <c r="T85" i="5"/>
  <c r="V85" i="5" s="1"/>
  <c r="P85" i="5"/>
  <c r="R85" i="5" s="1"/>
  <c r="T84" i="5"/>
  <c r="V84" i="5" s="1"/>
  <c r="P84" i="5"/>
  <c r="R84" i="5" s="1"/>
  <c r="T81" i="5"/>
  <c r="V81" i="5" s="1"/>
  <c r="P81" i="5"/>
  <c r="R81" i="5" s="1"/>
  <c r="T80" i="5"/>
  <c r="V80" i="5" s="1"/>
  <c r="P80" i="5"/>
  <c r="R80" i="5" s="1"/>
  <c r="T79" i="5"/>
  <c r="V79" i="5" s="1"/>
  <c r="P79" i="5"/>
  <c r="R79" i="5" s="1"/>
  <c r="T78" i="5"/>
  <c r="V78" i="5" s="1"/>
  <c r="P78" i="5"/>
  <c r="R78" i="5" s="1"/>
  <c r="T77" i="5"/>
  <c r="V77" i="5" s="1"/>
  <c r="P77" i="5"/>
  <c r="R77" i="5" s="1"/>
  <c r="T76" i="5"/>
  <c r="V76" i="5" s="1"/>
  <c r="P76" i="5"/>
  <c r="R76" i="5" s="1"/>
  <c r="T75" i="5"/>
  <c r="V75" i="5" s="1"/>
  <c r="P75" i="5"/>
  <c r="R75" i="5" s="1"/>
  <c r="U74" i="5"/>
  <c r="S74" i="5"/>
  <c r="T74" i="5" s="1"/>
  <c r="V74" i="5" s="1"/>
  <c r="Q74" i="5"/>
  <c r="O74" i="5"/>
  <c r="T73" i="5"/>
  <c r="V73" i="5" s="1"/>
  <c r="P73" i="5"/>
  <c r="R73" i="5" s="1"/>
  <c r="T72" i="5"/>
  <c r="V72" i="5" s="1"/>
  <c r="P72" i="5"/>
  <c r="R72" i="5" s="1"/>
  <c r="T71" i="5"/>
  <c r="V71" i="5" s="1"/>
  <c r="P71" i="5"/>
  <c r="R71" i="5" s="1"/>
  <c r="U70" i="5"/>
  <c r="S70" i="5"/>
  <c r="T70" i="5" s="1"/>
  <c r="V70" i="5" s="1"/>
  <c r="Q70" i="5"/>
  <c r="O70" i="5"/>
  <c r="T69" i="5"/>
  <c r="V69" i="5" s="1"/>
  <c r="P69" i="5"/>
  <c r="R69" i="5" s="1"/>
  <c r="T68" i="5"/>
  <c r="V68" i="5" s="1"/>
  <c r="P68" i="5"/>
  <c r="R68" i="5" s="1"/>
  <c r="T67" i="5"/>
  <c r="V67" i="5" s="1"/>
  <c r="P67" i="5"/>
  <c r="R67" i="5" s="1"/>
  <c r="T66" i="5"/>
  <c r="V66" i="5" s="1"/>
  <c r="P66" i="5"/>
  <c r="R66" i="5" s="1"/>
  <c r="T65" i="5"/>
  <c r="V65" i="5" s="1"/>
  <c r="P65" i="5"/>
  <c r="R65" i="5" s="1"/>
  <c r="T64" i="5"/>
  <c r="V64" i="5" s="1"/>
  <c r="P64" i="5"/>
  <c r="R64" i="5" s="1"/>
  <c r="T63" i="5"/>
  <c r="V63" i="5" s="1"/>
  <c r="P63" i="5"/>
  <c r="R63" i="5" s="1"/>
  <c r="T62" i="5"/>
  <c r="V62" i="5" s="1"/>
  <c r="P62" i="5"/>
  <c r="R62" i="5" s="1"/>
  <c r="T61" i="5"/>
  <c r="V61" i="5" s="1"/>
  <c r="P61" i="5"/>
  <c r="R61" i="5" s="1"/>
  <c r="T60" i="5"/>
  <c r="V60" i="5" s="1"/>
  <c r="P60" i="5"/>
  <c r="R60" i="5" s="1"/>
  <c r="T59" i="5"/>
  <c r="V59" i="5" s="1"/>
  <c r="P59" i="5"/>
  <c r="R59" i="5" s="1"/>
  <c r="T58" i="5"/>
  <c r="V58" i="5" s="1"/>
  <c r="P58" i="5"/>
  <c r="R58" i="5" s="1"/>
  <c r="T57" i="5"/>
  <c r="V57" i="5" s="1"/>
  <c r="P57" i="5"/>
  <c r="R57" i="5" s="1"/>
  <c r="T56" i="5"/>
  <c r="V56" i="5" s="1"/>
  <c r="P56" i="5"/>
  <c r="U55" i="5"/>
  <c r="U53" i="5" s="1"/>
  <c r="S55" i="5"/>
  <c r="T55" i="5" s="1"/>
  <c r="V55" i="5" s="1"/>
  <c r="Q55" i="5"/>
  <c r="O55" i="5"/>
  <c r="T52" i="5"/>
  <c r="V52" i="5" s="1"/>
  <c r="T51" i="5"/>
  <c r="V51" i="5" s="1"/>
  <c r="T50" i="5"/>
  <c r="V50" i="5" s="1"/>
  <c r="T49" i="5"/>
  <c r="V49" i="5" s="1"/>
  <c r="U48" i="5"/>
  <c r="S48" i="5"/>
  <c r="T48" i="5" s="1"/>
  <c r="V48" i="5" s="1"/>
  <c r="Q48" i="5"/>
  <c r="O48" i="5"/>
  <c r="T47" i="5"/>
  <c r="V47" i="5" s="1"/>
  <c r="T46" i="5"/>
  <c r="V46" i="5" s="1"/>
  <c r="T45" i="5"/>
  <c r="V45" i="5" s="1"/>
  <c r="P45" i="5"/>
  <c r="R45" i="5" s="1"/>
  <c r="T44" i="5"/>
  <c r="V44" i="5" s="1"/>
  <c r="P44" i="5"/>
  <c r="R44" i="5" s="1"/>
  <c r="U43" i="5"/>
  <c r="S43" i="5"/>
  <c r="T43" i="5" s="1"/>
  <c r="V43" i="5" s="1"/>
  <c r="Q43" i="5"/>
  <c r="O43" i="5"/>
  <c r="V41" i="5"/>
  <c r="R41" i="5"/>
  <c r="S33" i="5"/>
  <c r="O33" i="5"/>
  <c r="T32" i="5"/>
  <c r="V32" i="5" s="1"/>
  <c r="P32" i="5"/>
  <c r="R32" i="5" s="1"/>
  <c r="T30" i="5"/>
  <c r="V30" i="5" s="1"/>
  <c r="P30" i="5"/>
  <c r="R30" i="5" s="1"/>
  <c r="T29" i="5"/>
  <c r="V29" i="5" s="1"/>
  <c r="P29" i="5"/>
  <c r="R29" i="5" s="1"/>
  <c r="T28" i="5"/>
  <c r="V28" i="5" s="1"/>
  <c r="P28" i="5"/>
  <c r="R28" i="5" s="1"/>
  <c r="T27" i="5"/>
  <c r="V27" i="5" s="1"/>
  <c r="P27" i="5"/>
  <c r="R27" i="5" s="1"/>
  <c r="T26" i="5"/>
  <c r="V26" i="5" s="1"/>
  <c r="P26" i="5"/>
  <c r="R26" i="5" s="1"/>
  <c r="T24" i="5"/>
  <c r="V24" i="5" s="1"/>
  <c r="P24" i="5"/>
  <c r="R24" i="5" s="1"/>
  <c r="T22" i="5"/>
  <c r="V22" i="5" s="1"/>
  <c r="P22" i="5"/>
  <c r="R22" i="5" s="1"/>
  <c r="T21" i="5"/>
  <c r="V21" i="5" s="1"/>
  <c r="P21" i="5"/>
  <c r="R21" i="5" s="1"/>
  <c r="T20" i="5"/>
  <c r="V20" i="5" s="1"/>
  <c r="P20" i="5"/>
  <c r="R20" i="5" s="1"/>
  <c r="T19" i="5"/>
  <c r="V19" i="5" s="1"/>
  <c r="P19" i="5"/>
  <c r="R19" i="5" s="1"/>
  <c r="T18" i="5"/>
  <c r="V18" i="5" s="1"/>
  <c r="P18" i="5"/>
  <c r="R18" i="5" s="1"/>
  <c r="T17" i="5"/>
  <c r="V17" i="5" s="1"/>
  <c r="P17" i="5"/>
  <c r="R17" i="5" s="1"/>
  <c r="T16" i="5"/>
  <c r="V16" i="5" s="1"/>
  <c r="P16" i="5"/>
  <c r="R16" i="5" s="1"/>
  <c r="T15" i="5"/>
  <c r="V15" i="5" s="1"/>
  <c r="P15" i="5"/>
  <c r="R15" i="5" s="1"/>
  <c r="T14" i="5"/>
  <c r="V14" i="5" s="1"/>
  <c r="P14" i="5"/>
  <c r="R14" i="5" s="1"/>
  <c r="T13" i="5"/>
  <c r="V13" i="5" s="1"/>
  <c r="P13" i="5"/>
  <c r="R13" i="5" s="1"/>
  <c r="U12" i="5"/>
  <c r="S12" i="5"/>
  <c r="Q12" i="5"/>
  <c r="O12" i="5"/>
  <c r="H88" i="5"/>
  <c r="J88" i="5" s="1"/>
  <c r="I86" i="5"/>
  <c r="G86" i="5"/>
  <c r="J85" i="5"/>
  <c r="H84" i="5"/>
  <c r="J84" i="5" s="1"/>
  <c r="H81" i="5"/>
  <c r="J81" i="5" s="1"/>
  <c r="H80" i="5"/>
  <c r="J80" i="5" s="1"/>
  <c r="H79" i="5"/>
  <c r="J79" i="5" s="1"/>
  <c r="H78" i="5"/>
  <c r="J78" i="5" s="1"/>
  <c r="H77" i="5"/>
  <c r="J77" i="5" s="1"/>
  <c r="H76" i="5"/>
  <c r="J76" i="5" s="1"/>
  <c r="H75" i="5"/>
  <c r="J75" i="5" s="1"/>
  <c r="I74" i="5"/>
  <c r="G74" i="5"/>
  <c r="H74" i="5" s="1"/>
  <c r="J74" i="5" s="1"/>
  <c r="H73" i="5"/>
  <c r="J73" i="5" s="1"/>
  <c r="H72" i="5"/>
  <c r="J72" i="5" s="1"/>
  <c r="H71" i="5"/>
  <c r="J71" i="5" s="1"/>
  <c r="I70" i="5"/>
  <c r="G70" i="5"/>
  <c r="H70" i="5" s="1"/>
  <c r="J70" i="5" s="1"/>
  <c r="H69" i="5"/>
  <c r="J69" i="5" s="1"/>
  <c r="H68" i="5"/>
  <c r="J68" i="5" s="1"/>
  <c r="H67" i="5"/>
  <c r="J67" i="5" s="1"/>
  <c r="H66" i="5"/>
  <c r="J66" i="5" s="1"/>
  <c r="H65" i="5"/>
  <c r="J65" i="5" s="1"/>
  <c r="H64" i="5"/>
  <c r="J64" i="5" s="1"/>
  <c r="H63" i="5"/>
  <c r="J63" i="5" s="1"/>
  <c r="H62" i="5"/>
  <c r="J62" i="5" s="1"/>
  <c r="H61" i="5"/>
  <c r="J61" i="5" s="1"/>
  <c r="H60" i="5"/>
  <c r="J60" i="5" s="1"/>
  <c r="H59" i="5"/>
  <c r="J59" i="5" s="1"/>
  <c r="H58" i="5"/>
  <c r="J58" i="5" s="1"/>
  <c r="H57" i="5"/>
  <c r="J57" i="5" s="1"/>
  <c r="H56" i="5"/>
  <c r="J56" i="5" s="1"/>
  <c r="I55" i="5"/>
  <c r="G55" i="5"/>
  <c r="H55" i="5" s="1"/>
  <c r="J55" i="5" s="1"/>
  <c r="H54" i="5"/>
  <c r="J54" i="5" s="1"/>
  <c r="H52" i="5"/>
  <c r="J52" i="5" s="1"/>
  <c r="H51" i="5"/>
  <c r="J51" i="5" s="1"/>
  <c r="H50" i="5"/>
  <c r="J50" i="5" s="1"/>
  <c r="H49" i="5"/>
  <c r="J49" i="5" s="1"/>
  <c r="I48" i="5"/>
  <c r="G48" i="5"/>
  <c r="H48" i="5" s="1"/>
  <c r="J48" i="5" s="1"/>
  <c r="H47" i="5"/>
  <c r="J47" i="5" s="1"/>
  <c r="H46" i="5"/>
  <c r="J46" i="5" s="1"/>
  <c r="H45" i="5"/>
  <c r="J45" i="5" s="1"/>
  <c r="H44" i="5"/>
  <c r="J44" i="5" s="1"/>
  <c r="I43" i="5"/>
  <c r="G43" i="5"/>
  <c r="H43" i="5" s="1"/>
  <c r="J43" i="5" s="1"/>
  <c r="H41" i="5"/>
  <c r="J41" i="5" s="1"/>
  <c r="H39" i="5"/>
  <c r="J39" i="5" s="1"/>
  <c r="H38" i="5"/>
  <c r="J38" i="5" s="1"/>
  <c r="H37" i="5"/>
  <c r="J37" i="5" s="1"/>
  <c r="H36" i="5"/>
  <c r="J36" i="5" s="1"/>
  <c r="H35" i="5"/>
  <c r="J35" i="5" s="1"/>
  <c r="H34" i="5"/>
  <c r="J34" i="5" s="1"/>
  <c r="G33" i="5"/>
  <c r="H33" i="5" s="1"/>
  <c r="J33" i="5" s="1"/>
  <c r="H32" i="5"/>
  <c r="J32" i="5" s="1"/>
  <c r="H30" i="5"/>
  <c r="J30" i="5" s="1"/>
  <c r="H29" i="5"/>
  <c r="J29" i="5" s="1"/>
  <c r="H28" i="5"/>
  <c r="J28" i="5" s="1"/>
  <c r="H27" i="5"/>
  <c r="J27" i="5" s="1"/>
  <c r="H26" i="5"/>
  <c r="J26" i="5" s="1"/>
  <c r="H24" i="5"/>
  <c r="J24" i="5" s="1"/>
  <c r="H22" i="5"/>
  <c r="J22" i="5" s="1"/>
  <c r="H21" i="5"/>
  <c r="J21" i="5" s="1"/>
  <c r="H20" i="5"/>
  <c r="J20" i="5" s="1"/>
  <c r="H19" i="5"/>
  <c r="J19" i="5" s="1"/>
  <c r="H18" i="5"/>
  <c r="J18" i="5" s="1"/>
  <c r="H17" i="5"/>
  <c r="J17" i="5" s="1"/>
  <c r="H16" i="5"/>
  <c r="J16" i="5" s="1"/>
  <c r="H15" i="5"/>
  <c r="J15" i="5" s="1"/>
  <c r="H14" i="5"/>
  <c r="J14" i="5" s="1"/>
  <c r="H13" i="5"/>
  <c r="J13" i="5" s="1"/>
  <c r="I12" i="5"/>
  <c r="I23" i="5" s="1"/>
  <c r="G12" i="5"/>
  <c r="G23" i="5" s="1"/>
  <c r="H23" i="5" s="1"/>
  <c r="J23" i="5" s="1"/>
  <c r="D88" i="5"/>
  <c r="F88" i="5" s="1"/>
  <c r="E86" i="5"/>
  <c r="C86" i="5"/>
  <c r="D86" i="5" s="1"/>
  <c r="F86" i="5" s="1"/>
  <c r="D85" i="5"/>
  <c r="F85" i="5" s="1"/>
  <c r="D84" i="5"/>
  <c r="F84" i="5" s="1"/>
  <c r="D81" i="5"/>
  <c r="F81" i="5" s="1"/>
  <c r="D80" i="5"/>
  <c r="F80" i="5" s="1"/>
  <c r="D79" i="5"/>
  <c r="F79" i="5" s="1"/>
  <c r="D78" i="5"/>
  <c r="F78" i="5" s="1"/>
  <c r="D77" i="5"/>
  <c r="F77" i="5" s="1"/>
  <c r="D76" i="5"/>
  <c r="F76" i="5" s="1"/>
  <c r="D75" i="5"/>
  <c r="F75" i="5" s="1"/>
  <c r="E74" i="5"/>
  <c r="C74" i="5"/>
  <c r="D73" i="5"/>
  <c r="F73" i="5" s="1"/>
  <c r="D72" i="5"/>
  <c r="F72" i="5" s="1"/>
  <c r="D71" i="5"/>
  <c r="F71" i="5" s="1"/>
  <c r="E70" i="5"/>
  <c r="C70" i="5"/>
  <c r="D69" i="5"/>
  <c r="F69" i="5" s="1"/>
  <c r="D68" i="5"/>
  <c r="F68" i="5" s="1"/>
  <c r="D67" i="5"/>
  <c r="F67" i="5" s="1"/>
  <c r="D66" i="5"/>
  <c r="F66" i="5" s="1"/>
  <c r="D65" i="5"/>
  <c r="F65" i="5" s="1"/>
  <c r="D64" i="5"/>
  <c r="F64" i="5" s="1"/>
  <c r="D63" i="5"/>
  <c r="F63" i="5" s="1"/>
  <c r="D62" i="5"/>
  <c r="F62" i="5" s="1"/>
  <c r="D61" i="5"/>
  <c r="F61" i="5" s="1"/>
  <c r="D60" i="5"/>
  <c r="F60" i="5" s="1"/>
  <c r="D59" i="5"/>
  <c r="F59" i="5" s="1"/>
  <c r="D58" i="5"/>
  <c r="F58" i="5" s="1"/>
  <c r="D57" i="5"/>
  <c r="F57" i="5" s="1"/>
  <c r="D56" i="5"/>
  <c r="E55" i="5"/>
  <c r="C55" i="5"/>
  <c r="D52" i="5"/>
  <c r="F52" i="5" s="1"/>
  <c r="D50" i="5"/>
  <c r="F50" i="5" s="1"/>
  <c r="D49" i="5"/>
  <c r="F49" i="5" s="1"/>
  <c r="E48" i="5"/>
  <c r="C48" i="5"/>
  <c r="E43" i="5"/>
  <c r="C43" i="5"/>
  <c r="F41" i="5"/>
  <c r="M33" i="5"/>
  <c r="C33" i="5"/>
  <c r="D32" i="5"/>
  <c r="F32" i="5" s="1"/>
  <c r="D30" i="5"/>
  <c r="F30" i="5" s="1"/>
  <c r="D29" i="5"/>
  <c r="F29" i="5" s="1"/>
  <c r="D28" i="5"/>
  <c r="F28" i="5" s="1"/>
  <c r="D27" i="5"/>
  <c r="F27" i="5" s="1"/>
  <c r="D26" i="5"/>
  <c r="F26" i="5" s="1"/>
  <c r="D24" i="5"/>
  <c r="F24" i="5" s="1"/>
  <c r="D22" i="5"/>
  <c r="F22" i="5" s="1"/>
  <c r="D21" i="5"/>
  <c r="F21" i="5" s="1"/>
  <c r="D20" i="5"/>
  <c r="F20" i="5" s="1"/>
  <c r="D19" i="5"/>
  <c r="F19" i="5" s="1"/>
  <c r="D18" i="5"/>
  <c r="F18" i="5" s="1"/>
  <c r="D17" i="5"/>
  <c r="F17" i="5" s="1"/>
  <c r="D16" i="5"/>
  <c r="F16" i="5" s="1"/>
  <c r="D15" i="5"/>
  <c r="F15" i="5" s="1"/>
  <c r="D14" i="5"/>
  <c r="F14" i="5" s="1"/>
  <c r="D13" i="5"/>
  <c r="F13" i="5" s="1"/>
  <c r="E12" i="5"/>
  <c r="C12" i="5"/>
  <c r="BQ88" i="4"/>
  <c r="AG84" i="7" s="1"/>
  <c r="BQ85" i="4"/>
  <c r="BQ84" i="4"/>
  <c r="AG80" i="7" s="1"/>
  <c r="BQ81" i="4"/>
  <c r="AG77" i="7" s="1"/>
  <c r="BQ80" i="4"/>
  <c r="AG76" i="7" s="1"/>
  <c r="BQ79" i="4"/>
  <c r="BQ78" i="4"/>
  <c r="BQ77" i="4"/>
  <c r="AG73" i="7" s="1"/>
  <c r="BQ76" i="4"/>
  <c r="BQ75" i="4"/>
  <c r="BQ73" i="4"/>
  <c r="BQ72" i="4"/>
  <c r="BQ71" i="4"/>
  <c r="BQ69" i="4"/>
  <c r="BQ68" i="4"/>
  <c r="BQ67" i="4"/>
  <c r="BQ66" i="4"/>
  <c r="BQ65" i="4"/>
  <c r="BQ64" i="4"/>
  <c r="BQ63" i="4"/>
  <c r="BQ62" i="4"/>
  <c r="BQ61" i="4"/>
  <c r="BQ60" i="4"/>
  <c r="BQ59" i="4"/>
  <c r="BQ58" i="4"/>
  <c r="BQ57" i="4"/>
  <c r="BQ56" i="4"/>
  <c r="BQ54" i="4"/>
  <c r="BQ52" i="4"/>
  <c r="BQ51" i="4"/>
  <c r="BQ50" i="4"/>
  <c r="BQ49" i="4"/>
  <c r="BQ47" i="4"/>
  <c r="BQ46" i="4"/>
  <c r="BQ45" i="4"/>
  <c r="BQ44" i="4"/>
  <c r="BQ41" i="4"/>
  <c r="BQ39" i="4"/>
  <c r="BQ38" i="4"/>
  <c r="BQ37" i="4"/>
  <c r="BQ36" i="4"/>
  <c r="BQ35" i="4"/>
  <c r="BQ34" i="4"/>
  <c r="BQ32" i="4"/>
  <c r="AG28" i="7" s="1"/>
  <c r="BQ30" i="4"/>
  <c r="BQ29" i="4"/>
  <c r="AG25" i="7" s="1"/>
  <c r="BQ28" i="4"/>
  <c r="BQ27" i="4"/>
  <c r="BQ26" i="4"/>
  <c r="AG22" i="7" s="1"/>
  <c r="BQ24" i="4"/>
  <c r="AG20" i="7" s="1"/>
  <c r="BQ22" i="4"/>
  <c r="BQ21" i="4"/>
  <c r="BQ20" i="4"/>
  <c r="BQ19" i="4"/>
  <c r="AG15" i="7" s="1"/>
  <c r="BQ18" i="4"/>
  <c r="BQ17" i="4"/>
  <c r="BQ16" i="4"/>
  <c r="BQ15" i="4"/>
  <c r="BQ14" i="4"/>
  <c r="BQ13" i="4"/>
  <c r="AG9" i="7" s="1"/>
  <c r="BO88" i="4"/>
  <c r="AE84" i="7" s="1"/>
  <c r="BO85" i="4"/>
  <c r="AE81" i="7" s="1"/>
  <c r="BO84" i="4"/>
  <c r="AE80" i="7" s="1"/>
  <c r="BO81" i="4"/>
  <c r="AE77" i="7" s="1"/>
  <c r="BO80" i="4"/>
  <c r="AE76" i="7" s="1"/>
  <c r="BO79" i="4"/>
  <c r="AE75" i="7" s="1"/>
  <c r="BO78" i="4"/>
  <c r="AE74" i="7" s="1"/>
  <c r="BO77" i="4"/>
  <c r="AE73" i="7" s="1"/>
  <c r="BO76" i="4"/>
  <c r="AE72" i="7" s="1"/>
  <c r="BO75" i="4"/>
  <c r="AE71" i="7" s="1"/>
  <c r="BO73" i="4"/>
  <c r="AE69" i="7" s="1"/>
  <c r="BO72" i="4"/>
  <c r="AE68" i="7" s="1"/>
  <c r="BO71" i="4"/>
  <c r="AE67" i="7" s="1"/>
  <c r="BO69" i="4"/>
  <c r="AE65" i="7" s="1"/>
  <c r="BO68" i="4"/>
  <c r="AE64" i="7" s="1"/>
  <c r="BO67" i="4"/>
  <c r="AE63" i="7" s="1"/>
  <c r="BO66" i="4"/>
  <c r="AE62" i="7" s="1"/>
  <c r="BO65" i="4"/>
  <c r="AE61" i="7" s="1"/>
  <c r="BO64" i="4"/>
  <c r="AE60" i="7" s="1"/>
  <c r="BO63" i="4"/>
  <c r="AE59" i="7" s="1"/>
  <c r="BO62" i="4"/>
  <c r="AE58" i="7" s="1"/>
  <c r="BO61" i="4"/>
  <c r="AE57" i="7" s="1"/>
  <c r="BO60" i="4"/>
  <c r="AE56" i="7" s="1"/>
  <c r="BO59" i="4"/>
  <c r="AE55" i="7" s="1"/>
  <c r="BO58" i="4"/>
  <c r="AE54" i="7" s="1"/>
  <c r="BO57" i="4"/>
  <c r="AE53" i="7" s="1"/>
  <c r="BO56" i="4"/>
  <c r="AE52" i="7" s="1"/>
  <c r="BO54" i="4"/>
  <c r="AE50" i="7" s="1"/>
  <c r="BO52" i="4"/>
  <c r="AE48" i="7" s="1"/>
  <c r="BO51" i="4"/>
  <c r="AE47" i="7" s="1"/>
  <c r="BO50" i="4"/>
  <c r="AE46" i="7" s="1"/>
  <c r="BO49" i="4"/>
  <c r="AE45" i="7" s="1"/>
  <c r="BO47" i="4"/>
  <c r="AE43" i="7" s="1"/>
  <c r="BO46" i="4"/>
  <c r="AE42" i="7" s="1"/>
  <c r="BO45" i="4"/>
  <c r="AE41" i="7" s="1"/>
  <c r="BO44" i="4"/>
  <c r="AE40" i="7" s="1"/>
  <c r="BO41" i="4"/>
  <c r="AE37" i="7" s="1"/>
  <c r="BO39" i="4"/>
  <c r="AE35" i="7" s="1"/>
  <c r="BO38" i="4"/>
  <c r="AE34" i="7" s="1"/>
  <c r="BO37" i="4"/>
  <c r="AE33" i="7" s="1"/>
  <c r="BO36" i="4"/>
  <c r="AE32" i="7" s="1"/>
  <c r="BO35" i="4"/>
  <c r="AE31" i="7" s="1"/>
  <c r="BO34" i="4"/>
  <c r="AE30" i="7" s="1"/>
  <c r="BO32" i="4"/>
  <c r="AE28" i="7" s="1"/>
  <c r="BO30" i="4"/>
  <c r="AE26" i="7" s="1"/>
  <c r="BO29" i="4"/>
  <c r="AE25" i="7" s="1"/>
  <c r="BO28" i="4"/>
  <c r="AE24" i="7" s="1"/>
  <c r="BO27" i="4"/>
  <c r="AE23" i="7" s="1"/>
  <c r="BO26" i="4"/>
  <c r="AE22" i="7" s="1"/>
  <c r="BO24" i="4"/>
  <c r="AE20" i="7" s="1"/>
  <c r="BO22" i="4"/>
  <c r="AE18" i="7" s="1"/>
  <c r="BO21" i="4"/>
  <c r="AE17" i="7" s="1"/>
  <c r="BO20" i="4"/>
  <c r="AE16" i="7" s="1"/>
  <c r="BO19" i="4"/>
  <c r="AE15" i="7" s="1"/>
  <c r="BO18" i="4"/>
  <c r="AE14" i="7" s="1"/>
  <c r="BO17" i="4"/>
  <c r="AE13" i="7" s="1"/>
  <c r="BO16" i="4"/>
  <c r="AE12" i="7" s="1"/>
  <c r="BO15" i="4"/>
  <c r="AE11" i="7" s="1"/>
  <c r="BO14" i="4"/>
  <c r="AE10" i="7" s="1"/>
  <c r="BO13" i="4"/>
  <c r="AE9" i="7" s="1"/>
  <c r="AY55" i="4"/>
  <c r="AZ55" i="4" s="1"/>
  <c r="BB55" i="4" s="1"/>
  <c r="BL88" i="4"/>
  <c r="BN88" i="4" s="1"/>
  <c r="BH88" i="4"/>
  <c r="BJ88" i="4" s="1"/>
  <c r="BD88" i="4"/>
  <c r="BF88" i="4" s="1"/>
  <c r="AZ88" i="4"/>
  <c r="BB88" i="4" s="1"/>
  <c r="AV88" i="4"/>
  <c r="AX88" i="4" s="1"/>
  <c r="AR88" i="4"/>
  <c r="AT88" i="4" s="1"/>
  <c r="AN88" i="4"/>
  <c r="AP88" i="4" s="1"/>
  <c r="AJ88" i="4"/>
  <c r="AL88" i="4" s="1"/>
  <c r="AF88" i="4"/>
  <c r="AH88" i="4" s="1"/>
  <c r="AB88" i="4"/>
  <c r="AD88" i="4" s="1"/>
  <c r="X88" i="4"/>
  <c r="Z88" i="4" s="1"/>
  <c r="T88" i="4"/>
  <c r="V88" i="4" s="1"/>
  <c r="P88" i="4"/>
  <c r="R88" i="4" s="1"/>
  <c r="L88" i="4"/>
  <c r="N88" i="4" s="1"/>
  <c r="H88" i="4"/>
  <c r="J88" i="4" s="1"/>
  <c r="D88" i="4"/>
  <c r="F88" i="4" s="1"/>
  <c r="BM86" i="4"/>
  <c r="BK86" i="4"/>
  <c r="BI86" i="4"/>
  <c r="BG86" i="4"/>
  <c r="BH86" i="4" s="1"/>
  <c r="BJ86" i="4" s="1"/>
  <c r="BE86" i="4"/>
  <c r="BC86" i="4"/>
  <c r="BD86" i="4" s="1"/>
  <c r="BA86" i="4"/>
  <c r="AY86" i="4"/>
  <c r="AZ86" i="4" s="1"/>
  <c r="BB86" i="4" s="1"/>
  <c r="AW86" i="4"/>
  <c r="AU86" i="4"/>
  <c r="AV86" i="4" s="1"/>
  <c r="AX86" i="4" s="1"/>
  <c r="AS86" i="4"/>
  <c r="AQ86" i="4"/>
  <c r="AO86" i="4"/>
  <c r="AM86" i="4"/>
  <c r="AK86" i="4"/>
  <c r="AI86" i="4"/>
  <c r="AG86" i="4"/>
  <c r="AE86" i="4"/>
  <c r="AF86" i="4" s="1"/>
  <c r="AH86" i="4" s="1"/>
  <c r="AC86" i="4"/>
  <c r="AA86" i="4"/>
  <c r="AB86" i="4" s="1"/>
  <c r="AD86" i="4" s="1"/>
  <c r="Y86" i="4"/>
  <c r="W86" i="4"/>
  <c r="X86" i="4" s="1"/>
  <c r="Z86" i="4" s="1"/>
  <c r="U86" i="4"/>
  <c r="S86" i="4"/>
  <c r="Q86" i="4"/>
  <c r="O86" i="4"/>
  <c r="P86" i="4" s="1"/>
  <c r="R86" i="4" s="1"/>
  <c r="M86" i="4"/>
  <c r="K86" i="4"/>
  <c r="L86" i="4" s="1"/>
  <c r="N86" i="4" s="1"/>
  <c r="I86" i="4"/>
  <c r="H86" i="4"/>
  <c r="J86" i="4" s="1"/>
  <c r="G86" i="4"/>
  <c r="E86" i="4"/>
  <c r="C86" i="4"/>
  <c r="D86" i="4" s="1"/>
  <c r="F86" i="4" s="1"/>
  <c r="BL85" i="4"/>
  <c r="BN85" i="4" s="1"/>
  <c r="BH85" i="4"/>
  <c r="BJ85" i="4" s="1"/>
  <c r="BD85" i="4"/>
  <c r="BF85" i="4" s="1"/>
  <c r="AZ85" i="4"/>
  <c r="BB85" i="4" s="1"/>
  <c r="AV85" i="4"/>
  <c r="AX85" i="4" s="1"/>
  <c r="AT85" i="4"/>
  <c r="AP85" i="4"/>
  <c r="AL85" i="4"/>
  <c r="AF85" i="4"/>
  <c r="AH85" i="4" s="1"/>
  <c r="AB85" i="4"/>
  <c r="AD85" i="4" s="1"/>
  <c r="X85" i="4"/>
  <c r="Z85" i="4" s="1"/>
  <c r="T85" i="4"/>
  <c r="P85" i="4"/>
  <c r="R85" i="4" s="1"/>
  <c r="L85" i="4"/>
  <c r="N85" i="4" s="1"/>
  <c r="H85" i="4"/>
  <c r="J85" i="4" s="1"/>
  <c r="D85" i="4"/>
  <c r="F85" i="4" s="1"/>
  <c r="BL84" i="4"/>
  <c r="BN84" i="4" s="1"/>
  <c r="BH84" i="4"/>
  <c r="BJ84" i="4" s="1"/>
  <c r="BD84" i="4"/>
  <c r="BF84" i="4" s="1"/>
  <c r="AZ84" i="4"/>
  <c r="BB84" i="4" s="1"/>
  <c r="AV84" i="4"/>
  <c r="AX84" i="4" s="1"/>
  <c r="AR84" i="4"/>
  <c r="AT84" i="4" s="1"/>
  <c r="AN84" i="4"/>
  <c r="AP84" i="4" s="1"/>
  <c r="AJ84" i="4"/>
  <c r="AL84" i="4" s="1"/>
  <c r="AF84" i="4"/>
  <c r="AH84" i="4" s="1"/>
  <c r="AB84" i="4"/>
  <c r="AD84" i="4" s="1"/>
  <c r="X84" i="4"/>
  <c r="Z84" i="4" s="1"/>
  <c r="T84" i="4"/>
  <c r="V84" i="4" s="1"/>
  <c r="P84" i="4"/>
  <c r="R84" i="4" s="1"/>
  <c r="L84" i="4"/>
  <c r="N84" i="4" s="1"/>
  <c r="H84" i="4"/>
  <c r="J84" i="4" s="1"/>
  <c r="D84" i="4"/>
  <c r="F84" i="4" s="1"/>
  <c r="BL81" i="4"/>
  <c r="BN81" i="4" s="1"/>
  <c r="BH81" i="4"/>
  <c r="BJ81" i="4" s="1"/>
  <c r="BD81" i="4"/>
  <c r="BF81" i="4" s="1"/>
  <c r="AZ81" i="4"/>
  <c r="BB81" i="4" s="1"/>
  <c r="AV81" i="4"/>
  <c r="AX81" i="4" s="1"/>
  <c r="AR81" i="4"/>
  <c r="AT81" i="4" s="1"/>
  <c r="AN81" i="4"/>
  <c r="AP81" i="4" s="1"/>
  <c r="AJ81" i="4"/>
  <c r="AL81" i="4" s="1"/>
  <c r="AF81" i="4"/>
  <c r="AH81" i="4" s="1"/>
  <c r="AB81" i="4"/>
  <c r="AD81" i="4" s="1"/>
  <c r="X81" i="4"/>
  <c r="Z81" i="4" s="1"/>
  <c r="T81" i="4"/>
  <c r="V81" i="4" s="1"/>
  <c r="P81" i="4"/>
  <c r="R81" i="4" s="1"/>
  <c r="L81" i="4"/>
  <c r="N81" i="4" s="1"/>
  <c r="H81" i="4"/>
  <c r="J81" i="4" s="1"/>
  <c r="D81" i="4"/>
  <c r="F81" i="4" s="1"/>
  <c r="BL80" i="4"/>
  <c r="BN80" i="4" s="1"/>
  <c r="BH80" i="4"/>
  <c r="BJ80" i="4" s="1"/>
  <c r="BD80" i="4"/>
  <c r="BF80" i="4" s="1"/>
  <c r="AZ80" i="4"/>
  <c r="BB80" i="4" s="1"/>
  <c r="AV80" i="4"/>
  <c r="AX80" i="4" s="1"/>
  <c r="AR80" i="4"/>
  <c r="AT80" i="4" s="1"/>
  <c r="AN80" i="4"/>
  <c r="AP80" i="4" s="1"/>
  <c r="AJ80" i="4"/>
  <c r="AL80" i="4" s="1"/>
  <c r="AF80" i="4"/>
  <c r="AH80" i="4" s="1"/>
  <c r="AB80" i="4"/>
  <c r="AD80" i="4" s="1"/>
  <c r="X80" i="4"/>
  <c r="Z80" i="4" s="1"/>
  <c r="T80" i="4"/>
  <c r="V80" i="4" s="1"/>
  <c r="P80" i="4"/>
  <c r="R80" i="4" s="1"/>
  <c r="L80" i="4"/>
  <c r="N80" i="4" s="1"/>
  <c r="H80" i="4"/>
  <c r="J80" i="4" s="1"/>
  <c r="D80" i="4"/>
  <c r="F80" i="4" s="1"/>
  <c r="BL79" i="4"/>
  <c r="BN79" i="4" s="1"/>
  <c r="BH79" i="4"/>
  <c r="BJ79" i="4" s="1"/>
  <c r="BD79" i="4"/>
  <c r="BF79" i="4" s="1"/>
  <c r="AZ79" i="4"/>
  <c r="BB79" i="4" s="1"/>
  <c r="AV79" i="4"/>
  <c r="AX79" i="4" s="1"/>
  <c r="AR79" i="4"/>
  <c r="AT79" i="4" s="1"/>
  <c r="AN79" i="4"/>
  <c r="AP79" i="4" s="1"/>
  <c r="AJ79" i="4"/>
  <c r="AL79" i="4" s="1"/>
  <c r="AF79" i="4"/>
  <c r="AH79" i="4" s="1"/>
  <c r="AB79" i="4"/>
  <c r="AD79" i="4" s="1"/>
  <c r="X79" i="4"/>
  <c r="Z79" i="4" s="1"/>
  <c r="T79" i="4"/>
  <c r="V79" i="4" s="1"/>
  <c r="P79" i="4"/>
  <c r="R79" i="4" s="1"/>
  <c r="L79" i="4"/>
  <c r="N79" i="4" s="1"/>
  <c r="H79" i="4"/>
  <c r="J79" i="4" s="1"/>
  <c r="D79" i="4"/>
  <c r="F79" i="4" s="1"/>
  <c r="BL78" i="4"/>
  <c r="BN78" i="4" s="1"/>
  <c r="BH78" i="4"/>
  <c r="BJ78" i="4" s="1"/>
  <c r="BD78" i="4"/>
  <c r="BF78" i="4" s="1"/>
  <c r="AZ78" i="4"/>
  <c r="BB78" i="4" s="1"/>
  <c r="AV78" i="4"/>
  <c r="AX78" i="4" s="1"/>
  <c r="AR78" i="4"/>
  <c r="AT78" i="4" s="1"/>
  <c r="AN78" i="4"/>
  <c r="AP78" i="4" s="1"/>
  <c r="AJ78" i="4"/>
  <c r="AL78" i="4" s="1"/>
  <c r="AF78" i="4"/>
  <c r="AH78" i="4" s="1"/>
  <c r="AB78" i="4"/>
  <c r="AD78" i="4" s="1"/>
  <c r="X78" i="4"/>
  <c r="Z78" i="4" s="1"/>
  <c r="V78" i="4"/>
  <c r="P78" i="4"/>
  <c r="R78" i="4" s="1"/>
  <c r="L78" i="4"/>
  <c r="N78" i="4" s="1"/>
  <c r="H78" i="4"/>
  <c r="J78" i="4" s="1"/>
  <c r="D78" i="4"/>
  <c r="F78" i="4" s="1"/>
  <c r="BL77" i="4"/>
  <c r="BN77" i="4" s="1"/>
  <c r="BH77" i="4"/>
  <c r="BJ77" i="4" s="1"/>
  <c r="BD77" i="4"/>
  <c r="BF77" i="4" s="1"/>
  <c r="AZ77" i="4"/>
  <c r="BB77" i="4" s="1"/>
  <c r="AX77" i="4"/>
  <c r="AR77" i="4"/>
  <c r="AT77" i="4" s="1"/>
  <c r="AN77" i="4"/>
  <c r="AP77" i="4" s="1"/>
  <c r="AJ77" i="4"/>
  <c r="AL77" i="4" s="1"/>
  <c r="AF77" i="4"/>
  <c r="AH77" i="4" s="1"/>
  <c r="AB77" i="4"/>
  <c r="AD77" i="4" s="1"/>
  <c r="X77" i="4"/>
  <c r="Z77" i="4" s="1"/>
  <c r="T77" i="4"/>
  <c r="V77" i="4" s="1"/>
  <c r="P77" i="4"/>
  <c r="R77" i="4" s="1"/>
  <c r="L77" i="4"/>
  <c r="N77" i="4" s="1"/>
  <c r="J77" i="4"/>
  <c r="F77" i="4"/>
  <c r="BL76" i="4"/>
  <c r="BN76" i="4" s="1"/>
  <c r="BH76" i="4"/>
  <c r="BJ76" i="4" s="1"/>
  <c r="BD76" i="4"/>
  <c r="BF76" i="4" s="1"/>
  <c r="AZ76" i="4"/>
  <c r="BB76" i="4" s="1"/>
  <c r="AX76" i="4"/>
  <c r="AR76" i="4"/>
  <c r="AT76" i="4" s="1"/>
  <c r="AN76" i="4"/>
  <c r="AP76" i="4" s="1"/>
  <c r="AJ76" i="4"/>
  <c r="AL76" i="4" s="1"/>
  <c r="AF76" i="4"/>
  <c r="AH76" i="4" s="1"/>
  <c r="AB76" i="4"/>
  <c r="AD76" i="4" s="1"/>
  <c r="X76" i="4"/>
  <c r="Z76" i="4" s="1"/>
  <c r="T76" i="4"/>
  <c r="V76" i="4" s="1"/>
  <c r="P76" i="4"/>
  <c r="R76" i="4" s="1"/>
  <c r="L76" i="4"/>
  <c r="N76" i="4" s="1"/>
  <c r="J76" i="4"/>
  <c r="F76" i="4"/>
  <c r="BL75" i="4"/>
  <c r="BN75" i="4" s="1"/>
  <c r="BH75" i="4"/>
  <c r="BJ75" i="4" s="1"/>
  <c r="BD75" i="4"/>
  <c r="BF75" i="4" s="1"/>
  <c r="AZ75" i="4"/>
  <c r="BB75" i="4" s="1"/>
  <c r="AX75" i="4"/>
  <c r="AR75" i="4"/>
  <c r="AT75" i="4" s="1"/>
  <c r="AN75" i="4"/>
  <c r="AP75" i="4" s="1"/>
  <c r="AJ75" i="4"/>
  <c r="AL75" i="4" s="1"/>
  <c r="AF75" i="4"/>
  <c r="AH75" i="4" s="1"/>
  <c r="AB75" i="4"/>
  <c r="AD75" i="4" s="1"/>
  <c r="X75" i="4"/>
  <c r="Z75" i="4" s="1"/>
  <c r="T75" i="4"/>
  <c r="V75" i="4" s="1"/>
  <c r="P75" i="4"/>
  <c r="R75" i="4" s="1"/>
  <c r="L75" i="4"/>
  <c r="N75" i="4" s="1"/>
  <c r="J75" i="4"/>
  <c r="F75" i="4"/>
  <c r="BM74" i="4"/>
  <c r="BK74" i="4"/>
  <c r="BL74" i="4" s="1"/>
  <c r="BI74" i="4"/>
  <c r="BG74" i="4"/>
  <c r="BH74" i="4" s="1"/>
  <c r="BJ74" i="4" s="1"/>
  <c r="BE74" i="4"/>
  <c r="BC74" i="4"/>
  <c r="BD74" i="4" s="1"/>
  <c r="BA74" i="4"/>
  <c r="AY74" i="4"/>
  <c r="AZ74" i="4" s="1"/>
  <c r="BB74" i="4" s="1"/>
  <c r="AW74" i="4"/>
  <c r="AU74" i="4"/>
  <c r="AS74" i="4"/>
  <c r="AQ74" i="4"/>
  <c r="AR74" i="4" s="1"/>
  <c r="AT74" i="4" s="1"/>
  <c r="AO74" i="4"/>
  <c r="AM74" i="4"/>
  <c r="AN74" i="4" s="1"/>
  <c r="AP74" i="4" s="1"/>
  <c r="AK74" i="4"/>
  <c r="AI74" i="4"/>
  <c r="AJ74" i="4" s="1"/>
  <c r="AL74" i="4" s="1"/>
  <c r="AG74" i="4"/>
  <c r="AE74" i="4"/>
  <c r="AF74" i="4" s="1"/>
  <c r="AH74" i="4" s="1"/>
  <c r="AC74" i="4"/>
  <c r="AA74" i="4"/>
  <c r="AB74" i="4" s="1"/>
  <c r="AD74" i="4" s="1"/>
  <c r="Y74" i="4"/>
  <c r="W74" i="4"/>
  <c r="X74" i="4" s="1"/>
  <c r="Z74" i="4" s="1"/>
  <c r="U74" i="4"/>
  <c r="S74" i="4"/>
  <c r="T74" i="4" s="1"/>
  <c r="V74" i="4" s="1"/>
  <c r="Q74" i="4"/>
  <c r="O74" i="4"/>
  <c r="P74" i="4" s="1"/>
  <c r="R74" i="4" s="1"/>
  <c r="M74" i="4"/>
  <c r="K74" i="4"/>
  <c r="L74" i="4" s="1"/>
  <c r="N74" i="4" s="1"/>
  <c r="I74" i="4"/>
  <c r="G74" i="4"/>
  <c r="H74" i="4" s="1"/>
  <c r="E74" i="4"/>
  <c r="C74" i="4"/>
  <c r="BN73" i="4"/>
  <c r="BH73" i="4"/>
  <c r="BJ73" i="4" s="1"/>
  <c r="BD73" i="4"/>
  <c r="BF73" i="4" s="1"/>
  <c r="AZ73" i="4"/>
  <c r="BB73" i="4" s="1"/>
  <c r="AX73" i="4"/>
  <c r="AR73" i="4"/>
  <c r="AT73" i="4" s="1"/>
  <c r="AN73" i="4"/>
  <c r="AP73" i="4" s="1"/>
  <c r="AJ73" i="4"/>
  <c r="AL73" i="4" s="1"/>
  <c r="AF73" i="4"/>
  <c r="AH73" i="4" s="1"/>
  <c r="AB73" i="4"/>
  <c r="AD73" i="4" s="1"/>
  <c r="X73" i="4"/>
  <c r="Z73" i="4" s="1"/>
  <c r="T73" i="4"/>
  <c r="V73" i="4" s="1"/>
  <c r="P73" i="4"/>
  <c r="R73" i="4" s="1"/>
  <c r="L73" i="4"/>
  <c r="N73" i="4" s="1"/>
  <c r="J73" i="4"/>
  <c r="F73" i="4"/>
  <c r="BN72" i="4"/>
  <c r="BH72" i="4"/>
  <c r="BJ72" i="4" s="1"/>
  <c r="BD72" i="4"/>
  <c r="BF72" i="4" s="1"/>
  <c r="AZ72" i="4"/>
  <c r="BB72" i="4" s="1"/>
  <c r="AX72" i="4"/>
  <c r="AR72" i="4"/>
  <c r="AT72" i="4" s="1"/>
  <c r="AN72" i="4"/>
  <c r="AP72" i="4" s="1"/>
  <c r="AJ72" i="4"/>
  <c r="AL72" i="4" s="1"/>
  <c r="AF72" i="4"/>
  <c r="AH72" i="4" s="1"/>
  <c r="AB72" i="4"/>
  <c r="AD72" i="4" s="1"/>
  <c r="X72" i="4"/>
  <c r="Z72" i="4" s="1"/>
  <c r="T72" i="4"/>
  <c r="V72" i="4" s="1"/>
  <c r="P72" i="4"/>
  <c r="R72" i="4" s="1"/>
  <c r="L72" i="4"/>
  <c r="N72" i="4" s="1"/>
  <c r="J72" i="4"/>
  <c r="F72" i="4"/>
  <c r="BN71" i="4"/>
  <c r="BH71" i="4"/>
  <c r="BJ71" i="4" s="1"/>
  <c r="BD71" i="4"/>
  <c r="BF71" i="4" s="1"/>
  <c r="AZ71" i="4"/>
  <c r="BB71" i="4" s="1"/>
  <c r="AX71" i="4"/>
  <c r="AR71" i="4"/>
  <c r="AT71" i="4" s="1"/>
  <c r="AN71" i="4"/>
  <c r="AP71" i="4" s="1"/>
  <c r="AJ71" i="4"/>
  <c r="AL71" i="4" s="1"/>
  <c r="AF71" i="4"/>
  <c r="AH71" i="4" s="1"/>
  <c r="AB71" i="4"/>
  <c r="AD71" i="4" s="1"/>
  <c r="X71" i="4"/>
  <c r="Z71" i="4" s="1"/>
  <c r="T71" i="4"/>
  <c r="V71" i="4" s="1"/>
  <c r="P71" i="4"/>
  <c r="R71" i="4" s="1"/>
  <c r="L71" i="4"/>
  <c r="N71" i="4" s="1"/>
  <c r="J71" i="4"/>
  <c r="F71" i="4"/>
  <c r="BM70" i="4"/>
  <c r="BK70" i="4"/>
  <c r="BL70" i="4" s="1"/>
  <c r="BI70" i="4"/>
  <c r="BG70" i="4"/>
  <c r="BH70" i="4" s="1"/>
  <c r="BJ70" i="4" s="1"/>
  <c r="BE70" i="4"/>
  <c r="BC70" i="4"/>
  <c r="BD70" i="4" s="1"/>
  <c r="BA70" i="4"/>
  <c r="AY70" i="4"/>
  <c r="AZ70" i="4" s="1"/>
  <c r="BB70" i="4" s="1"/>
  <c r="AW70" i="4"/>
  <c r="AU70" i="4"/>
  <c r="AS70" i="4"/>
  <c r="AQ70" i="4"/>
  <c r="AR70" i="4" s="1"/>
  <c r="AT70" i="4" s="1"/>
  <c r="AO70" i="4"/>
  <c r="AM70" i="4"/>
  <c r="AN70" i="4" s="1"/>
  <c r="AP70" i="4" s="1"/>
  <c r="AK70" i="4"/>
  <c r="AI70" i="4"/>
  <c r="AJ70" i="4" s="1"/>
  <c r="AL70" i="4" s="1"/>
  <c r="AG70" i="4"/>
  <c r="AE70" i="4"/>
  <c r="AF70" i="4" s="1"/>
  <c r="AH70" i="4" s="1"/>
  <c r="AC70" i="4"/>
  <c r="AA70" i="4"/>
  <c r="AB70" i="4" s="1"/>
  <c r="AD70" i="4" s="1"/>
  <c r="Y70" i="4"/>
  <c r="W70" i="4"/>
  <c r="X70" i="4" s="1"/>
  <c r="Z70" i="4" s="1"/>
  <c r="U70" i="4"/>
  <c r="S70" i="4"/>
  <c r="T70" i="4" s="1"/>
  <c r="V70" i="4" s="1"/>
  <c r="Q70" i="4"/>
  <c r="O70" i="4"/>
  <c r="P70" i="4" s="1"/>
  <c r="R70" i="4" s="1"/>
  <c r="M70" i="4"/>
  <c r="K70" i="4"/>
  <c r="L70" i="4" s="1"/>
  <c r="N70" i="4" s="1"/>
  <c r="I70" i="4"/>
  <c r="G70" i="4"/>
  <c r="E70" i="4"/>
  <c r="C70" i="4"/>
  <c r="BL69" i="4"/>
  <c r="BN69" i="4" s="1"/>
  <c r="BH69" i="4"/>
  <c r="BJ69" i="4" s="1"/>
  <c r="BD69" i="4"/>
  <c r="BF69" i="4" s="1"/>
  <c r="AZ69" i="4"/>
  <c r="BB69" i="4" s="1"/>
  <c r="AX69" i="4"/>
  <c r="AR69" i="4"/>
  <c r="AT69" i="4" s="1"/>
  <c r="AN69" i="4"/>
  <c r="AP69" i="4" s="1"/>
  <c r="AJ69" i="4"/>
  <c r="AL69" i="4" s="1"/>
  <c r="AF69" i="4"/>
  <c r="AH69" i="4" s="1"/>
  <c r="AB69" i="4"/>
  <c r="AD69" i="4" s="1"/>
  <c r="X69" i="4"/>
  <c r="Z69" i="4" s="1"/>
  <c r="T69" i="4"/>
  <c r="V69" i="4" s="1"/>
  <c r="P69" i="4"/>
  <c r="R69" i="4" s="1"/>
  <c r="L69" i="4"/>
  <c r="N69" i="4" s="1"/>
  <c r="J69" i="4"/>
  <c r="F69" i="4"/>
  <c r="BL68" i="4"/>
  <c r="BN68" i="4" s="1"/>
  <c r="BH68" i="4"/>
  <c r="BJ68" i="4" s="1"/>
  <c r="BD68" i="4"/>
  <c r="BF68" i="4" s="1"/>
  <c r="AZ68" i="4"/>
  <c r="BB68" i="4" s="1"/>
  <c r="AX68" i="4"/>
  <c r="AR68" i="4"/>
  <c r="AT68" i="4" s="1"/>
  <c r="AN68" i="4"/>
  <c r="AP68" i="4" s="1"/>
  <c r="AJ68" i="4"/>
  <c r="AL68" i="4" s="1"/>
  <c r="AF68" i="4"/>
  <c r="AH68" i="4" s="1"/>
  <c r="AB68" i="4"/>
  <c r="AD68" i="4" s="1"/>
  <c r="X68" i="4"/>
  <c r="Z68" i="4" s="1"/>
  <c r="T68" i="4"/>
  <c r="V68" i="4" s="1"/>
  <c r="P68" i="4"/>
  <c r="R68" i="4" s="1"/>
  <c r="L68" i="4"/>
  <c r="N68" i="4" s="1"/>
  <c r="J68" i="4"/>
  <c r="F68" i="4"/>
  <c r="BL67" i="4"/>
  <c r="BN67" i="4" s="1"/>
  <c r="BH67" i="4"/>
  <c r="BJ67" i="4" s="1"/>
  <c r="BD67" i="4"/>
  <c r="BF67" i="4" s="1"/>
  <c r="AZ67" i="4"/>
  <c r="BB67" i="4" s="1"/>
  <c r="AX67" i="4"/>
  <c r="AR67" i="4"/>
  <c r="AT67" i="4" s="1"/>
  <c r="AN67" i="4"/>
  <c r="AP67" i="4" s="1"/>
  <c r="AJ67" i="4"/>
  <c r="AL67" i="4" s="1"/>
  <c r="AF67" i="4"/>
  <c r="AH67" i="4" s="1"/>
  <c r="AB67" i="4"/>
  <c r="AD67" i="4" s="1"/>
  <c r="X67" i="4"/>
  <c r="Z67" i="4" s="1"/>
  <c r="T67" i="4"/>
  <c r="V67" i="4" s="1"/>
  <c r="P67" i="4"/>
  <c r="R67" i="4" s="1"/>
  <c r="L67" i="4"/>
  <c r="N67" i="4" s="1"/>
  <c r="J67" i="4"/>
  <c r="F67" i="4"/>
  <c r="BL66" i="4"/>
  <c r="BN66" i="4" s="1"/>
  <c r="BH66" i="4"/>
  <c r="BJ66" i="4" s="1"/>
  <c r="BD66" i="4"/>
  <c r="BF66" i="4" s="1"/>
  <c r="AZ66" i="4"/>
  <c r="BB66" i="4" s="1"/>
  <c r="AX66" i="4"/>
  <c r="AR66" i="4"/>
  <c r="AT66" i="4" s="1"/>
  <c r="AN66" i="4"/>
  <c r="AP66" i="4" s="1"/>
  <c r="AJ66" i="4"/>
  <c r="AL66" i="4" s="1"/>
  <c r="AF66" i="4"/>
  <c r="AH66" i="4" s="1"/>
  <c r="AB66" i="4"/>
  <c r="AD66" i="4" s="1"/>
  <c r="X66" i="4"/>
  <c r="Z66" i="4" s="1"/>
  <c r="T66" i="4"/>
  <c r="V66" i="4" s="1"/>
  <c r="P66" i="4"/>
  <c r="R66" i="4" s="1"/>
  <c r="L66" i="4"/>
  <c r="N66" i="4" s="1"/>
  <c r="J66" i="4"/>
  <c r="F66" i="4"/>
  <c r="BL65" i="4"/>
  <c r="BN65" i="4" s="1"/>
  <c r="BH65" i="4"/>
  <c r="BJ65" i="4" s="1"/>
  <c r="BD65" i="4"/>
  <c r="BF65" i="4" s="1"/>
  <c r="AZ65" i="4"/>
  <c r="BB65" i="4" s="1"/>
  <c r="AX65" i="4"/>
  <c r="AR65" i="4"/>
  <c r="AT65" i="4" s="1"/>
  <c r="AN65" i="4"/>
  <c r="AP65" i="4" s="1"/>
  <c r="AJ65" i="4"/>
  <c r="AL65" i="4" s="1"/>
  <c r="AF65" i="4"/>
  <c r="AH65" i="4" s="1"/>
  <c r="AB65" i="4"/>
  <c r="AD65" i="4" s="1"/>
  <c r="X65" i="4"/>
  <c r="Z65" i="4" s="1"/>
  <c r="T65" i="4"/>
  <c r="V65" i="4" s="1"/>
  <c r="P65" i="4"/>
  <c r="R65" i="4" s="1"/>
  <c r="L65" i="4"/>
  <c r="N65" i="4" s="1"/>
  <c r="J65" i="4"/>
  <c r="F65" i="4"/>
  <c r="BL64" i="4"/>
  <c r="BN64" i="4" s="1"/>
  <c r="BH64" i="4"/>
  <c r="BJ64" i="4" s="1"/>
  <c r="BD64" i="4"/>
  <c r="BF64" i="4" s="1"/>
  <c r="AZ64" i="4"/>
  <c r="BB64" i="4" s="1"/>
  <c r="AX64" i="4"/>
  <c r="AR64" i="4"/>
  <c r="AT64" i="4" s="1"/>
  <c r="AN64" i="4"/>
  <c r="AP64" i="4" s="1"/>
  <c r="AJ64" i="4"/>
  <c r="AL64" i="4" s="1"/>
  <c r="AF64" i="4"/>
  <c r="AH64" i="4" s="1"/>
  <c r="AB64" i="4"/>
  <c r="AD64" i="4" s="1"/>
  <c r="X64" i="4"/>
  <c r="Z64" i="4" s="1"/>
  <c r="T64" i="4"/>
  <c r="V64" i="4" s="1"/>
  <c r="P64" i="4"/>
  <c r="R64" i="4" s="1"/>
  <c r="L64" i="4"/>
  <c r="N64" i="4" s="1"/>
  <c r="J64" i="4"/>
  <c r="F64" i="4"/>
  <c r="BL63" i="4"/>
  <c r="BN63" i="4" s="1"/>
  <c r="BH63" i="4"/>
  <c r="BJ63" i="4" s="1"/>
  <c r="BD63" i="4"/>
  <c r="BF63" i="4" s="1"/>
  <c r="AZ63" i="4"/>
  <c r="BB63" i="4" s="1"/>
  <c r="AX63" i="4"/>
  <c r="AR63" i="4"/>
  <c r="AT63" i="4" s="1"/>
  <c r="AN63" i="4"/>
  <c r="AP63" i="4" s="1"/>
  <c r="AJ63" i="4"/>
  <c r="AL63" i="4" s="1"/>
  <c r="AF63" i="4"/>
  <c r="AH63" i="4" s="1"/>
  <c r="AB63" i="4"/>
  <c r="AD63" i="4" s="1"/>
  <c r="X63" i="4"/>
  <c r="Z63" i="4" s="1"/>
  <c r="T63" i="4"/>
  <c r="V63" i="4" s="1"/>
  <c r="P63" i="4"/>
  <c r="R63" i="4" s="1"/>
  <c r="L63" i="4"/>
  <c r="N63" i="4" s="1"/>
  <c r="J63" i="4"/>
  <c r="F63" i="4"/>
  <c r="BL62" i="4"/>
  <c r="BN62" i="4" s="1"/>
  <c r="BH62" i="4"/>
  <c r="BJ62" i="4" s="1"/>
  <c r="BD62" i="4"/>
  <c r="BF62" i="4" s="1"/>
  <c r="AZ62" i="4"/>
  <c r="BB62" i="4" s="1"/>
  <c r="AX62" i="4"/>
  <c r="AR62" i="4"/>
  <c r="AT62" i="4" s="1"/>
  <c r="AN62" i="4"/>
  <c r="AP62" i="4" s="1"/>
  <c r="AJ62" i="4"/>
  <c r="AL62" i="4" s="1"/>
  <c r="AF62" i="4"/>
  <c r="AH62" i="4" s="1"/>
  <c r="AB62" i="4"/>
  <c r="AD62" i="4" s="1"/>
  <c r="X62" i="4"/>
  <c r="Z62" i="4" s="1"/>
  <c r="T62" i="4"/>
  <c r="V62" i="4" s="1"/>
  <c r="P62" i="4"/>
  <c r="R62" i="4" s="1"/>
  <c r="L62" i="4"/>
  <c r="N62" i="4" s="1"/>
  <c r="J62" i="4"/>
  <c r="F62" i="4"/>
  <c r="BL61" i="4"/>
  <c r="BN61" i="4" s="1"/>
  <c r="BH61" i="4"/>
  <c r="BJ61" i="4" s="1"/>
  <c r="BD61" i="4"/>
  <c r="BF61" i="4" s="1"/>
  <c r="AZ61" i="4"/>
  <c r="BB61" i="4" s="1"/>
  <c r="AX61" i="4"/>
  <c r="AR61" i="4"/>
  <c r="AT61" i="4" s="1"/>
  <c r="AN61" i="4"/>
  <c r="AP61" i="4" s="1"/>
  <c r="AJ61" i="4"/>
  <c r="AL61" i="4" s="1"/>
  <c r="AF61" i="4"/>
  <c r="AH61" i="4" s="1"/>
  <c r="AB61" i="4"/>
  <c r="AD61" i="4" s="1"/>
  <c r="X61" i="4"/>
  <c r="Z61" i="4" s="1"/>
  <c r="T61" i="4"/>
  <c r="V61" i="4" s="1"/>
  <c r="P61" i="4"/>
  <c r="R61" i="4" s="1"/>
  <c r="L61" i="4"/>
  <c r="N61" i="4" s="1"/>
  <c r="J61" i="4"/>
  <c r="F61" i="4"/>
  <c r="BL60" i="4"/>
  <c r="BN60" i="4" s="1"/>
  <c r="BH60" i="4"/>
  <c r="BJ60" i="4" s="1"/>
  <c r="BD60" i="4"/>
  <c r="BF60" i="4" s="1"/>
  <c r="AZ60" i="4"/>
  <c r="BB60" i="4" s="1"/>
  <c r="AX60" i="4"/>
  <c r="AR60" i="4"/>
  <c r="AT60" i="4" s="1"/>
  <c r="AN60" i="4"/>
  <c r="AP60" i="4" s="1"/>
  <c r="AJ60" i="4"/>
  <c r="AL60" i="4" s="1"/>
  <c r="AF60" i="4"/>
  <c r="AH60" i="4" s="1"/>
  <c r="AB60" i="4"/>
  <c r="AD60" i="4" s="1"/>
  <c r="X60" i="4"/>
  <c r="Z60" i="4" s="1"/>
  <c r="T60" i="4"/>
  <c r="V60" i="4" s="1"/>
  <c r="P60" i="4"/>
  <c r="R60" i="4" s="1"/>
  <c r="L60" i="4"/>
  <c r="N60" i="4" s="1"/>
  <c r="J60" i="4"/>
  <c r="F60" i="4"/>
  <c r="BL59" i="4"/>
  <c r="BN59" i="4" s="1"/>
  <c r="BH59" i="4"/>
  <c r="BJ59" i="4" s="1"/>
  <c r="BD59" i="4"/>
  <c r="BF59" i="4" s="1"/>
  <c r="AZ59" i="4"/>
  <c r="BB59" i="4" s="1"/>
  <c r="AX59" i="4"/>
  <c r="AR59" i="4"/>
  <c r="AT59" i="4" s="1"/>
  <c r="AN59" i="4"/>
  <c r="AP59" i="4" s="1"/>
  <c r="AJ59" i="4"/>
  <c r="AL59" i="4" s="1"/>
  <c r="AF59" i="4"/>
  <c r="AH59" i="4" s="1"/>
  <c r="AB59" i="4"/>
  <c r="AD59" i="4" s="1"/>
  <c r="X59" i="4"/>
  <c r="Z59" i="4" s="1"/>
  <c r="T59" i="4"/>
  <c r="V59" i="4" s="1"/>
  <c r="P59" i="4"/>
  <c r="R59" i="4" s="1"/>
  <c r="L59" i="4"/>
  <c r="N59" i="4" s="1"/>
  <c r="J59" i="4"/>
  <c r="F59" i="4"/>
  <c r="BL58" i="4"/>
  <c r="BN58" i="4" s="1"/>
  <c r="BH58" i="4"/>
  <c r="BJ58" i="4" s="1"/>
  <c r="BD58" i="4"/>
  <c r="BF58" i="4" s="1"/>
  <c r="AZ58" i="4"/>
  <c r="BB58" i="4" s="1"/>
  <c r="AX58" i="4"/>
  <c r="AR58" i="4"/>
  <c r="AT58" i="4" s="1"/>
  <c r="AN58" i="4"/>
  <c r="AP58" i="4" s="1"/>
  <c r="AJ58" i="4"/>
  <c r="AL58" i="4" s="1"/>
  <c r="AF58" i="4"/>
  <c r="AH58" i="4" s="1"/>
  <c r="AB58" i="4"/>
  <c r="AD58" i="4" s="1"/>
  <c r="X58" i="4"/>
  <c r="Z58" i="4" s="1"/>
  <c r="T58" i="4"/>
  <c r="V58" i="4" s="1"/>
  <c r="P58" i="4"/>
  <c r="R58" i="4" s="1"/>
  <c r="L58" i="4"/>
  <c r="N58" i="4" s="1"/>
  <c r="J58" i="4"/>
  <c r="F58" i="4"/>
  <c r="BL57" i="4"/>
  <c r="BN57" i="4" s="1"/>
  <c r="BH57" i="4"/>
  <c r="BJ57" i="4" s="1"/>
  <c r="BD57" i="4"/>
  <c r="BF57" i="4" s="1"/>
  <c r="AZ57" i="4"/>
  <c r="BB57" i="4" s="1"/>
  <c r="AX57" i="4"/>
  <c r="AR57" i="4"/>
  <c r="AT57" i="4" s="1"/>
  <c r="AN57" i="4"/>
  <c r="AP57" i="4" s="1"/>
  <c r="AJ57" i="4"/>
  <c r="AL57" i="4" s="1"/>
  <c r="AF57" i="4"/>
  <c r="AH57" i="4" s="1"/>
  <c r="AB57" i="4"/>
  <c r="AD57" i="4" s="1"/>
  <c r="X57" i="4"/>
  <c r="Z57" i="4" s="1"/>
  <c r="T57" i="4"/>
  <c r="V57" i="4" s="1"/>
  <c r="P57" i="4"/>
  <c r="R57" i="4" s="1"/>
  <c r="L57" i="4"/>
  <c r="N57" i="4" s="1"/>
  <c r="J57" i="4"/>
  <c r="F57" i="4"/>
  <c r="BL56" i="4"/>
  <c r="BH56" i="4"/>
  <c r="BJ56" i="4" s="1"/>
  <c r="BD56" i="4"/>
  <c r="BF56" i="4" s="1"/>
  <c r="AZ56" i="4"/>
  <c r="BB56" i="4" s="1"/>
  <c r="AR56" i="4"/>
  <c r="AT56" i="4" s="1"/>
  <c r="AN56" i="4"/>
  <c r="AP56" i="4" s="1"/>
  <c r="AJ56" i="4"/>
  <c r="AL56" i="4" s="1"/>
  <c r="AF56" i="4"/>
  <c r="AH56" i="4" s="1"/>
  <c r="AB56" i="4"/>
  <c r="AD56" i="4" s="1"/>
  <c r="X56" i="4"/>
  <c r="Z56" i="4" s="1"/>
  <c r="T56" i="4"/>
  <c r="V56" i="4" s="1"/>
  <c r="P56" i="4"/>
  <c r="R56" i="4" s="1"/>
  <c r="L56" i="4"/>
  <c r="N56" i="4" s="1"/>
  <c r="BM55" i="4"/>
  <c r="BK55" i="4"/>
  <c r="BL55" i="4" s="1"/>
  <c r="BI55" i="4"/>
  <c r="BI53" i="4" s="1"/>
  <c r="BH55" i="4"/>
  <c r="BJ55" i="4" s="1"/>
  <c r="BE55" i="4"/>
  <c r="BE53" i="4" s="1"/>
  <c r="BC55" i="4"/>
  <c r="BD55" i="4" s="1"/>
  <c r="BA55" i="4"/>
  <c r="BA53" i="4" s="1"/>
  <c r="AW55" i="4"/>
  <c r="AU55" i="4"/>
  <c r="AU53" i="4" s="1"/>
  <c r="AS55" i="4"/>
  <c r="AQ55" i="4"/>
  <c r="AR55" i="4" s="1"/>
  <c r="AT55" i="4" s="1"/>
  <c r="AO55" i="4"/>
  <c r="AM55" i="4"/>
  <c r="AN55" i="4" s="1"/>
  <c r="AP55" i="4" s="1"/>
  <c r="AK55" i="4"/>
  <c r="AK53" i="4" s="1"/>
  <c r="AI55" i="4"/>
  <c r="AJ55" i="4" s="1"/>
  <c r="AL55" i="4" s="1"/>
  <c r="AG55" i="4"/>
  <c r="AE55" i="4"/>
  <c r="AF55" i="4" s="1"/>
  <c r="AH55" i="4" s="1"/>
  <c r="AC55" i="4"/>
  <c r="AC53" i="4" s="1"/>
  <c r="AA55" i="4"/>
  <c r="AB55" i="4" s="1"/>
  <c r="AD55" i="4" s="1"/>
  <c r="Y55" i="4"/>
  <c r="W55" i="4"/>
  <c r="X55" i="4" s="1"/>
  <c r="Z55" i="4" s="1"/>
  <c r="U55" i="4"/>
  <c r="U53" i="4" s="1"/>
  <c r="S55" i="4"/>
  <c r="T55" i="4" s="1"/>
  <c r="V55" i="4" s="1"/>
  <c r="Q55" i="4"/>
  <c r="O55" i="4"/>
  <c r="P55" i="4" s="1"/>
  <c r="R55" i="4" s="1"/>
  <c r="M55" i="4"/>
  <c r="M53" i="4" s="1"/>
  <c r="K55" i="4"/>
  <c r="L55" i="4" s="1"/>
  <c r="N55" i="4" s="1"/>
  <c r="I55" i="4"/>
  <c r="G55" i="4"/>
  <c r="E55" i="4"/>
  <c r="C55" i="4"/>
  <c r="BD54" i="4"/>
  <c r="BF54" i="4" s="1"/>
  <c r="AV54" i="4"/>
  <c r="AX54" i="4" s="1"/>
  <c r="AR54" i="4"/>
  <c r="AT54" i="4" s="1"/>
  <c r="AN54" i="4"/>
  <c r="AP54" i="4" s="1"/>
  <c r="AJ54" i="4"/>
  <c r="AL54" i="4" s="1"/>
  <c r="AF54" i="4"/>
  <c r="AH54" i="4" s="1"/>
  <c r="AB54" i="4"/>
  <c r="AD54" i="4" s="1"/>
  <c r="X54" i="4"/>
  <c r="Z54" i="4" s="1"/>
  <c r="T54" i="4"/>
  <c r="V54" i="4" s="1"/>
  <c r="BG53" i="4"/>
  <c r="BC53" i="4"/>
  <c r="BD53" i="4" s="1"/>
  <c r="AS53" i="4"/>
  <c r="BL52" i="4"/>
  <c r="BN52" i="4" s="1"/>
  <c r="BH52" i="4"/>
  <c r="BJ52" i="4" s="1"/>
  <c r="BD52" i="4"/>
  <c r="BF52" i="4" s="1"/>
  <c r="AZ52" i="4"/>
  <c r="BB52" i="4" s="1"/>
  <c r="AR52" i="4"/>
  <c r="AT52" i="4" s="1"/>
  <c r="AN52" i="4"/>
  <c r="AP52" i="4" s="1"/>
  <c r="AJ52" i="4"/>
  <c r="AL52" i="4" s="1"/>
  <c r="AF52" i="4"/>
  <c r="AH52" i="4" s="1"/>
  <c r="AB52" i="4"/>
  <c r="AD52" i="4" s="1"/>
  <c r="X52" i="4"/>
  <c r="Z52" i="4" s="1"/>
  <c r="T52" i="4"/>
  <c r="V52" i="4" s="1"/>
  <c r="P52" i="4"/>
  <c r="R52" i="4" s="1"/>
  <c r="L52" i="4"/>
  <c r="N52" i="4" s="1"/>
  <c r="BL51" i="4"/>
  <c r="BN51" i="4" s="1"/>
  <c r="BH51" i="4"/>
  <c r="BJ51" i="4" s="1"/>
  <c r="BD51" i="4"/>
  <c r="BF51" i="4" s="1"/>
  <c r="AZ51" i="4"/>
  <c r="BB51" i="4" s="1"/>
  <c r="AR51" i="4"/>
  <c r="AT51" i="4" s="1"/>
  <c r="AN51" i="4"/>
  <c r="AP51" i="4" s="1"/>
  <c r="AJ51" i="4"/>
  <c r="AL51" i="4" s="1"/>
  <c r="AF51" i="4"/>
  <c r="AH51" i="4" s="1"/>
  <c r="AB51" i="4"/>
  <c r="AD51" i="4" s="1"/>
  <c r="X51" i="4"/>
  <c r="Z51" i="4" s="1"/>
  <c r="T51" i="4"/>
  <c r="V51" i="4" s="1"/>
  <c r="P51" i="4"/>
  <c r="R51" i="4" s="1"/>
  <c r="L51" i="4"/>
  <c r="N51" i="4" s="1"/>
  <c r="BL50" i="4"/>
  <c r="BN50" i="4" s="1"/>
  <c r="BH50" i="4"/>
  <c r="BJ50" i="4" s="1"/>
  <c r="BD50" i="4"/>
  <c r="BF50" i="4" s="1"/>
  <c r="AZ50" i="4"/>
  <c r="BB50" i="4" s="1"/>
  <c r="AR50" i="4"/>
  <c r="AT50" i="4" s="1"/>
  <c r="AN50" i="4"/>
  <c r="AP50" i="4" s="1"/>
  <c r="AJ50" i="4"/>
  <c r="AL50" i="4" s="1"/>
  <c r="AF50" i="4"/>
  <c r="AH50" i="4" s="1"/>
  <c r="AB50" i="4"/>
  <c r="AD50" i="4" s="1"/>
  <c r="X50" i="4"/>
  <c r="Z50" i="4" s="1"/>
  <c r="T50" i="4"/>
  <c r="V50" i="4" s="1"/>
  <c r="P50" i="4"/>
  <c r="R50" i="4" s="1"/>
  <c r="L50" i="4"/>
  <c r="N50" i="4" s="1"/>
  <c r="BL49" i="4"/>
  <c r="BN49" i="4" s="1"/>
  <c r="BH49" i="4"/>
  <c r="BJ49" i="4" s="1"/>
  <c r="BD49" i="4"/>
  <c r="BF49" i="4" s="1"/>
  <c r="AZ49" i="4"/>
  <c r="BB49" i="4" s="1"/>
  <c r="AR49" i="4"/>
  <c r="AT49" i="4" s="1"/>
  <c r="AN49" i="4"/>
  <c r="AP49" i="4" s="1"/>
  <c r="AJ49" i="4"/>
  <c r="AL49" i="4" s="1"/>
  <c r="AF49" i="4"/>
  <c r="AH49" i="4" s="1"/>
  <c r="AB49" i="4"/>
  <c r="AD49" i="4" s="1"/>
  <c r="X49" i="4"/>
  <c r="Z49" i="4" s="1"/>
  <c r="T49" i="4"/>
  <c r="V49" i="4" s="1"/>
  <c r="P49" i="4"/>
  <c r="R49" i="4" s="1"/>
  <c r="L49" i="4"/>
  <c r="N49" i="4" s="1"/>
  <c r="D49" i="4"/>
  <c r="F49" i="4" s="1"/>
  <c r="BM48" i="4"/>
  <c r="BK48" i="4"/>
  <c r="BL48" i="4" s="1"/>
  <c r="BN48" i="4" s="1"/>
  <c r="BI48" i="4"/>
  <c r="BG48" i="4"/>
  <c r="BH48" i="4" s="1"/>
  <c r="BJ48" i="4" s="1"/>
  <c r="BE48" i="4"/>
  <c r="BC48" i="4"/>
  <c r="BD48" i="4" s="1"/>
  <c r="BA48" i="4"/>
  <c r="AY48" i="4"/>
  <c r="AZ48" i="4" s="1"/>
  <c r="BB48" i="4" s="1"/>
  <c r="AW48" i="4"/>
  <c r="AX48" i="4" s="1"/>
  <c r="AU48" i="4"/>
  <c r="AS48" i="4"/>
  <c r="AQ48" i="4"/>
  <c r="AR48" i="4" s="1"/>
  <c r="AT48" i="4" s="1"/>
  <c r="AO48" i="4"/>
  <c r="AM48" i="4"/>
  <c r="AN48" i="4" s="1"/>
  <c r="AP48" i="4" s="1"/>
  <c r="AK48" i="4"/>
  <c r="AI48" i="4"/>
  <c r="AJ48" i="4" s="1"/>
  <c r="AL48" i="4" s="1"/>
  <c r="AG48" i="4"/>
  <c r="AE48" i="4"/>
  <c r="AF48" i="4" s="1"/>
  <c r="AH48" i="4" s="1"/>
  <c r="AC48" i="4"/>
  <c r="AA48" i="4"/>
  <c r="AB48" i="4" s="1"/>
  <c r="AD48" i="4" s="1"/>
  <c r="Y48" i="4"/>
  <c r="W48" i="4"/>
  <c r="X48" i="4" s="1"/>
  <c r="Z48" i="4" s="1"/>
  <c r="U48" i="4"/>
  <c r="S48" i="4"/>
  <c r="T48" i="4" s="1"/>
  <c r="V48" i="4" s="1"/>
  <c r="Q48" i="4"/>
  <c r="O48" i="4"/>
  <c r="P48" i="4" s="1"/>
  <c r="R48" i="4" s="1"/>
  <c r="M48" i="4"/>
  <c r="K48" i="4"/>
  <c r="L48" i="4" s="1"/>
  <c r="N48" i="4" s="1"/>
  <c r="I48" i="4"/>
  <c r="G48" i="4"/>
  <c r="E48" i="4"/>
  <c r="C48" i="4"/>
  <c r="BL47" i="4"/>
  <c r="BN47" i="4" s="1"/>
  <c r="BH47" i="4"/>
  <c r="BJ47" i="4" s="1"/>
  <c r="BD47" i="4"/>
  <c r="BF47" i="4" s="1"/>
  <c r="AZ47" i="4"/>
  <c r="BB47" i="4" s="1"/>
  <c r="AR47" i="4"/>
  <c r="AT47" i="4" s="1"/>
  <c r="AN47" i="4"/>
  <c r="AP47" i="4" s="1"/>
  <c r="AJ47" i="4"/>
  <c r="AL47" i="4" s="1"/>
  <c r="AF47" i="4"/>
  <c r="AH47" i="4" s="1"/>
  <c r="AB47" i="4"/>
  <c r="AD47" i="4" s="1"/>
  <c r="X47" i="4"/>
  <c r="Z47" i="4" s="1"/>
  <c r="T47" i="4"/>
  <c r="V47" i="4" s="1"/>
  <c r="P47" i="4"/>
  <c r="R47" i="4" s="1"/>
  <c r="L47" i="4"/>
  <c r="N47" i="4" s="1"/>
  <c r="H47" i="4"/>
  <c r="J47" i="4" s="1"/>
  <c r="BL46" i="4"/>
  <c r="BN46" i="4" s="1"/>
  <c r="BH46" i="4"/>
  <c r="BJ46" i="4" s="1"/>
  <c r="BD46" i="4"/>
  <c r="BF46" i="4" s="1"/>
  <c r="AZ46" i="4"/>
  <c r="BB46" i="4" s="1"/>
  <c r="AR46" i="4"/>
  <c r="AT46" i="4" s="1"/>
  <c r="AN46" i="4"/>
  <c r="AP46" i="4" s="1"/>
  <c r="AJ46" i="4"/>
  <c r="AL46" i="4" s="1"/>
  <c r="AF46" i="4"/>
  <c r="AH46" i="4" s="1"/>
  <c r="AB46" i="4"/>
  <c r="AD46" i="4" s="1"/>
  <c r="X46" i="4"/>
  <c r="Z46" i="4" s="1"/>
  <c r="T46" i="4"/>
  <c r="V46" i="4" s="1"/>
  <c r="P46" i="4"/>
  <c r="R46" i="4" s="1"/>
  <c r="L46" i="4"/>
  <c r="N46" i="4" s="1"/>
  <c r="H46" i="4"/>
  <c r="J46" i="4" s="1"/>
  <c r="BL45" i="4"/>
  <c r="BN45" i="4" s="1"/>
  <c r="BH45" i="4"/>
  <c r="BJ45" i="4" s="1"/>
  <c r="BD45" i="4"/>
  <c r="BF45" i="4" s="1"/>
  <c r="AZ45" i="4"/>
  <c r="BB45" i="4" s="1"/>
  <c r="AR45" i="4"/>
  <c r="AT45" i="4" s="1"/>
  <c r="AN45" i="4"/>
  <c r="AP45" i="4" s="1"/>
  <c r="AJ45" i="4"/>
  <c r="AL45" i="4" s="1"/>
  <c r="AF45" i="4"/>
  <c r="AH45" i="4" s="1"/>
  <c r="AB45" i="4"/>
  <c r="AD45" i="4" s="1"/>
  <c r="X45" i="4"/>
  <c r="Z45" i="4" s="1"/>
  <c r="T45" i="4"/>
  <c r="V45" i="4" s="1"/>
  <c r="P45" i="4"/>
  <c r="R45" i="4" s="1"/>
  <c r="L45" i="4"/>
  <c r="N45" i="4" s="1"/>
  <c r="H45" i="4"/>
  <c r="J45" i="4" s="1"/>
  <c r="BL44" i="4"/>
  <c r="BN44" i="4" s="1"/>
  <c r="BH44" i="4"/>
  <c r="BJ44" i="4" s="1"/>
  <c r="BD44" i="4"/>
  <c r="BF44" i="4" s="1"/>
  <c r="AZ44" i="4"/>
  <c r="BB44" i="4" s="1"/>
  <c r="AR44" i="4"/>
  <c r="AT44" i="4" s="1"/>
  <c r="AN44" i="4"/>
  <c r="AP44" i="4" s="1"/>
  <c r="AJ44" i="4"/>
  <c r="AL44" i="4" s="1"/>
  <c r="AF44" i="4"/>
  <c r="AH44" i="4" s="1"/>
  <c r="AB44" i="4"/>
  <c r="AD44" i="4" s="1"/>
  <c r="X44" i="4"/>
  <c r="Z44" i="4" s="1"/>
  <c r="T44" i="4"/>
  <c r="V44" i="4" s="1"/>
  <c r="P44" i="4"/>
  <c r="R44" i="4" s="1"/>
  <c r="L44" i="4"/>
  <c r="N44" i="4" s="1"/>
  <c r="H44" i="4"/>
  <c r="J44" i="4" s="1"/>
  <c r="D44" i="4"/>
  <c r="BM43" i="4"/>
  <c r="BK43" i="4"/>
  <c r="BL43" i="4" s="1"/>
  <c r="BN43" i="4" s="1"/>
  <c r="BI43" i="4"/>
  <c r="BG43" i="4"/>
  <c r="BH43" i="4" s="1"/>
  <c r="BJ43" i="4" s="1"/>
  <c r="BE43" i="4"/>
  <c r="BC43" i="4"/>
  <c r="BD43" i="4" s="1"/>
  <c r="BA43" i="4"/>
  <c r="AY43" i="4"/>
  <c r="AZ43" i="4" s="1"/>
  <c r="BB43" i="4" s="1"/>
  <c r="AW43" i="4"/>
  <c r="AU43" i="4"/>
  <c r="AS43" i="4"/>
  <c r="AQ43" i="4"/>
  <c r="AR43" i="4" s="1"/>
  <c r="AT43" i="4" s="1"/>
  <c r="AO43" i="4"/>
  <c r="AM43" i="4"/>
  <c r="AN43" i="4" s="1"/>
  <c r="AP43" i="4" s="1"/>
  <c r="AK43" i="4"/>
  <c r="AI43" i="4"/>
  <c r="AJ43" i="4" s="1"/>
  <c r="AL43" i="4" s="1"/>
  <c r="AG43" i="4"/>
  <c r="AE43" i="4"/>
  <c r="AF43" i="4" s="1"/>
  <c r="AH43" i="4" s="1"/>
  <c r="AC43" i="4"/>
  <c r="AA43" i="4"/>
  <c r="AB43" i="4" s="1"/>
  <c r="AD43" i="4" s="1"/>
  <c r="Y43" i="4"/>
  <c r="W43" i="4"/>
  <c r="X43" i="4" s="1"/>
  <c r="Z43" i="4" s="1"/>
  <c r="U43" i="4"/>
  <c r="S43" i="4"/>
  <c r="T43" i="4" s="1"/>
  <c r="V43" i="4" s="1"/>
  <c r="Q43" i="4"/>
  <c r="O43" i="4"/>
  <c r="P43" i="4" s="1"/>
  <c r="R43" i="4" s="1"/>
  <c r="M43" i="4"/>
  <c r="K43" i="4"/>
  <c r="L43" i="4" s="1"/>
  <c r="N43" i="4" s="1"/>
  <c r="I43" i="4"/>
  <c r="G43" i="4"/>
  <c r="H43" i="4" s="1"/>
  <c r="J43" i="4" s="1"/>
  <c r="E43" i="4"/>
  <c r="C43" i="4"/>
  <c r="BN41" i="4"/>
  <c r="BJ41" i="4"/>
  <c r="BD41" i="4"/>
  <c r="BF41" i="4" s="1"/>
  <c r="BB41" i="4"/>
  <c r="AV41" i="4"/>
  <c r="AX41" i="4" s="1"/>
  <c r="AR41" i="4"/>
  <c r="AT41" i="4" s="1"/>
  <c r="AN41" i="4"/>
  <c r="AP41" i="4" s="1"/>
  <c r="AJ41" i="4"/>
  <c r="AL41" i="4" s="1"/>
  <c r="AF41" i="4"/>
  <c r="AH41" i="4" s="1"/>
  <c r="AB41" i="4"/>
  <c r="AD41" i="4" s="1"/>
  <c r="X41" i="4"/>
  <c r="Z41" i="4" s="1"/>
  <c r="T41" i="4"/>
  <c r="V41" i="4" s="1"/>
  <c r="R41" i="4"/>
  <c r="N41" i="4"/>
  <c r="J41" i="4"/>
  <c r="F41" i="4"/>
  <c r="BD39" i="4"/>
  <c r="BF39" i="4" s="1"/>
  <c r="AV39" i="4"/>
  <c r="AX39" i="4" s="1"/>
  <c r="AR39" i="4"/>
  <c r="AT39" i="4" s="1"/>
  <c r="AN39" i="4"/>
  <c r="AP39" i="4" s="1"/>
  <c r="AJ39" i="4"/>
  <c r="AL39" i="4" s="1"/>
  <c r="AF39" i="4"/>
  <c r="AH39" i="4" s="1"/>
  <c r="AB39" i="4"/>
  <c r="AD39" i="4" s="1"/>
  <c r="X39" i="4"/>
  <c r="Z39" i="4" s="1"/>
  <c r="T39" i="4"/>
  <c r="V39" i="4" s="1"/>
  <c r="BD38" i="4"/>
  <c r="BF38" i="4" s="1"/>
  <c r="AV38" i="4"/>
  <c r="AX38" i="4" s="1"/>
  <c r="AR38" i="4"/>
  <c r="AT38" i="4" s="1"/>
  <c r="AN38" i="4"/>
  <c r="AP38" i="4" s="1"/>
  <c r="AJ38" i="4"/>
  <c r="AL38" i="4" s="1"/>
  <c r="AF38" i="4"/>
  <c r="AH38" i="4" s="1"/>
  <c r="AB38" i="4"/>
  <c r="AD38" i="4" s="1"/>
  <c r="X38" i="4"/>
  <c r="Z38" i="4" s="1"/>
  <c r="T38" i="4"/>
  <c r="V38" i="4" s="1"/>
  <c r="BD37" i="4"/>
  <c r="BF37" i="4" s="1"/>
  <c r="AV37" i="4"/>
  <c r="AX37" i="4" s="1"/>
  <c r="AR37" i="4"/>
  <c r="AT37" i="4" s="1"/>
  <c r="AN37" i="4"/>
  <c r="AP37" i="4" s="1"/>
  <c r="AJ37" i="4"/>
  <c r="AL37" i="4" s="1"/>
  <c r="AF37" i="4"/>
  <c r="AH37" i="4" s="1"/>
  <c r="AB37" i="4"/>
  <c r="AD37" i="4" s="1"/>
  <c r="X37" i="4"/>
  <c r="Z37" i="4" s="1"/>
  <c r="T37" i="4"/>
  <c r="V37" i="4" s="1"/>
  <c r="BD36" i="4"/>
  <c r="BF36" i="4" s="1"/>
  <c r="AV36" i="4"/>
  <c r="AX36" i="4" s="1"/>
  <c r="AR36" i="4"/>
  <c r="AT36" i="4" s="1"/>
  <c r="AN36" i="4"/>
  <c r="AP36" i="4" s="1"/>
  <c r="AJ36" i="4"/>
  <c r="AL36" i="4" s="1"/>
  <c r="AF36" i="4"/>
  <c r="AH36" i="4" s="1"/>
  <c r="AB36" i="4"/>
  <c r="AD36" i="4" s="1"/>
  <c r="X36" i="4"/>
  <c r="Z36" i="4" s="1"/>
  <c r="T36" i="4"/>
  <c r="V36" i="4" s="1"/>
  <c r="BD35" i="4"/>
  <c r="BF35" i="4" s="1"/>
  <c r="AV35" i="4"/>
  <c r="AX35" i="4" s="1"/>
  <c r="AR35" i="4"/>
  <c r="AT35" i="4" s="1"/>
  <c r="AN35" i="4"/>
  <c r="AP35" i="4" s="1"/>
  <c r="AJ35" i="4"/>
  <c r="AL35" i="4" s="1"/>
  <c r="AF35" i="4"/>
  <c r="AH35" i="4" s="1"/>
  <c r="AB35" i="4"/>
  <c r="AD35" i="4" s="1"/>
  <c r="X35" i="4"/>
  <c r="Z35" i="4" s="1"/>
  <c r="T35" i="4"/>
  <c r="V35" i="4" s="1"/>
  <c r="BD34" i="4"/>
  <c r="BF34" i="4" s="1"/>
  <c r="AV34" i="4"/>
  <c r="AX34" i="4" s="1"/>
  <c r="AR34" i="4"/>
  <c r="AT34" i="4" s="1"/>
  <c r="AN34" i="4"/>
  <c r="AP34" i="4" s="1"/>
  <c r="AJ34" i="4"/>
  <c r="AL34" i="4" s="1"/>
  <c r="AF34" i="4"/>
  <c r="AH34" i="4" s="1"/>
  <c r="AB34" i="4"/>
  <c r="AD34" i="4" s="1"/>
  <c r="X34" i="4"/>
  <c r="Z34" i="4" s="1"/>
  <c r="T34" i="4"/>
  <c r="V34" i="4" s="1"/>
  <c r="BK33" i="4"/>
  <c r="BG33" i="4"/>
  <c r="BE33" i="4"/>
  <c r="BQ33" i="4" s="1"/>
  <c r="BC33" i="4"/>
  <c r="BD33" i="4" s="1"/>
  <c r="AY33" i="4"/>
  <c r="AY31" i="4" s="1"/>
  <c r="AZ31" i="4" s="1"/>
  <c r="AU33" i="4"/>
  <c r="AV33" i="4" s="1"/>
  <c r="AX33" i="4" s="1"/>
  <c r="AQ33" i="4"/>
  <c r="AR33" i="4" s="1"/>
  <c r="AT33" i="4" s="1"/>
  <c r="AM33" i="4"/>
  <c r="AN33" i="4" s="1"/>
  <c r="AP33" i="4" s="1"/>
  <c r="AI33" i="4"/>
  <c r="AJ33" i="4" s="1"/>
  <c r="AL33" i="4" s="1"/>
  <c r="AE33" i="4"/>
  <c r="AF33" i="4" s="1"/>
  <c r="AH33" i="4" s="1"/>
  <c r="AA33" i="4"/>
  <c r="AB33" i="4" s="1"/>
  <c r="AD33" i="4" s="1"/>
  <c r="W33" i="4"/>
  <c r="X33" i="4" s="1"/>
  <c r="Z33" i="4" s="1"/>
  <c r="S33" i="4"/>
  <c r="T33" i="4" s="1"/>
  <c r="V33" i="4" s="1"/>
  <c r="O33" i="4"/>
  <c r="K33" i="4"/>
  <c r="G33" i="4"/>
  <c r="C33" i="4"/>
  <c r="BL32" i="4"/>
  <c r="BN32" i="4" s="1"/>
  <c r="BH32" i="4"/>
  <c r="BJ32" i="4" s="1"/>
  <c r="BD32" i="4"/>
  <c r="BF32" i="4" s="1"/>
  <c r="AZ32" i="4"/>
  <c r="BB32" i="4" s="1"/>
  <c r="AV32" i="4"/>
  <c r="AX32" i="4" s="1"/>
  <c r="AR32" i="4"/>
  <c r="AT32" i="4" s="1"/>
  <c r="AN32" i="4"/>
  <c r="AP32" i="4" s="1"/>
  <c r="AJ32" i="4"/>
  <c r="AL32" i="4" s="1"/>
  <c r="AF32" i="4"/>
  <c r="AH32" i="4" s="1"/>
  <c r="AB32" i="4"/>
  <c r="AD32" i="4" s="1"/>
  <c r="X32" i="4"/>
  <c r="Z32" i="4" s="1"/>
  <c r="T32" i="4"/>
  <c r="V32" i="4" s="1"/>
  <c r="P32" i="4"/>
  <c r="R32" i="4" s="1"/>
  <c r="L32" i="4"/>
  <c r="N32" i="4" s="1"/>
  <c r="H32" i="4"/>
  <c r="J32" i="4" s="1"/>
  <c r="D32" i="4"/>
  <c r="F32" i="4" s="1"/>
  <c r="BL30" i="4"/>
  <c r="BN30" i="4" s="1"/>
  <c r="BH30" i="4"/>
  <c r="BJ30" i="4" s="1"/>
  <c r="BD30" i="4"/>
  <c r="BF30" i="4" s="1"/>
  <c r="AZ30" i="4"/>
  <c r="BB30" i="4" s="1"/>
  <c r="AV30" i="4"/>
  <c r="AX30" i="4" s="1"/>
  <c r="AR30" i="4"/>
  <c r="AT30" i="4" s="1"/>
  <c r="AN30" i="4"/>
  <c r="AP30" i="4" s="1"/>
  <c r="AJ30" i="4"/>
  <c r="AL30" i="4" s="1"/>
  <c r="AF30" i="4"/>
  <c r="AH30" i="4" s="1"/>
  <c r="AB30" i="4"/>
  <c r="AD30" i="4" s="1"/>
  <c r="X30" i="4"/>
  <c r="Z30" i="4" s="1"/>
  <c r="V30" i="4"/>
  <c r="P30" i="4"/>
  <c r="R30" i="4" s="1"/>
  <c r="L30" i="4"/>
  <c r="N30" i="4" s="1"/>
  <c r="H30" i="4"/>
  <c r="J30" i="4" s="1"/>
  <c r="D30" i="4"/>
  <c r="F30" i="4" s="1"/>
  <c r="BL29" i="4"/>
  <c r="BN29" i="4" s="1"/>
  <c r="BH29" i="4"/>
  <c r="BJ29" i="4" s="1"/>
  <c r="BD29" i="4"/>
  <c r="BF29" i="4" s="1"/>
  <c r="AZ29" i="4"/>
  <c r="BB29" i="4" s="1"/>
  <c r="AV29" i="4"/>
  <c r="AX29" i="4" s="1"/>
  <c r="AR29" i="4"/>
  <c r="AT29" i="4" s="1"/>
  <c r="AN29" i="4"/>
  <c r="AP29" i="4" s="1"/>
  <c r="AJ29" i="4"/>
  <c r="AL29" i="4" s="1"/>
  <c r="AF29" i="4"/>
  <c r="AH29" i="4" s="1"/>
  <c r="AB29" i="4"/>
  <c r="AD29" i="4" s="1"/>
  <c r="X29" i="4"/>
  <c r="Z29" i="4" s="1"/>
  <c r="V29" i="4"/>
  <c r="P29" i="4"/>
  <c r="R29" i="4" s="1"/>
  <c r="L29" i="4"/>
  <c r="N29" i="4" s="1"/>
  <c r="H29" i="4"/>
  <c r="J29" i="4" s="1"/>
  <c r="D29" i="4"/>
  <c r="F29" i="4" s="1"/>
  <c r="BL28" i="4"/>
  <c r="BN28" i="4" s="1"/>
  <c r="BH28" i="4"/>
  <c r="BJ28" i="4" s="1"/>
  <c r="BD28" i="4"/>
  <c r="BF28" i="4" s="1"/>
  <c r="AZ28" i="4"/>
  <c r="BB28" i="4" s="1"/>
  <c r="AV28" i="4"/>
  <c r="AX28" i="4" s="1"/>
  <c r="AR28" i="4"/>
  <c r="AT28" i="4" s="1"/>
  <c r="AN28" i="4"/>
  <c r="AP28" i="4" s="1"/>
  <c r="AJ28" i="4"/>
  <c r="AL28" i="4" s="1"/>
  <c r="AF28" i="4"/>
  <c r="AH28" i="4" s="1"/>
  <c r="AB28" i="4"/>
  <c r="AD28" i="4" s="1"/>
  <c r="X28" i="4"/>
  <c r="Z28" i="4" s="1"/>
  <c r="V28" i="4"/>
  <c r="P28" i="4"/>
  <c r="R28" i="4" s="1"/>
  <c r="L28" i="4"/>
  <c r="N28" i="4" s="1"/>
  <c r="H28" i="4"/>
  <c r="J28" i="4" s="1"/>
  <c r="D28" i="4"/>
  <c r="F28" i="4" s="1"/>
  <c r="BL27" i="4"/>
  <c r="BN27" i="4" s="1"/>
  <c r="BH27" i="4"/>
  <c r="BJ27" i="4" s="1"/>
  <c r="BD27" i="4"/>
  <c r="AZ27" i="4"/>
  <c r="BB27" i="4" s="1"/>
  <c r="AV27" i="4"/>
  <c r="AX27" i="4" s="1"/>
  <c r="AR27" i="4"/>
  <c r="AT27" i="4" s="1"/>
  <c r="AN27" i="4"/>
  <c r="AP27" i="4" s="1"/>
  <c r="AJ27" i="4"/>
  <c r="AL27" i="4" s="1"/>
  <c r="AF27" i="4"/>
  <c r="AH27" i="4" s="1"/>
  <c r="AB27" i="4"/>
  <c r="AD27" i="4" s="1"/>
  <c r="X27" i="4"/>
  <c r="Z27" i="4" s="1"/>
  <c r="V27" i="4"/>
  <c r="P27" i="4"/>
  <c r="R27" i="4" s="1"/>
  <c r="L27" i="4"/>
  <c r="N27" i="4" s="1"/>
  <c r="H27" i="4"/>
  <c r="J27" i="4" s="1"/>
  <c r="D27" i="4"/>
  <c r="F27" i="4" s="1"/>
  <c r="BL26" i="4"/>
  <c r="BN26" i="4" s="1"/>
  <c r="BH26" i="4"/>
  <c r="BJ26" i="4" s="1"/>
  <c r="BD26" i="4"/>
  <c r="BF26" i="4" s="1"/>
  <c r="AZ26" i="4"/>
  <c r="BB26" i="4" s="1"/>
  <c r="AV26" i="4"/>
  <c r="AX26" i="4" s="1"/>
  <c r="AR26" i="4"/>
  <c r="AT26" i="4" s="1"/>
  <c r="AN26" i="4"/>
  <c r="AP26" i="4" s="1"/>
  <c r="AJ26" i="4"/>
  <c r="AL26" i="4" s="1"/>
  <c r="AF26" i="4"/>
  <c r="AH26" i="4" s="1"/>
  <c r="AB26" i="4"/>
  <c r="AD26" i="4" s="1"/>
  <c r="X26" i="4"/>
  <c r="Z26" i="4" s="1"/>
  <c r="T26" i="4"/>
  <c r="V26" i="4" s="1"/>
  <c r="P26" i="4"/>
  <c r="R26" i="4" s="1"/>
  <c r="L26" i="4"/>
  <c r="N26" i="4" s="1"/>
  <c r="H26" i="4"/>
  <c r="J26" i="4" s="1"/>
  <c r="D26" i="4"/>
  <c r="F26" i="4" s="1"/>
  <c r="BL24" i="4"/>
  <c r="BN24" i="4" s="1"/>
  <c r="BH24" i="4"/>
  <c r="BJ24" i="4" s="1"/>
  <c r="BD24" i="4"/>
  <c r="BF24" i="4" s="1"/>
  <c r="AZ24" i="4"/>
  <c r="BB24" i="4" s="1"/>
  <c r="AV24" i="4"/>
  <c r="AX24" i="4" s="1"/>
  <c r="AR24" i="4"/>
  <c r="AT24" i="4" s="1"/>
  <c r="AN24" i="4"/>
  <c r="AP24" i="4" s="1"/>
  <c r="AJ24" i="4"/>
  <c r="AL24" i="4" s="1"/>
  <c r="AF24" i="4"/>
  <c r="AH24" i="4" s="1"/>
  <c r="AB24" i="4"/>
  <c r="AD24" i="4" s="1"/>
  <c r="X24" i="4"/>
  <c r="Z24" i="4" s="1"/>
  <c r="T24" i="4"/>
  <c r="V24" i="4" s="1"/>
  <c r="P24" i="4"/>
  <c r="R24" i="4" s="1"/>
  <c r="L24" i="4"/>
  <c r="N24" i="4" s="1"/>
  <c r="H24" i="4"/>
  <c r="J24" i="4" s="1"/>
  <c r="D24" i="4"/>
  <c r="F24" i="4" s="1"/>
  <c r="BL22" i="4"/>
  <c r="BN22" i="4" s="1"/>
  <c r="BH22" i="4"/>
  <c r="BJ22" i="4" s="1"/>
  <c r="BD22" i="4"/>
  <c r="BF22" i="4" s="1"/>
  <c r="AZ22" i="4"/>
  <c r="BB22" i="4" s="1"/>
  <c r="AV22" i="4"/>
  <c r="AX22" i="4" s="1"/>
  <c r="AR22" i="4"/>
  <c r="AT22" i="4" s="1"/>
  <c r="AN22" i="4"/>
  <c r="AP22" i="4" s="1"/>
  <c r="AJ22" i="4"/>
  <c r="AL22" i="4" s="1"/>
  <c r="AF22" i="4"/>
  <c r="AH22" i="4" s="1"/>
  <c r="AB22" i="4"/>
  <c r="AD22" i="4" s="1"/>
  <c r="X22" i="4"/>
  <c r="Z22" i="4" s="1"/>
  <c r="T22" i="4"/>
  <c r="V22" i="4" s="1"/>
  <c r="P22" i="4"/>
  <c r="R22" i="4" s="1"/>
  <c r="L22" i="4"/>
  <c r="N22" i="4" s="1"/>
  <c r="H22" i="4"/>
  <c r="J22" i="4" s="1"/>
  <c r="D22" i="4"/>
  <c r="F22" i="4" s="1"/>
  <c r="BL21" i="4"/>
  <c r="BN21" i="4" s="1"/>
  <c r="BH21" i="4"/>
  <c r="BJ21" i="4" s="1"/>
  <c r="BD21" i="4"/>
  <c r="BF21" i="4" s="1"/>
  <c r="AZ21" i="4"/>
  <c r="BB21" i="4" s="1"/>
  <c r="AV21" i="4"/>
  <c r="AX21" i="4" s="1"/>
  <c r="AR21" i="4"/>
  <c r="AT21" i="4" s="1"/>
  <c r="AN21" i="4"/>
  <c r="AP21" i="4" s="1"/>
  <c r="AJ21" i="4"/>
  <c r="AL21" i="4" s="1"/>
  <c r="AF21" i="4"/>
  <c r="AH21" i="4" s="1"/>
  <c r="AB21" i="4"/>
  <c r="AD21" i="4" s="1"/>
  <c r="X21" i="4"/>
  <c r="Z21" i="4" s="1"/>
  <c r="T21" i="4"/>
  <c r="V21" i="4" s="1"/>
  <c r="P21" i="4"/>
  <c r="R21" i="4" s="1"/>
  <c r="L21" i="4"/>
  <c r="N21" i="4" s="1"/>
  <c r="H21" i="4"/>
  <c r="J21" i="4" s="1"/>
  <c r="D21" i="4"/>
  <c r="F21" i="4" s="1"/>
  <c r="BL20" i="4"/>
  <c r="BN20" i="4" s="1"/>
  <c r="BH20" i="4"/>
  <c r="BJ20" i="4" s="1"/>
  <c r="BD20" i="4"/>
  <c r="BF20" i="4" s="1"/>
  <c r="AZ20" i="4"/>
  <c r="BB20" i="4" s="1"/>
  <c r="AV20" i="4"/>
  <c r="AX20" i="4" s="1"/>
  <c r="AR20" i="4"/>
  <c r="AT20" i="4" s="1"/>
  <c r="AN20" i="4"/>
  <c r="AP20" i="4" s="1"/>
  <c r="AJ20" i="4"/>
  <c r="AL20" i="4" s="1"/>
  <c r="AF20" i="4"/>
  <c r="AH20" i="4" s="1"/>
  <c r="AB20" i="4"/>
  <c r="AD20" i="4" s="1"/>
  <c r="X20" i="4"/>
  <c r="Z20" i="4" s="1"/>
  <c r="T20" i="4"/>
  <c r="V20" i="4" s="1"/>
  <c r="P20" i="4"/>
  <c r="R20" i="4" s="1"/>
  <c r="L20" i="4"/>
  <c r="N20" i="4" s="1"/>
  <c r="H20" i="4"/>
  <c r="J20" i="4" s="1"/>
  <c r="D20" i="4"/>
  <c r="F20" i="4" s="1"/>
  <c r="BL19" i="4"/>
  <c r="BN19" i="4" s="1"/>
  <c r="BH19" i="4"/>
  <c r="BJ19" i="4" s="1"/>
  <c r="BD19" i="4"/>
  <c r="BF19" i="4" s="1"/>
  <c r="AZ19" i="4"/>
  <c r="BB19" i="4" s="1"/>
  <c r="AV19" i="4"/>
  <c r="AX19" i="4" s="1"/>
  <c r="AR19" i="4"/>
  <c r="AT19" i="4" s="1"/>
  <c r="AN19" i="4"/>
  <c r="AP19" i="4" s="1"/>
  <c r="AJ19" i="4"/>
  <c r="AL19" i="4" s="1"/>
  <c r="AF19" i="4"/>
  <c r="AH19" i="4" s="1"/>
  <c r="AB19" i="4"/>
  <c r="AD19" i="4" s="1"/>
  <c r="X19" i="4"/>
  <c r="Z19" i="4" s="1"/>
  <c r="T19" i="4"/>
  <c r="V19" i="4" s="1"/>
  <c r="P19" i="4"/>
  <c r="R19" i="4" s="1"/>
  <c r="L19" i="4"/>
  <c r="N19" i="4" s="1"/>
  <c r="H19" i="4"/>
  <c r="J19" i="4" s="1"/>
  <c r="D19" i="4"/>
  <c r="F19" i="4" s="1"/>
  <c r="BL18" i="4"/>
  <c r="BN18" i="4" s="1"/>
  <c r="BH18" i="4"/>
  <c r="BJ18" i="4" s="1"/>
  <c r="BD18" i="4"/>
  <c r="BF18" i="4" s="1"/>
  <c r="AZ18" i="4"/>
  <c r="BB18" i="4" s="1"/>
  <c r="AV18" i="4"/>
  <c r="AX18" i="4" s="1"/>
  <c r="AR18" i="4"/>
  <c r="AT18" i="4" s="1"/>
  <c r="AN18" i="4"/>
  <c r="AP18" i="4" s="1"/>
  <c r="AJ18" i="4"/>
  <c r="AL18" i="4" s="1"/>
  <c r="AF18" i="4"/>
  <c r="AH18" i="4" s="1"/>
  <c r="AB18" i="4"/>
  <c r="AD18" i="4" s="1"/>
  <c r="X18" i="4"/>
  <c r="Z18" i="4" s="1"/>
  <c r="T18" i="4"/>
  <c r="V18" i="4" s="1"/>
  <c r="P18" i="4"/>
  <c r="R18" i="4" s="1"/>
  <c r="L18" i="4"/>
  <c r="N18" i="4" s="1"/>
  <c r="H18" i="4"/>
  <c r="J18" i="4" s="1"/>
  <c r="D18" i="4"/>
  <c r="F18" i="4" s="1"/>
  <c r="BL17" i="4"/>
  <c r="BN17" i="4" s="1"/>
  <c r="BH17" i="4"/>
  <c r="BJ17" i="4" s="1"/>
  <c r="BD17" i="4"/>
  <c r="BF17" i="4" s="1"/>
  <c r="AZ17" i="4"/>
  <c r="BB17" i="4" s="1"/>
  <c r="AV17" i="4"/>
  <c r="AX17" i="4" s="1"/>
  <c r="AR17" i="4"/>
  <c r="AT17" i="4" s="1"/>
  <c r="AN17" i="4"/>
  <c r="AP17" i="4" s="1"/>
  <c r="AJ17" i="4"/>
  <c r="AL17" i="4" s="1"/>
  <c r="AF17" i="4"/>
  <c r="AH17" i="4" s="1"/>
  <c r="AB17" i="4"/>
  <c r="AD17" i="4" s="1"/>
  <c r="X17" i="4"/>
  <c r="Z17" i="4" s="1"/>
  <c r="T17" i="4"/>
  <c r="V17" i="4" s="1"/>
  <c r="P17" i="4"/>
  <c r="R17" i="4" s="1"/>
  <c r="L17" i="4"/>
  <c r="N17" i="4" s="1"/>
  <c r="H17" i="4"/>
  <c r="J17" i="4" s="1"/>
  <c r="D17" i="4"/>
  <c r="F17" i="4" s="1"/>
  <c r="BL16" i="4"/>
  <c r="BN16" i="4" s="1"/>
  <c r="BH16" i="4"/>
  <c r="BJ16" i="4" s="1"/>
  <c r="BD16" i="4"/>
  <c r="BF16" i="4" s="1"/>
  <c r="AZ16" i="4"/>
  <c r="BB16" i="4" s="1"/>
  <c r="AV16" i="4"/>
  <c r="AX16" i="4" s="1"/>
  <c r="AR16" i="4"/>
  <c r="AT16" i="4" s="1"/>
  <c r="AN16" i="4"/>
  <c r="AP16" i="4" s="1"/>
  <c r="AJ16" i="4"/>
  <c r="AL16" i="4" s="1"/>
  <c r="AF16" i="4"/>
  <c r="AH16" i="4" s="1"/>
  <c r="AB16" i="4"/>
  <c r="AD16" i="4" s="1"/>
  <c r="X16" i="4"/>
  <c r="Z16" i="4" s="1"/>
  <c r="T16" i="4"/>
  <c r="V16" i="4" s="1"/>
  <c r="P16" i="4"/>
  <c r="R16" i="4" s="1"/>
  <c r="L16" i="4"/>
  <c r="N16" i="4" s="1"/>
  <c r="H16" i="4"/>
  <c r="J16" i="4" s="1"/>
  <c r="D16" i="4"/>
  <c r="F16" i="4" s="1"/>
  <c r="BL15" i="4"/>
  <c r="BN15" i="4" s="1"/>
  <c r="BH15" i="4"/>
  <c r="BJ15" i="4" s="1"/>
  <c r="BD15" i="4"/>
  <c r="BF15" i="4" s="1"/>
  <c r="AZ15" i="4"/>
  <c r="BB15" i="4" s="1"/>
  <c r="AV15" i="4"/>
  <c r="AX15" i="4" s="1"/>
  <c r="AR15" i="4"/>
  <c r="AT15" i="4" s="1"/>
  <c r="AN15" i="4"/>
  <c r="AP15" i="4" s="1"/>
  <c r="AJ15" i="4"/>
  <c r="AL15" i="4" s="1"/>
  <c r="AF15" i="4"/>
  <c r="AH15" i="4" s="1"/>
  <c r="AB15" i="4"/>
  <c r="AD15" i="4" s="1"/>
  <c r="X15" i="4"/>
  <c r="Z15" i="4" s="1"/>
  <c r="T15" i="4"/>
  <c r="V15" i="4" s="1"/>
  <c r="P15" i="4"/>
  <c r="R15" i="4" s="1"/>
  <c r="L15" i="4"/>
  <c r="N15" i="4" s="1"/>
  <c r="H15" i="4"/>
  <c r="J15" i="4" s="1"/>
  <c r="D15" i="4"/>
  <c r="F15" i="4" s="1"/>
  <c r="BL14" i="4"/>
  <c r="BN14" i="4" s="1"/>
  <c r="BH14" i="4"/>
  <c r="BJ14" i="4" s="1"/>
  <c r="BD14" i="4"/>
  <c r="BF14" i="4" s="1"/>
  <c r="AZ14" i="4"/>
  <c r="BB14" i="4" s="1"/>
  <c r="AV14" i="4"/>
  <c r="AX14" i="4" s="1"/>
  <c r="AR14" i="4"/>
  <c r="AT14" i="4" s="1"/>
  <c r="AN14" i="4"/>
  <c r="AP14" i="4" s="1"/>
  <c r="AJ14" i="4"/>
  <c r="AL14" i="4" s="1"/>
  <c r="AF14" i="4"/>
  <c r="AH14" i="4" s="1"/>
  <c r="AB14" i="4"/>
  <c r="AD14" i="4" s="1"/>
  <c r="X14" i="4"/>
  <c r="Z14" i="4" s="1"/>
  <c r="T14" i="4"/>
  <c r="V14" i="4" s="1"/>
  <c r="P14" i="4"/>
  <c r="R14" i="4" s="1"/>
  <c r="L14" i="4"/>
  <c r="N14" i="4" s="1"/>
  <c r="H14" i="4"/>
  <c r="J14" i="4" s="1"/>
  <c r="D14" i="4"/>
  <c r="F14" i="4" s="1"/>
  <c r="BL13" i="4"/>
  <c r="BN13" i="4" s="1"/>
  <c r="BH13" i="4"/>
  <c r="BJ13" i="4" s="1"/>
  <c r="BD13" i="4"/>
  <c r="BF13" i="4" s="1"/>
  <c r="AZ13" i="4"/>
  <c r="BB13" i="4" s="1"/>
  <c r="AV13" i="4"/>
  <c r="AX13" i="4" s="1"/>
  <c r="AR13" i="4"/>
  <c r="AT13" i="4" s="1"/>
  <c r="AN13" i="4"/>
  <c r="AP13" i="4" s="1"/>
  <c r="AJ13" i="4"/>
  <c r="AL13" i="4" s="1"/>
  <c r="AF13" i="4"/>
  <c r="AH13" i="4" s="1"/>
  <c r="AB13" i="4"/>
  <c r="AD13" i="4" s="1"/>
  <c r="X13" i="4"/>
  <c r="Z13" i="4" s="1"/>
  <c r="T13" i="4"/>
  <c r="V13" i="4" s="1"/>
  <c r="P13" i="4"/>
  <c r="R13" i="4" s="1"/>
  <c r="L13" i="4"/>
  <c r="N13" i="4" s="1"/>
  <c r="H13" i="4"/>
  <c r="J13" i="4" s="1"/>
  <c r="D13" i="4"/>
  <c r="F13" i="4" s="1"/>
  <c r="BM12" i="4"/>
  <c r="BK12" i="4"/>
  <c r="BL12" i="4" s="1"/>
  <c r="BI12" i="4"/>
  <c r="BG12" i="4"/>
  <c r="BE12" i="4"/>
  <c r="BE23" i="4" s="1"/>
  <c r="BC12" i="4"/>
  <c r="BD12" i="4" s="1"/>
  <c r="BA12" i="4"/>
  <c r="AY12" i="4"/>
  <c r="AW12" i="4"/>
  <c r="AU12" i="4"/>
  <c r="AS12" i="4"/>
  <c r="AS23" i="4" s="1"/>
  <c r="AQ12" i="4"/>
  <c r="AR12" i="4" s="1"/>
  <c r="AT12" i="4" s="1"/>
  <c r="AO12" i="4"/>
  <c r="AO23" i="4" s="1"/>
  <c r="AM12" i="4"/>
  <c r="AN12" i="4" s="1"/>
  <c r="AP12" i="4" s="1"/>
  <c r="AK12" i="4"/>
  <c r="AK23" i="4" s="1"/>
  <c r="AI12" i="4"/>
  <c r="AJ12" i="4" s="1"/>
  <c r="AL12" i="4" s="1"/>
  <c r="AG12" i="4"/>
  <c r="AG23" i="4" s="1"/>
  <c r="AE12" i="4"/>
  <c r="AF12" i="4" s="1"/>
  <c r="AH12" i="4" s="1"/>
  <c r="AC12" i="4"/>
  <c r="AC23" i="4" s="1"/>
  <c r="AA12" i="4"/>
  <c r="AB12" i="4" s="1"/>
  <c r="AD12" i="4" s="1"/>
  <c r="Y12" i="4"/>
  <c r="Y23" i="4" s="1"/>
  <c r="W12" i="4"/>
  <c r="X12" i="4" s="1"/>
  <c r="Z12" i="4" s="1"/>
  <c r="U12" i="4"/>
  <c r="U23" i="4" s="1"/>
  <c r="S12" i="4"/>
  <c r="T12" i="4" s="1"/>
  <c r="V12" i="4" s="1"/>
  <c r="Q12" i="4"/>
  <c r="O12" i="4"/>
  <c r="M12" i="4"/>
  <c r="K12" i="4"/>
  <c r="I12" i="4"/>
  <c r="G12" i="4"/>
  <c r="E12" i="4"/>
  <c r="C12" i="4"/>
  <c r="X24" i="3"/>
  <c r="FA88" i="2"/>
  <c r="I84" i="7" s="1"/>
  <c r="FA85" i="2"/>
  <c r="FA84" i="2"/>
  <c r="I80" i="7" s="1"/>
  <c r="FA81" i="2"/>
  <c r="I77" i="7" s="1"/>
  <c r="FA80" i="2"/>
  <c r="I76" i="7" s="1"/>
  <c r="FA79" i="2"/>
  <c r="FA78" i="2"/>
  <c r="FA77" i="2"/>
  <c r="FA76" i="2"/>
  <c r="FA75" i="2"/>
  <c r="FA73" i="2"/>
  <c r="FA72" i="2"/>
  <c r="FA71" i="2"/>
  <c r="FA69" i="2"/>
  <c r="FA68" i="2"/>
  <c r="FA67" i="2"/>
  <c r="FA66" i="2"/>
  <c r="FA65" i="2"/>
  <c r="FA64" i="2"/>
  <c r="FA63" i="2"/>
  <c r="FA62" i="2"/>
  <c r="FA61" i="2"/>
  <c r="FA60" i="2"/>
  <c r="FA59" i="2"/>
  <c r="FA58" i="2"/>
  <c r="FA57" i="2"/>
  <c r="FA56" i="2"/>
  <c r="FA54" i="2"/>
  <c r="FA52" i="2"/>
  <c r="FA51" i="2"/>
  <c r="FA50" i="2"/>
  <c r="FA49" i="2"/>
  <c r="FA47" i="2"/>
  <c r="FA46" i="2"/>
  <c r="FA45" i="2"/>
  <c r="FA44" i="2"/>
  <c r="FA41" i="2"/>
  <c r="FA39" i="2"/>
  <c r="FA38" i="2"/>
  <c r="FA37" i="2"/>
  <c r="FA36" i="2"/>
  <c r="FA35" i="2"/>
  <c r="FA34" i="2"/>
  <c r="FA32" i="2"/>
  <c r="I28" i="7" s="1"/>
  <c r="FA30" i="2"/>
  <c r="I26" i="7" s="1"/>
  <c r="FA29" i="2"/>
  <c r="FA28" i="2"/>
  <c r="I24" i="7" s="1"/>
  <c r="FA27" i="2"/>
  <c r="I23" i="7" s="1"/>
  <c r="FA26" i="2"/>
  <c r="I22" i="7" s="1"/>
  <c r="FA24" i="2"/>
  <c r="I20" i="7" s="1"/>
  <c r="FA22" i="2"/>
  <c r="FA21" i="2"/>
  <c r="FA20" i="2"/>
  <c r="FA19" i="2"/>
  <c r="I15" i="7" s="1"/>
  <c r="FA18" i="2"/>
  <c r="FA17" i="2"/>
  <c r="FA16" i="2"/>
  <c r="FA15" i="2"/>
  <c r="FA14" i="2"/>
  <c r="FA13" i="2"/>
  <c r="I9" i="7" s="1"/>
  <c r="BT86" i="2"/>
  <c r="V85" i="4" l="1"/>
  <c r="T86" i="4"/>
  <c r="BM53" i="4"/>
  <c r="K31" i="4"/>
  <c r="I31" i="4"/>
  <c r="Q31" i="4"/>
  <c r="Y31" i="4"/>
  <c r="AG31" i="4"/>
  <c r="AO31" i="4"/>
  <c r="BM31" i="4"/>
  <c r="AI53" i="4"/>
  <c r="AJ53" i="4" s="1"/>
  <c r="AL53" i="4" s="1"/>
  <c r="AM23" i="5"/>
  <c r="AU19" i="7" s="1"/>
  <c r="AV12" i="5"/>
  <c r="AX12" i="5" s="1"/>
  <c r="AU23" i="5"/>
  <c r="AM12" i="5"/>
  <c r="AU8" i="7" s="1"/>
  <c r="AU31" i="4"/>
  <c r="O31" i="4"/>
  <c r="AA53" i="4"/>
  <c r="AB53" i="4" s="1"/>
  <c r="AD53" i="4" s="1"/>
  <c r="AQ53" i="4"/>
  <c r="AR53" i="4" s="1"/>
  <c r="AT53" i="4" s="1"/>
  <c r="BG23" i="5"/>
  <c r="BC19" i="7" s="1"/>
  <c r="BC8" i="7"/>
  <c r="W33" i="5"/>
  <c r="AM29" i="7" s="1"/>
  <c r="E31" i="5"/>
  <c r="W74" i="5"/>
  <c r="AM70" i="7" s="1"/>
  <c r="AM74" i="5"/>
  <c r="AU70" i="7" s="1"/>
  <c r="W53" i="4"/>
  <c r="X53" i="4" s="1"/>
  <c r="Z53" i="4" s="1"/>
  <c r="BK31" i="4"/>
  <c r="E31" i="4"/>
  <c r="M31" i="4"/>
  <c r="M25" i="4" s="1"/>
  <c r="M83" i="4" s="1"/>
  <c r="M87" i="4" s="1"/>
  <c r="U31" i="4"/>
  <c r="U25" i="4" s="1"/>
  <c r="AC31" i="4"/>
  <c r="AC25" i="4" s="1"/>
  <c r="AK31" i="4"/>
  <c r="AS31" i="4"/>
  <c r="AS25" i="4" s="1"/>
  <c r="AS83" i="4" s="1"/>
  <c r="BA31" i="4"/>
  <c r="BB31" i="4" s="1"/>
  <c r="AE31" i="4"/>
  <c r="AF31" i="4" s="1"/>
  <c r="AH31" i="4" s="1"/>
  <c r="Q53" i="4"/>
  <c r="Q25" i="4" s="1"/>
  <c r="Q83" i="4" s="1"/>
  <c r="Q87" i="4" s="1"/>
  <c r="Y53" i="4"/>
  <c r="AG53" i="4"/>
  <c r="AO53" i="4"/>
  <c r="Q31" i="5"/>
  <c r="S31" i="4"/>
  <c r="T31" i="4" s="1"/>
  <c r="V31" i="4" s="1"/>
  <c r="BF48" i="4"/>
  <c r="O53" i="4"/>
  <c r="AE53" i="4"/>
  <c r="BF33" i="4"/>
  <c r="BF43" i="4"/>
  <c r="AJ74" i="5"/>
  <c r="AL74" i="5" s="1"/>
  <c r="AO86" i="5"/>
  <c r="AW82" i="7" s="1"/>
  <c r="M48" i="5"/>
  <c r="AK44" i="7" s="1"/>
  <c r="Y86" i="5"/>
  <c r="AO82" i="7" s="1"/>
  <c r="K86" i="5"/>
  <c r="AI82" i="7" s="1"/>
  <c r="AM70" i="5"/>
  <c r="AU66" i="7" s="1"/>
  <c r="AM48" i="5"/>
  <c r="AU44" i="7" s="1"/>
  <c r="BB86" i="5"/>
  <c r="AZ87" i="5"/>
  <c r="AB86" i="5"/>
  <c r="AR82" i="7" s="1"/>
  <c r="AQ82" i="7"/>
  <c r="AJ48" i="5"/>
  <c r="AL48" i="5" s="1"/>
  <c r="BC43" i="5"/>
  <c r="AY39" i="7" s="1"/>
  <c r="BC48" i="5"/>
  <c r="AY44" i="7" s="1"/>
  <c r="BE43" i="5"/>
  <c r="BA39" i="7" s="1"/>
  <c r="BA31" i="5"/>
  <c r="BB31" i="5" s="1"/>
  <c r="BB43" i="5"/>
  <c r="BI31" i="5"/>
  <c r="BE39" i="7"/>
  <c r="BH86" i="5"/>
  <c r="BJ86" i="5" s="1"/>
  <c r="BF82" i="7" s="1"/>
  <c r="BC82" i="7"/>
  <c r="K48" i="5"/>
  <c r="AI44" i="7" s="1"/>
  <c r="W86" i="5"/>
  <c r="AM82" i="7" s="1"/>
  <c r="AM86" i="5"/>
  <c r="AU82" i="7" s="1"/>
  <c r="AX54" i="5"/>
  <c r="AH56" i="5"/>
  <c r="W70" i="5"/>
  <c r="AM66" i="7" s="1"/>
  <c r="F56" i="5"/>
  <c r="AK31" i="5"/>
  <c r="AK25" i="5" s="1"/>
  <c r="BC86" i="5"/>
  <c r="AY82" i="7" s="1"/>
  <c r="BD29" i="7"/>
  <c r="BC29" i="7"/>
  <c r="BJ56" i="5"/>
  <c r="BF52" i="7" s="1"/>
  <c r="K70" i="5"/>
  <c r="AI66" i="7" s="1"/>
  <c r="K74" i="5"/>
  <c r="AI70" i="7" s="1"/>
  <c r="W43" i="5"/>
  <c r="AM39" i="7" s="1"/>
  <c r="W55" i="5"/>
  <c r="AM51" i="7" s="1"/>
  <c r="AM33" i="5"/>
  <c r="AU29" i="7" s="1"/>
  <c r="AM43" i="5"/>
  <c r="AU39" i="7" s="1"/>
  <c r="AM55" i="5"/>
  <c r="AU51" i="7" s="1"/>
  <c r="AT54" i="5"/>
  <c r="I31" i="5"/>
  <c r="U31" i="5"/>
  <c r="R56" i="5"/>
  <c r="AR29" i="7"/>
  <c r="AQ29" i="7"/>
  <c r="BE86" i="5"/>
  <c r="BA82" i="7" s="1"/>
  <c r="BH43" i="5"/>
  <c r="BJ43" i="5" s="1"/>
  <c r="BF39" i="7" s="1"/>
  <c r="BC39" i="7"/>
  <c r="K33" i="5"/>
  <c r="AI29" i="7" s="1"/>
  <c r="K43" i="5"/>
  <c r="AI39" i="7" s="1"/>
  <c r="K55" i="5"/>
  <c r="AI51" i="7" s="1"/>
  <c r="W48" i="5"/>
  <c r="AM44" i="7" s="1"/>
  <c r="AT56" i="5"/>
  <c r="AI31" i="4"/>
  <c r="AJ31" i="4" s="1"/>
  <c r="AL31" i="4" s="1"/>
  <c r="S53" i="4"/>
  <c r="AM53" i="4"/>
  <c r="AN53" i="4" s="1"/>
  <c r="AP53" i="4" s="1"/>
  <c r="BF74" i="4"/>
  <c r="AA31" i="4"/>
  <c r="BO33" i="4"/>
  <c r="AE29" i="7" s="1"/>
  <c r="BI31" i="4"/>
  <c r="BI25" i="4" s="1"/>
  <c r="BI83" i="4" s="1"/>
  <c r="BI87" i="4" s="1"/>
  <c r="BF53" i="4"/>
  <c r="AX56" i="4"/>
  <c r="BN56" i="4"/>
  <c r="BO86" i="4"/>
  <c r="AE82" i="7" s="1"/>
  <c r="Y25" i="4"/>
  <c r="Y83" i="4" s="1"/>
  <c r="Y87" i="4" s="1"/>
  <c r="F56" i="4"/>
  <c r="J56" i="4"/>
  <c r="AQ31" i="4"/>
  <c r="AR31" i="4" s="1"/>
  <c r="AT31" i="4" s="1"/>
  <c r="BE74" i="5"/>
  <c r="BA70" i="7" s="1"/>
  <c r="BB74" i="5"/>
  <c r="AB55" i="5"/>
  <c r="AR51" i="7" s="1"/>
  <c r="AD56" i="5"/>
  <c r="AT52" i="7" s="1"/>
  <c r="AB70" i="5"/>
  <c r="AR66" i="7" s="1"/>
  <c r="AD71" i="5"/>
  <c r="AT67" i="7" s="1"/>
  <c r="BD76" i="7"/>
  <c r="BJ80" i="5"/>
  <c r="BF76" i="7" s="1"/>
  <c r="BD77" i="7"/>
  <c r="BJ81" i="5"/>
  <c r="BF77" i="7" s="1"/>
  <c r="BD74" i="7"/>
  <c r="BJ78" i="5"/>
  <c r="BF74" i="7" s="1"/>
  <c r="BD80" i="7"/>
  <c r="BJ84" i="5"/>
  <c r="BF80" i="7" s="1"/>
  <c r="BD84" i="7"/>
  <c r="BJ88" i="5"/>
  <c r="BF84" i="7" s="1"/>
  <c r="BD75" i="7"/>
  <c r="BJ79" i="5"/>
  <c r="BF75" i="7" s="1"/>
  <c r="BD81" i="7"/>
  <c r="BJ85" i="5"/>
  <c r="BF81" i="7" s="1"/>
  <c r="J74" i="4"/>
  <c r="BD12" i="7"/>
  <c r="BJ16" i="5"/>
  <c r="BF12" i="7" s="1"/>
  <c r="BD16" i="7"/>
  <c r="BJ20" i="5"/>
  <c r="BF16" i="7" s="1"/>
  <c r="BD22" i="7"/>
  <c r="BJ26" i="5"/>
  <c r="BF22" i="7" s="1"/>
  <c r="BD26" i="7"/>
  <c r="BJ30" i="5"/>
  <c r="BF26" i="7" s="1"/>
  <c r="BD43" i="7"/>
  <c r="BJ47" i="5"/>
  <c r="BF43" i="7" s="1"/>
  <c r="BD54" i="7"/>
  <c r="BJ58" i="5"/>
  <c r="BF54" i="7" s="1"/>
  <c r="BD58" i="7"/>
  <c r="BJ62" i="5"/>
  <c r="BF58" i="7" s="1"/>
  <c r="BD62" i="7"/>
  <c r="BJ66" i="5"/>
  <c r="BD69" i="7"/>
  <c r="BJ73" i="5"/>
  <c r="BF69" i="7" s="1"/>
  <c r="BD72" i="7"/>
  <c r="BJ76" i="5"/>
  <c r="BF72" i="7" s="1"/>
  <c r="AR23" i="7"/>
  <c r="AD27" i="5"/>
  <c r="AT23" i="7" s="1"/>
  <c r="BD9" i="7"/>
  <c r="BJ13" i="5"/>
  <c r="BF9" i="7" s="1"/>
  <c r="BD13" i="7"/>
  <c r="BJ17" i="5"/>
  <c r="BF13" i="7" s="1"/>
  <c r="BD17" i="7"/>
  <c r="BJ21" i="5"/>
  <c r="BF17" i="7" s="1"/>
  <c r="BD23" i="7"/>
  <c r="BJ27" i="5"/>
  <c r="BF23" i="7" s="1"/>
  <c r="BD28" i="7"/>
  <c r="BJ32" i="5"/>
  <c r="BF28" i="7" s="1"/>
  <c r="BD40" i="7"/>
  <c r="BJ44" i="5"/>
  <c r="BF40" i="7" s="1"/>
  <c r="BD55" i="7"/>
  <c r="BJ59" i="5"/>
  <c r="BF55" i="7" s="1"/>
  <c r="BD59" i="7"/>
  <c r="BJ63" i="5"/>
  <c r="BF59" i="7" s="1"/>
  <c r="BD63" i="7"/>
  <c r="BJ67" i="5"/>
  <c r="BD73" i="7"/>
  <c r="BJ77" i="5"/>
  <c r="BF73" i="7" s="1"/>
  <c r="BD14" i="7"/>
  <c r="BJ18" i="5"/>
  <c r="BF14" i="7" s="1"/>
  <c r="BD18" i="7"/>
  <c r="BJ22" i="5"/>
  <c r="BF18" i="7" s="1"/>
  <c r="BD24" i="7"/>
  <c r="BJ28" i="5"/>
  <c r="BF24" i="7" s="1"/>
  <c r="BD41" i="7"/>
  <c r="BJ45" i="5"/>
  <c r="BF41" i="7" s="1"/>
  <c r="BD56" i="7"/>
  <c r="BJ60" i="5"/>
  <c r="BD60" i="7"/>
  <c r="BJ64" i="5"/>
  <c r="BF60" i="7" s="1"/>
  <c r="BD64" i="7"/>
  <c r="BJ68" i="5"/>
  <c r="BF64" i="7" s="1"/>
  <c r="AB12" i="5"/>
  <c r="AR8" i="7" s="1"/>
  <c r="AD14" i="5"/>
  <c r="AT10" i="7" s="1"/>
  <c r="BD11" i="7"/>
  <c r="BJ15" i="5"/>
  <c r="BF11" i="7" s="1"/>
  <c r="BD15" i="7"/>
  <c r="BJ19" i="5"/>
  <c r="BF15" i="7" s="1"/>
  <c r="BD20" i="7"/>
  <c r="BJ24" i="5"/>
  <c r="BF20" i="7" s="1"/>
  <c r="BD25" i="7"/>
  <c r="BJ29" i="5"/>
  <c r="BF25" i="7" s="1"/>
  <c r="BD42" i="7"/>
  <c r="BJ46" i="5"/>
  <c r="BF42" i="7" s="1"/>
  <c r="BD53" i="7"/>
  <c r="BJ57" i="5"/>
  <c r="BF53" i="7" s="1"/>
  <c r="BD57" i="7"/>
  <c r="BJ61" i="5"/>
  <c r="BF57" i="7" s="1"/>
  <c r="BD61" i="7"/>
  <c r="BJ65" i="5"/>
  <c r="BF61" i="7" s="1"/>
  <c r="BD65" i="7"/>
  <c r="BJ69" i="5"/>
  <c r="BF65" i="7" s="1"/>
  <c r="BD68" i="7"/>
  <c r="BJ72" i="5"/>
  <c r="BF68" i="7" s="1"/>
  <c r="AI25" i="4"/>
  <c r="AI83" i="4" s="1"/>
  <c r="AJ83" i="4" s="1"/>
  <c r="W31" i="4"/>
  <c r="AM31" i="4"/>
  <c r="BC31" i="4"/>
  <c r="BF55" i="4"/>
  <c r="BN55" i="4"/>
  <c r="BF70" i="4"/>
  <c r="BN70" i="4"/>
  <c r="BN74" i="4"/>
  <c r="V86" i="4"/>
  <c r="AL86" i="4"/>
  <c r="BL86" i="4"/>
  <c r="BN86" i="4" s="1"/>
  <c r="BO55" i="4"/>
  <c r="AE51" i="7" s="1"/>
  <c r="BO43" i="4"/>
  <c r="AE39" i="7" s="1"/>
  <c r="AT86" i="4"/>
  <c r="BO48" i="4"/>
  <c r="AE44" i="7" s="1"/>
  <c r="BF12" i="4"/>
  <c r="BE31" i="4"/>
  <c r="AP86" i="4"/>
  <c r="BO70" i="4"/>
  <c r="AE66" i="7" s="1"/>
  <c r="BO74" i="4"/>
  <c r="AE70" i="7" s="1"/>
  <c r="D43" i="4"/>
  <c r="F44" i="4"/>
  <c r="BE66" i="7"/>
  <c r="BE70" i="5"/>
  <c r="BB70" i="5"/>
  <c r="BA53" i="5"/>
  <c r="BB53" i="5" s="1"/>
  <c r="BB55" i="5"/>
  <c r="BE48" i="5"/>
  <c r="BB48" i="5"/>
  <c r="BA23" i="5"/>
  <c r="BB23" i="5" s="1"/>
  <c r="BB12" i="5"/>
  <c r="AW74" i="7"/>
  <c r="AW71" i="7"/>
  <c r="AW72" i="7"/>
  <c r="AO74" i="5"/>
  <c r="AW66" i="7"/>
  <c r="AW67" i="7"/>
  <c r="AW68" i="7"/>
  <c r="AW69" i="7"/>
  <c r="AW53" i="7"/>
  <c r="AW54" i="7"/>
  <c r="AW58" i="7"/>
  <c r="AW62" i="7"/>
  <c r="AW55" i="7"/>
  <c r="AW56" i="7"/>
  <c r="AW60" i="7"/>
  <c r="AW47" i="7"/>
  <c r="AO48" i="5"/>
  <c r="AW48" i="7"/>
  <c r="AW46" i="7"/>
  <c r="AW42" i="7"/>
  <c r="AO43" i="5"/>
  <c r="AH43" i="5"/>
  <c r="AW43" i="7"/>
  <c r="AW29" i="7"/>
  <c r="AW31" i="7"/>
  <c r="AW35" i="7"/>
  <c r="AW32" i="7"/>
  <c r="AW37" i="7"/>
  <c r="AW33" i="7"/>
  <c r="AW30" i="7"/>
  <c r="AW34" i="7"/>
  <c r="AW18" i="7"/>
  <c r="AW17" i="7"/>
  <c r="AW16" i="7"/>
  <c r="AW14" i="7"/>
  <c r="AW11" i="7"/>
  <c r="AW12" i="7"/>
  <c r="AG23" i="5"/>
  <c r="AW13" i="7"/>
  <c r="AS70" i="7"/>
  <c r="AS66" i="7"/>
  <c r="AS51" i="7"/>
  <c r="AS44" i="7"/>
  <c r="AS39" i="7"/>
  <c r="AD43" i="5"/>
  <c r="U23" i="5"/>
  <c r="Y74" i="5"/>
  <c r="AO71" i="7"/>
  <c r="AO72" i="7"/>
  <c r="AO73" i="7"/>
  <c r="AO67" i="7"/>
  <c r="Y70" i="5"/>
  <c r="AO68" i="7"/>
  <c r="AO69" i="7"/>
  <c r="AO58" i="7"/>
  <c r="AO62" i="7"/>
  <c r="AO53" i="7"/>
  <c r="AO57" i="7"/>
  <c r="AO61" i="7"/>
  <c r="AO65" i="7"/>
  <c r="AO54" i="7"/>
  <c r="Y55" i="5"/>
  <c r="AO55" i="7"/>
  <c r="AO59" i="7"/>
  <c r="AO63" i="7"/>
  <c r="AO52" i="7"/>
  <c r="AO56" i="7"/>
  <c r="AO60" i="7"/>
  <c r="AO64" i="7"/>
  <c r="AO50" i="7"/>
  <c r="AO47" i="7"/>
  <c r="Y48" i="5"/>
  <c r="AO48" i="7"/>
  <c r="AO45" i="7"/>
  <c r="AO46" i="7"/>
  <c r="AO42" i="7"/>
  <c r="AO43" i="7"/>
  <c r="Y43" i="5"/>
  <c r="AO31" i="7"/>
  <c r="AO35" i="7"/>
  <c r="AO32" i="7"/>
  <c r="AO37" i="7"/>
  <c r="AO33" i="7"/>
  <c r="AO30" i="7"/>
  <c r="AO34" i="7"/>
  <c r="AO18" i="7"/>
  <c r="AO17" i="7"/>
  <c r="AO16" i="7"/>
  <c r="AO14" i="7"/>
  <c r="AO11" i="7"/>
  <c r="Q23" i="5"/>
  <c r="AO12" i="7"/>
  <c r="AO13" i="7"/>
  <c r="M86" i="5"/>
  <c r="J86" i="5"/>
  <c r="AK81" i="7"/>
  <c r="M74" i="5"/>
  <c r="AK71" i="7"/>
  <c r="AK72" i="7"/>
  <c r="AK68" i="7"/>
  <c r="AK69" i="7"/>
  <c r="M70" i="5"/>
  <c r="AK67" i="7"/>
  <c r="AK55" i="7"/>
  <c r="AK59" i="7"/>
  <c r="AK63" i="7"/>
  <c r="AK52" i="7"/>
  <c r="AK56" i="7"/>
  <c r="AK60" i="7"/>
  <c r="AK64" i="7"/>
  <c r="AK53" i="7"/>
  <c r="AK57" i="7"/>
  <c r="AK61" i="7"/>
  <c r="AK65" i="7"/>
  <c r="M55" i="5"/>
  <c r="AK54" i="7"/>
  <c r="AK58" i="7"/>
  <c r="AK62" i="7"/>
  <c r="AK50" i="7"/>
  <c r="M43" i="5"/>
  <c r="F43" i="5"/>
  <c r="AK41" i="7"/>
  <c r="AK42" i="7"/>
  <c r="AK43" i="7"/>
  <c r="AK40" i="7"/>
  <c r="AK30" i="7"/>
  <c r="AK34" i="7"/>
  <c r="AK29" i="7"/>
  <c r="AK31" i="7"/>
  <c r="AK35" i="7"/>
  <c r="AK32" i="7"/>
  <c r="AK37" i="7"/>
  <c r="AK33" i="7"/>
  <c r="AK18" i="7"/>
  <c r="AK17" i="7"/>
  <c r="AK14" i="7"/>
  <c r="AK16" i="7"/>
  <c r="AK11" i="7"/>
  <c r="E23" i="5"/>
  <c r="AK12" i="7"/>
  <c r="AK13" i="7"/>
  <c r="BM23" i="4"/>
  <c r="BN12" i="4"/>
  <c r="BI23" i="4"/>
  <c r="BA23" i="4"/>
  <c r="AW53" i="4"/>
  <c r="AX43" i="4"/>
  <c r="AW31" i="4"/>
  <c r="AW23" i="4"/>
  <c r="AC83" i="4"/>
  <c r="AG75" i="7"/>
  <c r="AG81" i="7"/>
  <c r="AG74" i="7"/>
  <c r="AG26" i="7"/>
  <c r="AG24" i="7"/>
  <c r="U83" i="4"/>
  <c r="AG23" i="7"/>
  <c r="AG18" i="7"/>
  <c r="Q23" i="4"/>
  <c r="M23" i="4"/>
  <c r="I53" i="4"/>
  <c r="J48" i="4"/>
  <c r="I23" i="4"/>
  <c r="AG72" i="7"/>
  <c r="AG71" i="7"/>
  <c r="AG67" i="7"/>
  <c r="AG68" i="7"/>
  <c r="AG69" i="7"/>
  <c r="AG54" i="7"/>
  <c r="AG58" i="7"/>
  <c r="AG62" i="7"/>
  <c r="AG55" i="7"/>
  <c r="AG59" i="7"/>
  <c r="AG63" i="7"/>
  <c r="E53" i="4"/>
  <c r="AG52" i="7"/>
  <c r="AG56" i="7"/>
  <c r="AG60" i="7"/>
  <c r="AG64" i="7"/>
  <c r="AG53" i="7"/>
  <c r="AG57" i="7"/>
  <c r="AG61" i="7"/>
  <c r="AG65" i="7"/>
  <c r="AG50" i="7"/>
  <c r="AG48" i="7"/>
  <c r="AG45" i="7"/>
  <c r="AG46" i="7"/>
  <c r="AG47" i="7"/>
  <c r="AG43" i="7"/>
  <c r="AG40" i="7"/>
  <c r="F43" i="4"/>
  <c r="AG41" i="7"/>
  <c r="AG42" i="7"/>
  <c r="AG32" i="7"/>
  <c r="AG37" i="7"/>
  <c r="AG33" i="7"/>
  <c r="AG30" i="7"/>
  <c r="AG34" i="7"/>
  <c r="AG31" i="7"/>
  <c r="AG35" i="7"/>
  <c r="AG17" i="7"/>
  <c r="AG16" i="7"/>
  <c r="AG14" i="7"/>
  <c r="AG12" i="7"/>
  <c r="AG13" i="7"/>
  <c r="AG11" i="7"/>
  <c r="AG10" i="7"/>
  <c r="E23" i="4"/>
  <c r="I25" i="7"/>
  <c r="I40" i="7"/>
  <c r="I41" i="7"/>
  <c r="I42" i="7"/>
  <c r="I43" i="7"/>
  <c r="I45" i="7"/>
  <c r="I46" i="7"/>
  <c r="I47" i="7"/>
  <c r="I48" i="7"/>
  <c r="I75" i="7"/>
  <c r="I74" i="7"/>
  <c r="I81" i="7"/>
  <c r="I16" i="7"/>
  <c r="I73" i="7"/>
  <c r="I68" i="7"/>
  <c r="I69" i="7"/>
  <c r="I67" i="7"/>
  <c r="I55" i="7"/>
  <c r="I59" i="7"/>
  <c r="I63" i="7"/>
  <c r="I52" i="7"/>
  <c r="I56" i="7"/>
  <c r="I60" i="7"/>
  <c r="I64" i="7"/>
  <c r="I53" i="7"/>
  <c r="I57" i="7"/>
  <c r="I61" i="7"/>
  <c r="I65" i="7"/>
  <c r="I54" i="7"/>
  <c r="I58" i="7"/>
  <c r="I62" i="7"/>
  <c r="I12" i="7"/>
  <c r="I10" i="7"/>
  <c r="I50" i="7"/>
  <c r="I37" i="7"/>
  <c r="I33" i="7"/>
  <c r="I30" i="7"/>
  <c r="I34" i="7"/>
  <c r="I31" i="7"/>
  <c r="I35" i="7"/>
  <c r="I32" i="7"/>
  <c r="I18" i="7"/>
  <c r="I17" i="7"/>
  <c r="I14" i="7"/>
  <c r="I13" i="7"/>
  <c r="I11" i="7"/>
  <c r="BQ43" i="4"/>
  <c r="AB74" i="5"/>
  <c r="AR70" i="7" s="1"/>
  <c r="BL23" i="4"/>
  <c r="BQ74" i="4"/>
  <c r="BC74" i="5"/>
  <c r="AY70" i="7" s="1"/>
  <c r="BC70" i="5"/>
  <c r="AY66" i="7" s="1"/>
  <c r="BC55" i="5"/>
  <c r="AY51" i="7" s="1"/>
  <c r="BC12" i="5"/>
  <c r="AY8" i="7" s="1"/>
  <c r="AR74" i="5"/>
  <c r="AT74" i="5" s="1"/>
  <c r="AR70" i="5"/>
  <c r="AT70" i="5" s="1"/>
  <c r="AR55" i="5"/>
  <c r="AT55" i="5" s="1"/>
  <c r="AR48" i="5"/>
  <c r="AT48" i="5" s="1"/>
  <c r="AR43" i="5"/>
  <c r="AT43" i="5" s="1"/>
  <c r="AR33" i="5"/>
  <c r="AT33" i="5" s="1"/>
  <c r="AR12" i="5"/>
  <c r="P55" i="5"/>
  <c r="X55" i="5" s="1"/>
  <c r="AN51" i="7" s="1"/>
  <c r="D74" i="5"/>
  <c r="L74" i="5" s="1"/>
  <c r="T12" i="5"/>
  <c r="T23" i="5" s="1"/>
  <c r="X86" i="5"/>
  <c r="BD71" i="7"/>
  <c r="BH74" i="5"/>
  <c r="X27" i="5"/>
  <c r="T31" i="5"/>
  <c r="AF74" i="5"/>
  <c r="AH74" i="5" s="1"/>
  <c r="P70" i="5"/>
  <c r="R70" i="5" s="1"/>
  <c r="D12" i="5"/>
  <c r="D23" i="5" s="1"/>
  <c r="D55" i="5"/>
  <c r="L55" i="5" s="1"/>
  <c r="D70" i="5"/>
  <c r="F70" i="5" s="1"/>
  <c r="P12" i="5"/>
  <c r="R12" i="5" s="1"/>
  <c r="T53" i="5"/>
  <c r="V53" i="5" s="1"/>
  <c r="P74" i="5"/>
  <c r="R74" i="5" s="1"/>
  <c r="AF12" i="5"/>
  <c r="AF23" i="5" s="1"/>
  <c r="AN23" i="5" s="1"/>
  <c r="AF55" i="5"/>
  <c r="AH55" i="5" s="1"/>
  <c r="AF70" i="5"/>
  <c r="BD10" i="7"/>
  <c r="BH12" i="5"/>
  <c r="BJ12" i="5" s="1"/>
  <c r="BD37" i="7"/>
  <c r="BD52" i="7"/>
  <c r="BH55" i="5"/>
  <c r="BD67" i="7"/>
  <c r="BH70" i="5"/>
  <c r="BD66" i="7" s="1"/>
  <c r="L12" i="4"/>
  <c r="L23" i="4" s="1"/>
  <c r="L53" i="4"/>
  <c r="N53" i="4" s="1"/>
  <c r="H12" i="4"/>
  <c r="H23" i="4" s="1"/>
  <c r="L31" i="4"/>
  <c r="N31" i="4" s="1"/>
  <c r="BH31" i="4"/>
  <c r="BH53" i="4"/>
  <c r="BJ53" i="4" s="1"/>
  <c r="D55" i="4"/>
  <c r="F55" i="4" s="1"/>
  <c r="D74" i="4"/>
  <c r="F74" i="4" s="1"/>
  <c r="P31" i="4"/>
  <c r="R31" i="4" s="1"/>
  <c r="BL31" i="4"/>
  <c r="BN31" i="4" s="1"/>
  <c r="H55" i="4"/>
  <c r="J55" i="4" s="1"/>
  <c r="AV70" i="4"/>
  <c r="AX70" i="4" s="1"/>
  <c r="P12" i="4"/>
  <c r="P23" i="4" s="1"/>
  <c r="AV31" i="4"/>
  <c r="BL53" i="4"/>
  <c r="BN53" i="4" s="1"/>
  <c r="D70" i="4"/>
  <c r="F70" i="4" s="1"/>
  <c r="AZ53" i="4"/>
  <c r="BB53" i="4" s="1"/>
  <c r="BH12" i="4"/>
  <c r="BH23" i="4" s="1"/>
  <c r="AV12" i="4"/>
  <c r="AV23" i="4" s="1"/>
  <c r="D12" i="4"/>
  <c r="D23" i="4" s="1"/>
  <c r="AZ12" i="4"/>
  <c r="AZ23" i="4" s="1"/>
  <c r="H31" i="4"/>
  <c r="P53" i="4"/>
  <c r="R53" i="4" s="1"/>
  <c r="AV55" i="4"/>
  <c r="AX55" i="4" s="1"/>
  <c r="H70" i="4"/>
  <c r="J70" i="4" s="1"/>
  <c r="AV74" i="4"/>
  <c r="AX74" i="4" s="1"/>
  <c r="AR89" i="6"/>
  <c r="AT89" i="6" s="1"/>
  <c r="BQ48" i="4"/>
  <c r="AT9" i="7"/>
  <c r="AR9" i="7"/>
  <c r="AT11" i="7"/>
  <c r="AR11" i="7"/>
  <c r="AT13" i="7"/>
  <c r="AR13" i="7"/>
  <c r="AT15" i="7"/>
  <c r="AR15" i="7"/>
  <c r="AT17" i="7"/>
  <c r="AR17" i="7"/>
  <c r="AT20" i="7"/>
  <c r="AR20" i="7"/>
  <c r="AT25" i="7"/>
  <c r="AR25" i="7"/>
  <c r="AT35" i="7"/>
  <c r="AR35" i="7"/>
  <c r="AT50" i="7"/>
  <c r="AR50" i="7"/>
  <c r="AT53" i="7"/>
  <c r="AR53" i="7"/>
  <c r="AT55" i="7"/>
  <c r="AR55" i="7"/>
  <c r="AT57" i="7"/>
  <c r="AR57" i="7"/>
  <c r="AT59" i="7"/>
  <c r="AR59" i="7"/>
  <c r="AT61" i="7"/>
  <c r="AR61" i="7"/>
  <c r="AT63" i="7"/>
  <c r="AR63" i="7"/>
  <c r="AT65" i="7"/>
  <c r="AR65" i="7"/>
  <c r="AT68" i="7"/>
  <c r="AR68" i="7"/>
  <c r="AT33" i="7"/>
  <c r="AR33" i="7"/>
  <c r="D48" i="5"/>
  <c r="L33" i="5"/>
  <c r="AJ29" i="7" s="1"/>
  <c r="AF48" i="5"/>
  <c r="AF31" i="5" s="1"/>
  <c r="AT71" i="7"/>
  <c r="AR71" i="7"/>
  <c r="AT73" i="7"/>
  <c r="AR73" i="7"/>
  <c r="AT75" i="7"/>
  <c r="AR75" i="7"/>
  <c r="AT77" i="7"/>
  <c r="AR77" i="7"/>
  <c r="AT81" i="7"/>
  <c r="AR81" i="7"/>
  <c r="BH48" i="5"/>
  <c r="BD45" i="7"/>
  <c r="AT31" i="7"/>
  <c r="AR31" i="7"/>
  <c r="L43" i="5"/>
  <c r="AJ39" i="7" s="1"/>
  <c r="P43" i="5"/>
  <c r="X43" i="5" s="1"/>
  <c r="P48" i="5"/>
  <c r="R48" i="5" s="1"/>
  <c r="AR10" i="7"/>
  <c r="AT12" i="7"/>
  <c r="AR12" i="7"/>
  <c r="AT14" i="7"/>
  <c r="AR14" i="7"/>
  <c r="AT16" i="7"/>
  <c r="AR16" i="7"/>
  <c r="AT18" i="7"/>
  <c r="AR18" i="7"/>
  <c r="AT22" i="7"/>
  <c r="AR22" i="7"/>
  <c r="AT24" i="7"/>
  <c r="AR24" i="7"/>
  <c r="AT26" i="7"/>
  <c r="AR26" i="7"/>
  <c r="AT30" i="7"/>
  <c r="AR30" i="7"/>
  <c r="AT32" i="7"/>
  <c r="AR32" i="7"/>
  <c r="AT34" i="7"/>
  <c r="AR34" i="7"/>
  <c r="AT37" i="7"/>
  <c r="AR37" i="7"/>
  <c r="AT46" i="7"/>
  <c r="AB48" i="5"/>
  <c r="AD48" i="5" s="1"/>
  <c r="AT44" i="7" s="1"/>
  <c r="AR46" i="7"/>
  <c r="AR52" i="7"/>
  <c r="AT54" i="7"/>
  <c r="AR54" i="7"/>
  <c r="AT56" i="7"/>
  <c r="AR56" i="7"/>
  <c r="AT58" i="7"/>
  <c r="AR58" i="7"/>
  <c r="AT60" i="7"/>
  <c r="AR60" i="7"/>
  <c r="AT62" i="7"/>
  <c r="AR62" i="7"/>
  <c r="AT64" i="7"/>
  <c r="AR64" i="7"/>
  <c r="AR67" i="7"/>
  <c r="AT69" i="7"/>
  <c r="AR69" i="7"/>
  <c r="AT28" i="7"/>
  <c r="AR28" i="7"/>
  <c r="L27" i="5"/>
  <c r="L86" i="5"/>
  <c r="AJ82" i="7" s="1"/>
  <c r="AT72" i="7"/>
  <c r="AR72" i="7"/>
  <c r="AT74" i="7"/>
  <c r="AR74" i="7"/>
  <c r="AT76" i="7"/>
  <c r="AR76" i="7"/>
  <c r="AT80" i="7"/>
  <c r="AR80" i="7"/>
  <c r="AT84" i="7"/>
  <c r="AR84" i="7"/>
  <c r="BP77" i="4"/>
  <c r="BP19" i="4"/>
  <c r="BP78" i="4"/>
  <c r="AF74" i="7" s="1"/>
  <c r="BP39" i="4"/>
  <c r="AF35" i="7" s="1"/>
  <c r="D48" i="4"/>
  <c r="BP57" i="4"/>
  <c r="AF53" i="7" s="1"/>
  <c r="BP73" i="4"/>
  <c r="AF69" i="7" s="1"/>
  <c r="BP27" i="4"/>
  <c r="AF23" i="7" s="1"/>
  <c r="I71" i="7"/>
  <c r="I72" i="7"/>
  <c r="BE55" i="5"/>
  <c r="BE33" i="5"/>
  <c r="BN85" i="7"/>
  <c r="BL85" i="7"/>
  <c r="BI53" i="5"/>
  <c r="BE51" i="7"/>
  <c r="BI23" i="5"/>
  <c r="BE8" i="7"/>
  <c r="AS23" i="5"/>
  <c r="BE12" i="5"/>
  <c r="AG53" i="5"/>
  <c r="AO55" i="5"/>
  <c r="AO12" i="5"/>
  <c r="AC23" i="5"/>
  <c r="AS8" i="7"/>
  <c r="Y33" i="5"/>
  <c r="BQ70" i="4"/>
  <c r="BQ55" i="4"/>
  <c r="BQ86" i="4"/>
  <c r="BJ85" i="7"/>
  <c r="BH85" i="7"/>
  <c r="X56" i="5"/>
  <c r="AN52" i="7" s="1"/>
  <c r="X58" i="5"/>
  <c r="AN54" i="7" s="1"/>
  <c r="X60" i="5"/>
  <c r="AN56" i="7" s="1"/>
  <c r="X62" i="5"/>
  <c r="AN58" i="7" s="1"/>
  <c r="X64" i="5"/>
  <c r="AN60" i="7" s="1"/>
  <c r="X66" i="5"/>
  <c r="AN62" i="7" s="1"/>
  <c r="X68" i="5"/>
  <c r="AN64" i="7" s="1"/>
  <c r="X71" i="5"/>
  <c r="AN67" i="7" s="1"/>
  <c r="X73" i="5"/>
  <c r="AN69" i="7" s="1"/>
  <c r="X76" i="5"/>
  <c r="AN72" i="7" s="1"/>
  <c r="X78" i="5"/>
  <c r="X80" i="5"/>
  <c r="AN16" i="5"/>
  <c r="AP16" i="5" s="1"/>
  <c r="AN20" i="5"/>
  <c r="AP20" i="5" s="1"/>
  <c r="AN26" i="5"/>
  <c r="AP26" i="5" s="1"/>
  <c r="AN30" i="5"/>
  <c r="AP30" i="5" s="1"/>
  <c r="AN34" i="5"/>
  <c r="AP34" i="5" s="1"/>
  <c r="AN38" i="5"/>
  <c r="AP38" i="5" s="1"/>
  <c r="AN47" i="5"/>
  <c r="AP47" i="5" s="1"/>
  <c r="AN49" i="5"/>
  <c r="AP49" i="5" s="1"/>
  <c r="AN54" i="5"/>
  <c r="AP54" i="5" s="1"/>
  <c r="AN57" i="5"/>
  <c r="AP57" i="5" s="1"/>
  <c r="AN61" i="5"/>
  <c r="AP61" i="5" s="1"/>
  <c r="AN64" i="5"/>
  <c r="AP64" i="5" s="1"/>
  <c r="AN68" i="5"/>
  <c r="AP68" i="5" s="1"/>
  <c r="AN71" i="5"/>
  <c r="AP71" i="5" s="1"/>
  <c r="AN77" i="5"/>
  <c r="AP77" i="5" s="1"/>
  <c r="AN81" i="5"/>
  <c r="AP81" i="5" s="1"/>
  <c r="AN86" i="5"/>
  <c r="AP86" i="5" s="1"/>
  <c r="BF10" i="7"/>
  <c r="BF32" i="7"/>
  <c r="BF37" i="7"/>
  <c r="BF48" i="7"/>
  <c r="BF56" i="7"/>
  <c r="BF67" i="7"/>
  <c r="L14" i="5"/>
  <c r="L18" i="5"/>
  <c r="AJ14" i="7" s="1"/>
  <c r="L22" i="5"/>
  <c r="AJ18" i="7" s="1"/>
  <c r="L26" i="5"/>
  <c r="L30" i="5"/>
  <c r="L34" i="5"/>
  <c r="AJ30" i="7" s="1"/>
  <c r="L38" i="5"/>
  <c r="AJ34" i="7" s="1"/>
  <c r="L44" i="5"/>
  <c r="AJ40" i="7" s="1"/>
  <c r="L52" i="5"/>
  <c r="L56" i="5"/>
  <c r="AJ52" i="7" s="1"/>
  <c r="L60" i="5"/>
  <c r="AJ56" i="7" s="1"/>
  <c r="L64" i="5"/>
  <c r="AJ60" i="7" s="1"/>
  <c r="L68" i="5"/>
  <c r="AJ64" i="7" s="1"/>
  <c r="L72" i="5"/>
  <c r="AJ68" i="7" s="1"/>
  <c r="L76" i="5"/>
  <c r="AJ72" i="7" s="1"/>
  <c r="L80" i="5"/>
  <c r="X13" i="5"/>
  <c r="X15" i="5"/>
  <c r="AN11" i="7" s="1"/>
  <c r="X17" i="5"/>
  <c r="AN13" i="7" s="1"/>
  <c r="X19" i="5"/>
  <c r="X21" i="5"/>
  <c r="AN17" i="7" s="1"/>
  <c r="X24" i="5"/>
  <c r="Z24" i="5" s="1"/>
  <c r="X29" i="5"/>
  <c r="X32" i="5"/>
  <c r="Z32" i="5" s="1"/>
  <c r="X35" i="5"/>
  <c r="AN31" i="7" s="1"/>
  <c r="X37" i="5"/>
  <c r="AN33" i="7" s="1"/>
  <c r="X39" i="5"/>
  <c r="AN35" i="7" s="1"/>
  <c r="X44" i="5"/>
  <c r="X46" i="5"/>
  <c r="Z46" i="5" s="1"/>
  <c r="X49" i="5"/>
  <c r="AN45" i="7" s="1"/>
  <c r="X51" i="5"/>
  <c r="AN47" i="7" s="1"/>
  <c r="X84" i="5"/>
  <c r="X88" i="5"/>
  <c r="AN13" i="5"/>
  <c r="AP13" i="5" s="1"/>
  <c r="AN17" i="5"/>
  <c r="AP17" i="5" s="1"/>
  <c r="AN21" i="5"/>
  <c r="AP21" i="5" s="1"/>
  <c r="AN27" i="5"/>
  <c r="AP27" i="5" s="1"/>
  <c r="AN32" i="5"/>
  <c r="AP32" i="5" s="1"/>
  <c r="AN35" i="5"/>
  <c r="AP35" i="5" s="1"/>
  <c r="AN39" i="5"/>
  <c r="AP39" i="5" s="1"/>
  <c r="AN44" i="5"/>
  <c r="AP44" i="5" s="1"/>
  <c r="AN50" i="5"/>
  <c r="AP50" i="5" s="1"/>
  <c r="AN58" i="5"/>
  <c r="AP58" i="5" s="1"/>
  <c r="AN65" i="5"/>
  <c r="AP65" i="5" s="1"/>
  <c r="AN69" i="5"/>
  <c r="AP69" i="5" s="1"/>
  <c r="AN72" i="5"/>
  <c r="AP72" i="5" s="1"/>
  <c r="AN78" i="5"/>
  <c r="AP78" i="5" s="1"/>
  <c r="AN84" i="5"/>
  <c r="AP84" i="5" s="1"/>
  <c r="BF33" i="7"/>
  <c r="BF45" i="7"/>
  <c r="BF50" i="7"/>
  <c r="BF71" i="7"/>
  <c r="L15" i="5"/>
  <c r="AJ11" i="7" s="1"/>
  <c r="L19" i="5"/>
  <c r="L35" i="5"/>
  <c r="AJ31" i="7" s="1"/>
  <c r="L39" i="5"/>
  <c r="AJ35" i="7" s="1"/>
  <c r="L45" i="5"/>
  <c r="AJ41" i="7" s="1"/>
  <c r="L49" i="5"/>
  <c r="L57" i="5"/>
  <c r="AJ53" i="7" s="1"/>
  <c r="L61" i="5"/>
  <c r="AJ57" i="7" s="1"/>
  <c r="L65" i="5"/>
  <c r="AJ61" i="7" s="1"/>
  <c r="L69" i="5"/>
  <c r="AJ65" i="7" s="1"/>
  <c r="L73" i="5"/>
  <c r="AJ69" i="7" s="1"/>
  <c r="L77" i="5"/>
  <c r="L81" i="5"/>
  <c r="X54" i="5"/>
  <c r="Z54" i="5" s="1"/>
  <c r="X57" i="5"/>
  <c r="AN53" i="7" s="1"/>
  <c r="X59" i="5"/>
  <c r="Z59" i="5" s="1"/>
  <c r="X61" i="5"/>
  <c r="AN57" i="7" s="1"/>
  <c r="X63" i="5"/>
  <c r="Z63" i="5" s="1"/>
  <c r="X65" i="5"/>
  <c r="AN61" i="7" s="1"/>
  <c r="X67" i="5"/>
  <c r="AN63" i="7" s="1"/>
  <c r="X69" i="5"/>
  <c r="AN65" i="7" s="1"/>
  <c r="X72" i="5"/>
  <c r="AN68" i="7" s="1"/>
  <c r="X75" i="5"/>
  <c r="AN71" i="7" s="1"/>
  <c r="X77" i="5"/>
  <c r="AN73" i="7" s="1"/>
  <c r="X79" i="5"/>
  <c r="AN14" i="5"/>
  <c r="AP14" i="5" s="1"/>
  <c r="AN18" i="5"/>
  <c r="AP18" i="5" s="1"/>
  <c r="AN22" i="5"/>
  <c r="AP22" i="5" s="1"/>
  <c r="AN28" i="5"/>
  <c r="AP28" i="5" s="1"/>
  <c r="AN33" i="5"/>
  <c r="AP33" i="5" s="1"/>
  <c r="AN36" i="5"/>
  <c r="AP36" i="5" s="1"/>
  <c r="AN41" i="5"/>
  <c r="AP41" i="5" s="1"/>
  <c r="AN45" i="5"/>
  <c r="AP45" i="5" s="1"/>
  <c r="AN51" i="5"/>
  <c r="AP51" i="5" s="1"/>
  <c r="AN59" i="5"/>
  <c r="AP59" i="5" s="1"/>
  <c r="AN62" i="5"/>
  <c r="AP62" i="5" s="1"/>
  <c r="AN66" i="5"/>
  <c r="AP66" i="5" s="1"/>
  <c r="AN73" i="5"/>
  <c r="AP73" i="5" s="1"/>
  <c r="AN75" i="5"/>
  <c r="AP75" i="5" s="1"/>
  <c r="AN79" i="5"/>
  <c r="AP79" i="5" s="1"/>
  <c r="AN85" i="5"/>
  <c r="AP85" i="5" s="1"/>
  <c r="AN88" i="5"/>
  <c r="AP88" i="5" s="1"/>
  <c r="BF30" i="7"/>
  <c r="BF34" i="7"/>
  <c r="BF46" i="7"/>
  <c r="BF62" i="7"/>
  <c r="L16" i="5"/>
  <c r="N16" i="5" s="1"/>
  <c r="L20" i="5"/>
  <c r="N20" i="5" s="1"/>
  <c r="L24" i="5"/>
  <c r="N24" i="5" s="1"/>
  <c r="L28" i="5"/>
  <c r="N28" i="5" s="1"/>
  <c r="L32" i="5"/>
  <c r="N32" i="5" s="1"/>
  <c r="L36" i="5"/>
  <c r="N36" i="5" s="1"/>
  <c r="L41" i="5"/>
  <c r="N41" i="5" s="1"/>
  <c r="L46" i="5"/>
  <c r="N46" i="5" s="1"/>
  <c r="L50" i="5"/>
  <c r="N50" i="5" s="1"/>
  <c r="L54" i="5"/>
  <c r="N54" i="5" s="1"/>
  <c r="L58" i="5"/>
  <c r="N58" i="5" s="1"/>
  <c r="L62" i="5"/>
  <c r="N62" i="5" s="1"/>
  <c r="L66" i="5"/>
  <c r="N66" i="5" s="1"/>
  <c r="L78" i="5"/>
  <c r="N78" i="5" s="1"/>
  <c r="L84" i="5"/>
  <c r="N84" i="5" s="1"/>
  <c r="L88" i="5"/>
  <c r="N88" i="5" s="1"/>
  <c r="X14" i="5"/>
  <c r="Z14" i="5" s="1"/>
  <c r="X16" i="5"/>
  <c r="Z16" i="5" s="1"/>
  <c r="X18" i="5"/>
  <c r="Z18" i="5" s="1"/>
  <c r="X20" i="5"/>
  <c r="Z20" i="5" s="1"/>
  <c r="X22" i="5"/>
  <c r="Z22" i="5" s="1"/>
  <c r="X26" i="5"/>
  <c r="Z26" i="5" s="1"/>
  <c r="X28" i="5"/>
  <c r="Z28" i="5" s="1"/>
  <c r="X30" i="5"/>
  <c r="Z30" i="5" s="1"/>
  <c r="X34" i="5"/>
  <c r="Z34" i="5" s="1"/>
  <c r="X36" i="5"/>
  <c r="Z36" i="5" s="1"/>
  <c r="X38" i="5"/>
  <c r="Z38" i="5" s="1"/>
  <c r="X41" i="5"/>
  <c r="Z41" i="5" s="1"/>
  <c r="X45" i="5"/>
  <c r="X47" i="5"/>
  <c r="Z47" i="5" s="1"/>
  <c r="X50" i="5"/>
  <c r="Z50" i="5" s="1"/>
  <c r="X52" i="5"/>
  <c r="Z52" i="5" s="1"/>
  <c r="X81" i="5"/>
  <c r="X85" i="5"/>
  <c r="Z85" i="5" s="1"/>
  <c r="AN15" i="5"/>
  <c r="AP15" i="5" s="1"/>
  <c r="AN19" i="5"/>
  <c r="AP19" i="5" s="1"/>
  <c r="AN24" i="5"/>
  <c r="AP24" i="5" s="1"/>
  <c r="AN29" i="5"/>
  <c r="AP29" i="5" s="1"/>
  <c r="AN37" i="5"/>
  <c r="AP37" i="5" s="1"/>
  <c r="AN43" i="5"/>
  <c r="AN46" i="5"/>
  <c r="AP46" i="5" s="1"/>
  <c r="AN52" i="5"/>
  <c r="AP52" i="5" s="1"/>
  <c r="AN56" i="5"/>
  <c r="AP56" i="5" s="1"/>
  <c r="AN60" i="5"/>
  <c r="AP60" i="5" s="1"/>
  <c r="AN63" i="5"/>
  <c r="AP63" i="5" s="1"/>
  <c r="AN67" i="5"/>
  <c r="AP67" i="5" s="1"/>
  <c r="AN76" i="5"/>
  <c r="AP76" i="5" s="1"/>
  <c r="AN80" i="5"/>
  <c r="AP80" i="5" s="1"/>
  <c r="BF31" i="7"/>
  <c r="BF35" i="7"/>
  <c r="BF47" i="7"/>
  <c r="BF63" i="7"/>
  <c r="L13" i="5"/>
  <c r="N13" i="5" s="1"/>
  <c r="L17" i="5"/>
  <c r="N17" i="5" s="1"/>
  <c r="L21" i="5"/>
  <c r="N21" i="5" s="1"/>
  <c r="L29" i="5"/>
  <c r="N29" i="5" s="1"/>
  <c r="L37" i="5"/>
  <c r="N37" i="5" s="1"/>
  <c r="L47" i="5"/>
  <c r="N47" i="5" s="1"/>
  <c r="L51" i="5"/>
  <c r="N51" i="5" s="1"/>
  <c r="L59" i="5"/>
  <c r="N59" i="5" s="1"/>
  <c r="L63" i="5"/>
  <c r="N63" i="5" s="1"/>
  <c r="L67" i="5"/>
  <c r="N67" i="5" s="1"/>
  <c r="L71" i="5"/>
  <c r="N71" i="5" s="1"/>
  <c r="L75" i="5"/>
  <c r="N75" i="5" s="1"/>
  <c r="L79" i="5"/>
  <c r="N79" i="5" s="1"/>
  <c r="L85" i="5"/>
  <c r="N85" i="5" s="1"/>
  <c r="BK13" i="5"/>
  <c r="BK17" i="5"/>
  <c r="BK21" i="5"/>
  <c r="BK29" i="5"/>
  <c r="BK33" i="5"/>
  <c r="BK37" i="5"/>
  <c r="BK14" i="5"/>
  <c r="BK18" i="5"/>
  <c r="BK22" i="5"/>
  <c r="BK26" i="5"/>
  <c r="BK30" i="5"/>
  <c r="BK34" i="5"/>
  <c r="BK38" i="5"/>
  <c r="BK44" i="5"/>
  <c r="BK15" i="5"/>
  <c r="BK19" i="5"/>
  <c r="BK27" i="5"/>
  <c r="BK35" i="5"/>
  <c r="BK39" i="5"/>
  <c r="BK45" i="5"/>
  <c r="BK49" i="5"/>
  <c r="BK16" i="5"/>
  <c r="BK20" i="5"/>
  <c r="BK24" i="5"/>
  <c r="BK28" i="5"/>
  <c r="BK32" i="5"/>
  <c r="BK36" i="5"/>
  <c r="BK41" i="5"/>
  <c r="BK46" i="5"/>
  <c r="BK50" i="5"/>
  <c r="BK57" i="5"/>
  <c r="BK61" i="5"/>
  <c r="BK65" i="5"/>
  <c r="BK69" i="5"/>
  <c r="BK73" i="5"/>
  <c r="BK77" i="5"/>
  <c r="BK81" i="5"/>
  <c r="BM13" i="5"/>
  <c r="BM17" i="5"/>
  <c r="BM21" i="5"/>
  <c r="BM29" i="5"/>
  <c r="BM37" i="5"/>
  <c r="BM47" i="5"/>
  <c r="BM51" i="5"/>
  <c r="BM59" i="5"/>
  <c r="BM63" i="5"/>
  <c r="BM67" i="5"/>
  <c r="BM71" i="5"/>
  <c r="BM75" i="5"/>
  <c r="BM79" i="5"/>
  <c r="BM84" i="5"/>
  <c r="BM88" i="5"/>
  <c r="BD16" i="5"/>
  <c r="BF16" i="5" s="1"/>
  <c r="BD20" i="5"/>
  <c r="BF20" i="5" s="1"/>
  <c r="BD24" i="5"/>
  <c r="BF24" i="5" s="1"/>
  <c r="BD28" i="5"/>
  <c r="BF28" i="5" s="1"/>
  <c r="BD32" i="5"/>
  <c r="BF32" i="5" s="1"/>
  <c r="BD36" i="5"/>
  <c r="BF36" i="5" s="1"/>
  <c r="BD41" i="5"/>
  <c r="BF41" i="5" s="1"/>
  <c r="BD46" i="5"/>
  <c r="BF46" i="5" s="1"/>
  <c r="BD50" i="5"/>
  <c r="BF50" i="5" s="1"/>
  <c r="BD54" i="5"/>
  <c r="BF54" i="5" s="1"/>
  <c r="BD58" i="5"/>
  <c r="BF58" i="5" s="1"/>
  <c r="BD62" i="5"/>
  <c r="BF62" i="5" s="1"/>
  <c r="BD66" i="5"/>
  <c r="BF66" i="5" s="1"/>
  <c r="BD78" i="5"/>
  <c r="BF78" i="5" s="1"/>
  <c r="BK54" i="5"/>
  <c r="BK58" i="5"/>
  <c r="BK62" i="5"/>
  <c r="BK66" i="5"/>
  <c r="BK78" i="5"/>
  <c r="BM14" i="5"/>
  <c r="BM18" i="5"/>
  <c r="BM22" i="5"/>
  <c r="BM26" i="5"/>
  <c r="BM30" i="5"/>
  <c r="BM34" i="5"/>
  <c r="BM38" i="5"/>
  <c r="BM44" i="5"/>
  <c r="BM52" i="5"/>
  <c r="BM56" i="5"/>
  <c r="BM60" i="5"/>
  <c r="BM64" i="5"/>
  <c r="BM68" i="5"/>
  <c r="BM72" i="5"/>
  <c r="BM76" i="5"/>
  <c r="BM80" i="5"/>
  <c r="BM85" i="5"/>
  <c r="BD13" i="5"/>
  <c r="BF13" i="5" s="1"/>
  <c r="BD17" i="5"/>
  <c r="BF17" i="5" s="1"/>
  <c r="BD21" i="5"/>
  <c r="BF21" i="5" s="1"/>
  <c r="BD29" i="5"/>
  <c r="BF29" i="5" s="1"/>
  <c r="BD37" i="5"/>
  <c r="BF37" i="5" s="1"/>
  <c r="BD47" i="5"/>
  <c r="BF47" i="5" s="1"/>
  <c r="BD51" i="5"/>
  <c r="BF51" i="5" s="1"/>
  <c r="BD55" i="5"/>
  <c r="AZ51" i="7" s="1"/>
  <c r="BD59" i="5"/>
  <c r="BF59" i="5" s="1"/>
  <c r="BD63" i="5"/>
  <c r="BF63" i="5" s="1"/>
  <c r="BD67" i="5"/>
  <c r="BF67" i="5" s="1"/>
  <c r="BD71" i="5"/>
  <c r="BF71" i="5" s="1"/>
  <c r="BD75" i="5"/>
  <c r="BF75" i="5" s="1"/>
  <c r="BD79" i="5"/>
  <c r="BF79" i="5" s="1"/>
  <c r="BD84" i="5"/>
  <c r="BF84" i="5" s="1"/>
  <c r="BD88" i="5"/>
  <c r="BF88" i="5" s="1"/>
  <c r="BK47" i="5"/>
  <c r="BK51" i="5"/>
  <c r="BK59" i="5"/>
  <c r="BK63" i="5"/>
  <c r="BK67" i="5"/>
  <c r="BK71" i="5"/>
  <c r="BK75" i="5"/>
  <c r="BK79" i="5"/>
  <c r="BK84" i="5"/>
  <c r="BK88" i="5"/>
  <c r="BM15" i="5"/>
  <c r="BM19" i="5"/>
  <c r="BM27" i="5"/>
  <c r="BM35" i="5"/>
  <c r="BM39" i="5"/>
  <c r="BM45" i="5"/>
  <c r="BM49" i="5"/>
  <c r="BM57" i="5"/>
  <c r="BM61" i="5"/>
  <c r="BM65" i="5"/>
  <c r="BM69" i="5"/>
  <c r="BM73" i="5"/>
  <c r="BM77" i="5"/>
  <c r="BM81" i="5"/>
  <c r="BD14" i="5"/>
  <c r="BF14" i="5" s="1"/>
  <c r="BD18" i="5"/>
  <c r="BF18" i="5" s="1"/>
  <c r="BD22" i="5"/>
  <c r="BF22" i="5" s="1"/>
  <c r="BD26" i="5"/>
  <c r="BF26" i="5" s="1"/>
  <c r="BD30" i="5"/>
  <c r="BF30" i="5" s="1"/>
  <c r="BD34" i="5"/>
  <c r="BF34" i="5" s="1"/>
  <c r="BD38" i="5"/>
  <c r="BF38" i="5" s="1"/>
  <c r="BD44" i="5"/>
  <c r="BF44" i="5" s="1"/>
  <c r="BD52" i="5"/>
  <c r="BF52" i="5" s="1"/>
  <c r="BD56" i="5"/>
  <c r="BF56" i="5" s="1"/>
  <c r="BD60" i="5"/>
  <c r="BF60" i="5" s="1"/>
  <c r="BD64" i="5"/>
  <c r="BF64" i="5" s="1"/>
  <c r="BD68" i="5"/>
  <c r="BF68" i="5" s="1"/>
  <c r="BD72" i="5"/>
  <c r="BF72" i="5" s="1"/>
  <c r="BD76" i="5"/>
  <c r="BF76" i="5" s="1"/>
  <c r="BD80" i="5"/>
  <c r="BF80" i="5" s="1"/>
  <c r="BD85" i="5"/>
  <c r="BF85" i="5" s="1"/>
  <c r="BK52" i="5"/>
  <c r="BK56" i="5"/>
  <c r="BK60" i="5"/>
  <c r="BK64" i="5"/>
  <c r="BK68" i="5"/>
  <c r="BK72" i="5"/>
  <c r="BK76" i="5"/>
  <c r="BK80" i="5"/>
  <c r="BK85" i="5"/>
  <c r="BM16" i="5"/>
  <c r="BM20" i="5"/>
  <c r="BM24" i="5"/>
  <c r="BM28" i="5"/>
  <c r="BM32" i="5"/>
  <c r="BM36" i="5"/>
  <c r="BM41" i="5"/>
  <c r="BM46" i="5"/>
  <c r="BM50" i="5"/>
  <c r="BM54" i="5"/>
  <c r="BM58" i="5"/>
  <c r="BM62" i="5"/>
  <c r="BM66" i="5"/>
  <c r="BM78" i="5"/>
  <c r="BD15" i="5"/>
  <c r="BF15" i="5" s="1"/>
  <c r="BD19" i="5"/>
  <c r="BF19" i="5" s="1"/>
  <c r="BD27" i="5"/>
  <c r="BF27" i="5" s="1"/>
  <c r="BD35" i="5"/>
  <c r="BF35" i="5" s="1"/>
  <c r="BD39" i="5"/>
  <c r="BF39" i="5" s="1"/>
  <c r="BD45" i="5"/>
  <c r="BF45" i="5" s="1"/>
  <c r="BD49" i="5"/>
  <c r="BF49" i="5" s="1"/>
  <c r="BD57" i="5"/>
  <c r="BF57" i="5" s="1"/>
  <c r="BD61" i="5"/>
  <c r="BF61" i="5" s="1"/>
  <c r="BD65" i="5"/>
  <c r="BF65" i="5" s="1"/>
  <c r="BD69" i="5"/>
  <c r="BF69" i="5" s="1"/>
  <c r="BD73" i="5"/>
  <c r="BF73" i="5" s="1"/>
  <c r="BD77" i="5"/>
  <c r="BF77" i="5" s="1"/>
  <c r="BD81" i="5"/>
  <c r="BF81" i="5" s="1"/>
  <c r="BD86" i="5"/>
  <c r="BF86" i="5" s="1"/>
  <c r="BP13" i="4"/>
  <c r="BR13" i="4" s="1"/>
  <c r="BP14" i="4"/>
  <c r="BR14" i="4" s="1"/>
  <c r="BP21" i="4"/>
  <c r="AF17" i="7" s="1"/>
  <c r="BP76" i="4"/>
  <c r="BR76" i="4" s="1"/>
  <c r="BP79" i="4"/>
  <c r="AF75" i="7" s="1"/>
  <c r="BP80" i="4"/>
  <c r="BR80" i="4" s="1"/>
  <c r="BP45" i="4"/>
  <c r="AF41" i="7" s="1"/>
  <c r="BP61" i="4"/>
  <c r="AF57" i="7" s="1"/>
  <c r="BP47" i="4"/>
  <c r="AF43" i="7" s="1"/>
  <c r="BP16" i="4"/>
  <c r="AF12" i="7" s="1"/>
  <c r="BP17" i="4"/>
  <c r="BR17" i="4" s="1"/>
  <c r="BP18" i="4"/>
  <c r="BR18" i="4" s="1"/>
  <c r="BP22" i="4"/>
  <c r="BR22" i="4" s="1"/>
  <c r="BP37" i="4"/>
  <c r="BR37" i="4" s="1"/>
  <c r="BP66" i="4"/>
  <c r="BR66" i="4" s="1"/>
  <c r="BP85" i="4"/>
  <c r="BR85" i="4" s="1"/>
  <c r="BP15" i="4"/>
  <c r="AF11" i="7" s="1"/>
  <c r="BP49" i="4"/>
  <c r="BR49" i="4" s="1"/>
  <c r="BP65" i="4"/>
  <c r="BR65" i="4" s="1"/>
  <c r="BP81" i="4"/>
  <c r="BR81" i="4" s="1"/>
  <c r="BP28" i="4"/>
  <c r="AF24" i="7" s="1"/>
  <c r="BP34" i="4"/>
  <c r="BR34" i="4" s="1"/>
  <c r="BP24" i="4"/>
  <c r="BP30" i="4"/>
  <c r="BR30" i="4" s="1"/>
  <c r="BP32" i="4"/>
  <c r="BP38" i="4"/>
  <c r="BR38" i="4" s="1"/>
  <c r="BP48" i="4"/>
  <c r="BP50" i="4"/>
  <c r="BR50" i="4" s="1"/>
  <c r="BP35" i="4"/>
  <c r="BR35" i="4" s="1"/>
  <c r="BP69" i="4"/>
  <c r="BR69" i="4" s="1"/>
  <c r="BP20" i="4"/>
  <c r="BR20" i="4" s="1"/>
  <c r="BP36" i="4"/>
  <c r="BR36" i="4" s="1"/>
  <c r="BP41" i="4"/>
  <c r="AF37" i="7" s="1"/>
  <c r="BP46" i="4"/>
  <c r="AF42" i="7" s="1"/>
  <c r="BP54" i="4"/>
  <c r="BR54" i="4" s="1"/>
  <c r="BP58" i="4"/>
  <c r="AF54" i="7" s="1"/>
  <c r="BP62" i="4"/>
  <c r="AF58" i="7" s="1"/>
  <c r="BP29" i="4"/>
  <c r="BR29" i="4" s="1"/>
  <c r="BP33" i="4"/>
  <c r="BP51" i="4"/>
  <c r="AF47" i="7" s="1"/>
  <c r="BP59" i="4"/>
  <c r="BR59" i="4" s="1"/>
  <c r="BP63" i="4"/>
  <c r="BR63" i="4" s="1"/>
  <c r="BP67" i="4"/>
  <c r="BR67" i="4" s="1"/>
  <c r="BP71" i="4"/>
  <c r="AF67" i="7" s="1"/>
  <c r="BP75" i="4"/>
  <c r="BR75" i="4" s="1"/>
  <c r="BP84" i="4"/>
  <c r="BR84" i="4" s="1"/>
  <c r="BP88" i="4"/>
  <c r="BR88" i="4" s="1"/>
  <c r="BP26" i="4"/>
  <c r="BR26" i="4" s="1"/>
  <c r="BP44" i="4"/>
  <c r="BR44" i="4" s="1"/>
  <c r="BP52" i="4"/>
  <c r="BR52" i="4" s="1"/>
  <c r="BP56" i="4"/>
  <c r="BR56" i="4" s="1"/>
  <c r="BP60" i="4"/>
  <c r="BR60" i="4" s="1"/>
  <c r="BP64" i="4"/>
  <c r="BR64" i="4" s="1"/>
  <c r="BP68" i="4"/>
  <c r="BR68" i="4" s="1"/>
  <c r="BP72" i="4"/>
  <c r="BR72" i="4" s="1"/>
  <c r="AQ53" i="5"/>
  <c r="AA53" i="5"/>
  <c r="AQ49" i="7" s="1"/>
  <c r="AA31" i="5"/>
  <c r="AQ27" i="7" s="1"/>
  <c r="S31" i="5"/>
  <c r="AE31" i="5"/>
  <c r="AE25" i="5" s="1"/>
  <c r="AE83" i="5" s="1"/>
  <c r="AU31" i="5"/>
  <c r="AV31" i="5" s="1"/>
  <c r="AX31" i="5" s="1"/>
  <c r="AQ31" i="5"/>
  <c r="AU53" i="5"/>
  <c r="AV53" i="5" s="1"/>
  <c r="AX53" i="5" s="1"/>
  <c r="AW53" i="5"/>
  <c r="BG31" i="5"/>
  <c r="BC27" i="7" s="1"/>
  <c r="H12" i="5"/>
  <c r="J12" i="5" s="1"/>
  <c r="O53" i="5"/>
  <c r="E53" i="5"/>
  <c r="I53" i="5"/>
  <c r="S53" i="5"/>
  <c r="AJ12" i="5"/>
  <c r="AL12" i="5" s="1"/>
  <c r="BG53" i="5"/>
  <c r="BC49" i="7" s="1"/>
  <c r="BF29" i="7"/>
  <c r="AY31" i="5"/>
  <c r="AY53" i="5"/>
  <c r="AS53" i="5"/>
  <c r="AQ23" i="5"/>
  <c r="AI31" i="5"/>
  <c r="AI53" i="5"/>
  <c r="O31" i="5"/>
  <c r="AT29" i="7"/>
  <c r="AS27" i="7"/>
  <c r="AT39" i="7"/>
  <c r="AC53" i="5"/>
  <c r="AA23" i="5"/>
  <c r="AQ19" i="7" s="1"/>
  <c r="AO31" i="5"/>
  <c r="S23" i="5"/>
  <c r="Q53" i="5"/>
  <c r="O23" i="5"/>
  <c r="G31" i="5"/>
  <c r="G53" i="5"/>
  <c r="C31" i="5"/>
  <c r="C53" i="5"/>
  <c r="C23" i="5"/>
  <c r="K23" i="5" s="1"/>
  <c r="AI19" i="7" s="1"/>
  <c r="BK53" i="4"/>
  <c r="BG31" i="4"/>
  <c r="AY53" i="4"/>
  <c r="AU25" i="4"/>
  <c r="AU83" i="4" s="1"/>
  <c r="G53" i="4"/>
  <c r="G31" i="4"/>
  <c r="C31" i="4"/>
  <c r="AO25" i="4"/>
  <c r="BE25" i="4"/>
  <c r="C23" i="4"/>
  <c r="O23" i="4"/>
  <c r="AA23" i="4"/>
  <c r="AB23" i="4" s="1"/>
  <c r="AD23" i="4" s="1"/>
  <c r="AM23" i="4"/>
  <c r="AN23" i="4" s="1"/>
  <c r="AP23" i="4" s="1"/>
  <c r="AU23" i="4"/>
  <c r="BG23" i="4"/>
  <c r="U87" i="4"/>
  <c r="K23" i="4"/>
  <c r="AI23" i="4"/>
  <c r="AJ23" i="4" s="1"/>
  <c r="AL23" i="4" s="1"/>
  <c r="C53" i="4"/>
  <c r="S23" i="4"/>
  <c r="T23" i="4" s="1"/>
  <c r="V23" i="4" s="1"/>
  <c r="BC23" i="4"/>
  <c r="BD23" i="4" s="1"/>
  <c r="BF23" i="4" s="1"/>
  <c r="G23" i="4"/>
  <c r="W23" i="4"/>
  <c r="X23" i="4" s="1"/>
  <c r="Z23" i="4" s="1"/>
  <c r="AE23" i="4"/>
  <c r="AF23" i="4" s="1"/>
  <c r="AH23" i="4" s="1"/>
  <c r="AQ23" i="4"/>
  <c r="AR23" i="4" s="1"/>
  <c r="AT23" i="4" s="1"/>
  <c r="AY23" i="4"/>
  <c r="BK23" i="4"/>
  <c r="AJ25" i="4"/>
  <c r="AL25" i="4" s="1"/>
  <c r="K53" i="4"/>
  <c r="BF86" i="4"/>
  <c r="AC87" i="4"/>
  <c r="AI87" i="4"/>
  <c r="AS87" i="4"/>
  <c r="AL83" i="4" l="1"/>
  <c r="AJ87" i="4"/>
  <c r="P23" i="5"/>
  <c r="L70" i="5"/>
  <c r="AJ66" i="7" s="1"/>
  <c r="M31" i="5"/>
  <c r="AK27" i="7" s="1"/>
  <c r="W23" i="5"/>
  <c r="AM19" i="7" s="1"/>
  <c r="BD12" i="5"/>
  <c r="AZ8" i="7" s="1"/>
  <c r="AT12" i="5"/>
  <c r="O25" i="4"/>
  <c r="O83" i="4" s="1"/>
  <c r="O87" i="4" s="1"/>
  <c r="O89" i="4" s="1"/>
  <c r="BD82" i="7"/>
  <c r="D31" i="4"/>
  <c r="AM31" i="5"/>
  <c r="AU27" i="7" s="1"/>
  <c r="AN55" i="5"/>
  <c r="AP55" i="5" s="1"/>
  <c r="AX51" i="7" s="1"/>
  <c r="BD33" i="5"/>
  <c r="AZ29" i="7" s="1"/>
  <c r="BD70" i="5"/>
  <c r="BM48" i="5"/>
  <c r="BM70" i="5"/>
  <c r="I25" i="5"/>
  <c r="BK86" i="5"/>
  <c r="BK43" i="5"/>
  <c r="Y31" i="5"/>
  <c r="AO27" i="7" s="1"/>
  <c r="AN74" i="5"/>
  <c r="AP74" i="5" s="1"/>
  <c r="AX70" i="7" s="1"/>
  <c r="AB53" i="5"/>
  <c r="AR49" i="7" s="1"/>
  <c r="BP55" i="4"/>
  <c r="AF51" i="7" s="1"/>
  <c r="BO31" i="4"/>
  <c r="AE27" i="7" s="1"/>
  <c r="BJ31" i="4"/>
  <c r="BA25" i="5"/>
  <c r="BB25" i="5" s="1"/>
  <c r="U25" i="5"/>
  <c r="U83" i="5" s="1"/>
  <c r="BM33" i="5"/>
  <c r="V31" i="5"/>
  <c r="Y23" i="5"/>
  <c r="AO19" i="7" s="1"/>
  <c r="AF53" i="4"/>
  <c r="AH53" i="4" s="1"/>
  <c r="AE25" i="4"/>
  <c r="AQ25" i="4"/>
  <c r="BP70" i="4"/>
  <c r="BR70" i="4" s="1"/>
  <c r="AH66" i="7" s="1"/>
  <c r="BP86" i="4"/>
  <c r="AF82" i="7" s="1"/>
  <c r="BD43" i="5"/>
  <c r="BF43" i="5" s="1"/>
  <c r="BD74" i="5"/>
  <c r="BF74" i="5" s="1"/>
  <c r="BD39" i="7"/>
  <c r="BK55" i="5"/>
  <c r="BK74" i="5"/>
  <c r="BK48" i="5"/>
  <c r="AD86" i="5"/>
  <c r="AT82" i="7" s="1"/>
  <c r="BM86" i="5"/>
  <c r="BE53" i="5"/>
  <c r="BA49" i="7" s="1"/>
  <c r="W53" i="5"/>
  <c r="AM49" i="7" s="1"/>
  <c r="W31" i="5"/>
  <c r="AM27" i="7" s="1"/>
  <c r="BM43" i="5"/>
  <c r="AJ53" i="5"/>
  <c r="AL53" i="5" s="1"/>
  <c r="AM53" i="5"/>
  <c r="AU49" i="7" s="1"/>
  <c r="BM74" i="5"/>
  <c r="H53" i="5"/>
  <c r="J53" i="5" s="1"/>
  <c r="K53" i="5"/>
  <c r="AI49" i="7" s="1"/>
  <c r="K31" i="5"/>
  <c r="AI27" i="7" s="1"/>
  <c r="BQ31" i="4"/>
  <c r="T53" i="4"/>
  <c r="V53" i="4" s="1"/>
  <c r="S25" i="4"/>
  <c r="BO53" i="4"/>
  <c r="AE49" i="7" s="1"/>
  <c r="AB31" i="4"/>
  <c r="AD31" i="4" s="1"/>
  <c r="AA25" i="4"/>
  <c r="BE23" i="5"/>
  <c r="BA19" i="7" s="1"/>
  <c r="AD55" i="5"/>
  <c r="AT51" i="7" s="1"/>
  <c r="X74" i="5"/>
  <c r="AN70" i="7" s="1"/>
  <c r="AD70" i="5"/>
  <c r="AT66" i="7" s="1"/>
  <c r="AJ77" i="7"/>
  <c r="N81" i="5"/>
  <c r="AL77" i="7" s="1"/>
  <c r="AN80" i="7"/>
  <c r="Z84" i="5"/>
  <c r="AP80" i="7" s="1"/>
  <c r="AJ76" i="7"/>
  <c r="N80" i="5"/>
  <c r="AL76" i="7" s="1"/>
  <c r="AN76" i="7"/>
  <c r="Z80" i="5"/>
  <c r="AP76" i="7" s="1"/>
  <c r="AN77" i="7"/>
  <c r="Z81" i="5"/>
  <c r="AP77" i="7" s="1"/>
  <c r="AN82" i="7"/>
  <c r="Z86" i="5"/>
  <c r="AP82" i="7" s="1"/>
  <c r="R55" i="5"/>
  <c r="AD74" i="5"/>
  <c r="AT70" i="7" s="1"/>
  <c r="AH48" i="5"/>
  <c r="AN75" i="7"/>
  <c r="Z79" i="5"/>
  <c r="AP75" i="7" s="1"/>
  <c r="AN84" i="7"/>
  <c r="Z88" i="5"/>
  <c r="AP84" i="7" s="1"/>
  <c r="AN70" i="5"/>
  <c r="AP70" i="5" s="1"/>
  <c r="AX66" i="7" s="1"/>
  <c r="AH70" i="5"/>
  <c r="BD48" i="5"/>
  <c r="AZ44" i="7" s="1"/>
  <c r="AN41" i="7"/>
  <c r="Z45" i="5"/>
  <c r="AP41" i="7" s="1"/>
  <c r="AJ73" i="7"/>
  <c r="N77" i="5"/>
  <c r="AL73" i="7" s="1"/>
  <c r="AN40" i="7"/>
  <c r="Z44" i="5"/>
  <c r="AP40" i="7" s="1"/>
  <c r="AN15" i="7"/>
  <c r="Z19" i="5"/>
  <c r="AN23" i="7"/>
  <c r="Z27" i="5"/>
  <c r="AP23" i="7" s="1"/>
  <c r="N69" i="5"/>
  <c r="AL65" i="7" s="1"/>
  <c r="N61" i="5"/>
  <c r="AL57" i="7" s="1"/>
  <c r="N68" i="5"/>
  <c r="AL64" i="7" s="1"/>
  <c r="N60" i="5"/>
  <c r="AL56" i="7" s="1"/>
  <c r="N72" i="5"/>
  <c r="AL68" i="7" s="1"/>
  <c r="Z17" i="5"/>
  <c r="AP13" i="7" s="1"/>
  <c r="Z21" i="5"/>
  <c r="AP17" i="7" s="1"/>
  <c r="Z37" i="5"/>
  <c r="AP33" i="7" s="1"/>
  <c r="Z35" i="5"/>
  <c r="AP31" i="7" s="1"/>
  <c r="V23" i="5"/>
  <c r="AN25" i="7"/>
  <c r="Z29" i="5"/>
  <c r="AP25" i="7" s="1"/>
  <c r="AJ48" i="7"/>
  <c r="N52" i="5"/>
  <c r="AL48" i="7" s="1"/>
  <c r="AJ26" i="7"/>
  <c r="N30" i="5"/>
  <c r="AL26" i="7" s="1"/>
  <c r="AJ10" i="7"/>
  <c r="N14" i="5"/>
  <c r="AL10" i="7" s="1"/>
  <c r="AN74" i="7"/>
  <c r="Z78" i="5"/>
  <c r="AP74" i="7" s="1"/>
  <c r="BD44" i="7"/>
  <c r="BJ48" i="5"/>
  <c r="BF44" i="7" s="1"/>
  <c r="N15" i="5"/>
  <c r="AL11" i="7" s="1"/>
  <c r="N18" i="5"/>
  <c r="AL14" i="7" s="1"/>
  <c r="N22" i="5"/>
  <c r="AL18" i="7" s="1"/>
  <c r="N39" i="5"/>
  <c r="AL35" i="7" s="1"/>
  <c r="N33" i="5"/>
  <c r="AL29" i="7" s="1"/>
  <c r="N34" i="5"/>
  <c r="AL30" i="7" s="1"/>
  <c r="N45" i="5"/>
  <c r="AL41" i="7" s="1"/>
  <c r="R23" i="5"/>
  <c r="Z51" i="5"/>
  <c r="AP47" i="7" s="1"/>
  <c r="Z68" i="5"/>
  <c r="AP64" i="7" s="1"/>
  <c r="Z60" i="5"/>
  <c r="AP56" i="7" s="1"/>
  <c r="Z67" i="5"/>
  <c r="AP63" i="7" s="1"/>
  <c r="Z58" i="5"/>
  <c r="AP54" i="7" s="1"/>
  <c r="Z65" i="5"/>
  <c r="AP61" i="7" s="1"/>
  <c r="Z57" i="5"/>
  <c r="AP53" i="7" s="1"/>
  <c r="Z62" i="5"/>
  <c r="AP58" i="7" s="1"/>
  <c r="Z72" i="5"/>
  <c r="AP68" i="7" s="1"/>
  <c r="Z71" i="5"/>
  <c r="AP67" i="7" s="1"/>
  <c r="Z76" i="5"/>
  <c r="AP72" i="7" s="1"/>
  <c r="AJ45" i="7"/>
  <c r="N49" i="5"/>
  <c r="AL45" i="7" s="1"/>
  <c r="AJ15" i="7"/>
  <c r="N19" i="5"/>
  <c r="AL15" i="7" s="1"/>
  <c r="AJ22" i="7"/>
  <c r="N26" i="5"/>
  <c r="AL22" i="7" s="1"/>
  <c r="BF55" i="5"/>
  <c r="AJ23" i="7"/>
  <c r="N27" i="5"/>
  <c r="AL23" i="7" s="1"/>
  <c r="L48" i="5"/>
  <c r="N48" i="5" s="1"/>
  <c r="AL44" i="7" s="1"/>
  <c r="F48" i="5"/>
  <c r="BD51" i="7"/>
  <c r="BJ55" i="5"/>
  <c r="BF51" i="7" s="1"/>
  <c r="BD70" i="7"/>
  <c r="BJ74" i="5"/>
  <c r="BF70" i="7" s="1"/>
  <c r="F55" i="5"/>
  <c r="N65" i="5"/>
  <c r="AL61" i="7" s="1"/>
  <c r="N57" i="5"/>
  <c r="AL53" i="7" s="1"/>
  <c r="N64" i="5"/>
  <c r="AL60" i="7" s="1"/>
  <c r="N56" i="5"/>
  <c r="AL52" i="7" s="1"/>
  <c r="N73" i="5"/>
  <c r="AL69" i="7" s="1"/>
  <c r="N76" i="5"/>
  <c r="AL72" i="7" s="1"/>
  <c r="F74" i="5"/>
  <c r="Z15" i="5"/>
  <c r="AP11" i="7" s="1"/>
  <c r="Z39" i="5"/>
  <c r="AP35" i="7" s="1"/>
  <c r="AH12" i="5"/>
  <c r="AH31" i="5"/>
  <c r="AB23" i="5"/>
  <c r="AR19" i="7" s="1"/>
  <c r="AD12" i="5"/>
  <c r="AT8" i="7" s="1"/>
  <c r="AN9" i="7"/>
  <c r="Z13" i="5"/>
  <c r="F12" i="5"/>
  <c r="N35" i="5"/>
  <c r="AL31" i="7" s="1"/>
  <c r="N38" i="5"/>
  <c r="AL34" i="7" s="1"/>
  <c r="N44" i="5"/>
  <c r="AL40" i="7" s="1"/>
  <c r="R43" i="5"/>
  <c r="Z49" i="5"/>
  <c r="AP45" i="7" s="1"/>
  <c r="Z64" i="5"/>
  <c r="AP60" i="7" s="1"/>
  <c r="Z56" i="5"/>
  <c r="AP52" i="7" s="1"/>
  <c r="Z69" i="5"/>
  <c r="AP65" i="7" s="1"/>
  <c r="Z61" i="5"/>
  <c r="AP57" i="7" s="1"/>
  <c r="Z66" i="5"/>
  <c r="AP62" i="7" s="1"/>
  <c r="Z73" i="5"/>
  <c r="AP69" i="7" s="1"/>
  <c r="Z77" i="5"/>
  <c r="AP73" i="7" s="1"/>
  <c r="Z75" i="5"/>
  <c r="AP71" i="7" s="1"/>
  <c r="V12" i="5"/>
  <c r="BJ70" i="5"/>
  <c r="BF66" i="7" s="1"/>
  <c r="BO23" i="4"/>
  <c r="AE19" i="7" s="1"/>
  <c r="BN23" i="4"/>
  <c r="F48" i="4"/>
  <c r="BD31" i="4"/>
  <c r="BF31" i="4" s="1"/>
  <c r="BC25" i="4"/>
  <c r="AN31" i="4"/>
  <c r="AP31" i="4" s="1"/>
  <c r="AM25" i="4"/>
  <c r="BR79" i="4"/>
  <c r="AH75" i="7" s="1"/>
  <c r="X31" i="4"/>
  <c r="Z31" i="4" s="1"/>
  <c r="W25" i="4"/>
  <c r="BR39" i="4"/>
  <c r="AH35" i="7" s="1"/>
  <c r="BR73" i="4"/>
  <c r="AH69" i="7" s="1"/>
  <c r="R23" i="4"/>
  <c r="BJ23" i="4"/>
  <c r="BR57" i="4"/>
  <c r="AH53" i="7" s="1"/>
  <c r="N23" i="4"/>
  <c r="AX23" i="4"/>
  <c r="AF28" i="7"/>
  <c r="BR32" i="4"/>
  <c r="AH28" i="7" s="1"/>
  <c r="AF15" i="7"/>
  <c r="BR19" i="4"/>
  <c r="AH15" i="7" s="1"/>
  <c r="F12" i="4"/>
  <c r="BR15" i="4"/>
  <c r="AH11" i="7" s="1"/>
  <c r="BR16" i="4"/>
  <c r="AH12" i="7" s="1"/>
  <c r="BR45" i="4"/>
  <c r="AH41" i="7" s="1"/>
  <c r="BR51" i="4"/>
  <c r="AH47" i="7" s="1"/>
  <c r="BR62" i="4"/>
  <c r="AH58" i="7" s="1"/>
  <c r="BR71" i="4"/>
  <c r="AH67" i="7" s="1"/>
  <c r="AF73" i="7"/>
  <c r="BR77" i="4"/>
  <c r="AH73" i="7" s="1"/>
  <c r="F23" i="4"/>
  <c r="BR27" i="4"/>
  <c r="AH23" i="7" s="1"/>
  <c r="BR28" i="4"/>
  <c r="AH24" i="7" s="1"/>
  <c r="BR78" i="4"/>
  <c r="AH74" i="7" s="1"/>
  <c r="AX31" i="4"/>
  <c r="BB12" i="4"/>
  <c r="AF20" i="7"/>
  <c r="BR24" i="4"/>
  <c r="AH20" i="7" s="1"/>
  <c r="BR21" i="4"/>
  <c r="AH17" i="7" s="1"/>
  <c r="BR41" i="4"/>
  <c r="AH37" i="7" s="1"/>
  <c r="BR46" i="4"/>
  <c r="AH42" i="7" s="1"/>
  <c r="F31" i="4"/>
  <c r="BR47" i="4"/>
  <c r="AH43" i="7" s="1"/>
  <c r="BR61" i="4"/>
  <c r="AH57" i="7" s="1"/>
  <c r="BR58" i="4"/>
  <c r="AH54" i="7" s="1"/>
  <c r="J12" i="4"/>
  <c r="BB23" i="4"/>
  <c r="J23" i="4"/>
  <c r="N12" i="4"/>
  <c r="R12" i="4"/>
  <c r="AX12" i="4"/>
  <c r="BJ12" i="4"/>
  <c r="BE49" i="7"/>
  <c r="BE19" i="7"/>
  <c r="BA66" i="7"/>
  <c r="BF70" i="5"/>
  <c r="BB66" i="7" s="1"/>
  <c r="BA44" i="7"/>
  <c r="BF48" i="5"/>
  <c r="BB44" i="7" s="1"/>
  <c r="BA29" i="7"/>
  <c r="AW70" i="7"/>
  <c r="AO53" i="5"/>
  <c r="AW51" i="7"/>
  <c r="AW44" i="7"/>
  <c r="AW39" i="7"/>
  <c r="AP43" i="5"/>
  <c r="AX39" i="7" s="1"/>
  <c r="AW27" i="7"/>
  <c r="AW8" i="7"/>
  <c r="AO23" i="5"/>
  <c r="AH23" i="5"/>
  <c r="AS49" i="7"/>
  <c r="AS19" i="7"/>
  <c r="AO70" i="7"/>
  <c r="AO66" i="7"/>
  <c r="AO51" i="7"/>
  <c r="Z55" i="5"/>
  <c r="AP51" i="7" s="1"/>
  <c r="AO44" i="7"/>
  <c r="AO39" i="7"/>
  <c r="Z43" i="5"/>
  <c r="AP39" i="7" s="1"/>
  <c r="AO29" i="7"/>
  <c r="AK82" i="7"/>
  <c r="N86" i="5"/>
  <c r="AL82" i="7" s="1"/>
  <c r="AK70" i="7"/>
  <c r="N74" i="5"/>
  <c r="AL70" i="7" s="1"/>
  <c r="AK66" i="7"/>
  <c r="AK51" i="7"/>
  <c r="N55" i="5"/>
  <c r="AL51" i="7" s="1"/>
  <c r="M53" i="5"/>
  <c r="AK39" i="7"/>
  <c r="N43" i="5"/>
  <c r="AL39" i="7" s="1"/>
  <c r="M23" i="5"/>
  <c r="F23" i="5"/>
  <c r="BQ23" i="4"/>
  <c r="AG19" i="7" s="1"/>
  <c r="AG82" i="7"/>
  <c r="BQ53" i="4"/>
  <c r="AG49" i="7" s="1"/>
  <c r="J31" i="4"/>
  <c r="I25" i="4"/>
  <c r="AG70" i="7"/>
  <c r="AG66" i="7"/>
  <c r="AG51" i="7"/>
  <c r="BR55" i="4"/>
  <c r="AH51" i="7" s="1"/>
  <c r="AG44" i="7"/>
  <c r="BR48" i="4"/>
  <c r="AH44" i="7" s="1"/>
  <c r="AG39" i="7"/>
  <c r="AG29" i="7"/>
  <c r="BR33" i="4"/>
  <c r="AH29" i="7" s="1"/>
  <c r="BB28" i="7"/>
  <c r="AZ28" i="7"/>
  <c r="AF53" i="5"/>
  <c r="AF25" i="5" s="1"/>
  <c r="AF83" i="5" s="1"/>
  <c r="AF87" i="5" s="1"/>
  <c r="X70" i="5"/>
  <c r="AN66" i="7" s="1"/>
  <c r="AJ51" i="7"/>
  <c r="L25" i="4"/>
  <c r="BM55" i="5"/>
  <c r="AV53" i="4"/>
  <c r="AX53" i="4" s="1"/>
  <c r="BH31" i="5"/>
  <c r="BJ31" i="5" s="1"/>
  <c r="T25" i="5"/>
  <c r="BL25" i="4"/>
  <c r="BL83" i="4" s="1"/>
  <c r="BL87" i="4" s="1"/>
  <c r="BK70" i="5"/>
  <c r="AV23" i="5"/>
  <c r="AX23" i="5" s="1"/>
  <c r="BC53" i="5"/>
  <c r="AR53" i="5"/>
  <c r="BC31" i="5"/>
  <c r="AR31" i="5"/>
  <c r="BC23" i="5"/>
  <c r="AR23" i="5"/>
  <c r="AT23" i="5" s="1"/>
  <c r="AJ70" i="7"/>
  <c r="AN48" i="5"/>
  <c r="D53" i="5"/>
  <c r="BH53" i="5"/>
  <c r="BJ53" i="5" s="1"/>
  <c r="BF49" i="7" s="1"/>
  <c r="P53" i="5"/>
  <c r="R53" i="5" s="1"/>
  <c r="D31" i="5"/>
  <c r="F31" i="5" s="1"/>
  <c r="BP74" i="4"/>
  <c r="AF70" i="7" s="1"/>
  <c r="D53" i="4"/>
  <c r="BH25" i="4"/>
  <c r="H53" i="4"/>
  <c r="H25" i="4" s="1"/>
  <c r="H83" i="4" s="1"/>
  <c r="H87" i="4" s="1"/>
  <c r="P25" i="4"/>
  <c r="R25" i="4" s="1"/>
  <c r="AR44" i="7"/>
  <c r="AB31" i="5"/>
  <c r="X48" i="5"/>
  <c r="AN44" i="7" s="1"/>
  <c r="P31" i="5"/>
  <c r="R31" i="5" s="1"/>
  <c r="BB69" i="7"/>
  <c r="AZ69" i="7"/>
  <c r="AZ53" i="7"/>
  <c r="BB53" i="7"/>
  <c r="BB68" i="7"/>
  <c r="AZ68" i="7"/>
  <c r="AZ52" i="7"/>
  <c r="BB52" i="7"/>
  <c r="BB75" i="7"/>
  <c r="AZ75" i="7"/>
  <c r="AZ59" i="7"/>
  <c r="BB59" i="7"/>
  <c r="AZ62" i="7"/>
  <c r="BB62" i="7"/>
  <c r="BB82" i="7"/>
  <c r="AZ82" i="7"/>
  <c r="AZ65" i="7"/>
  <c r="BB65" i="7"/>
  <c r="BB81" i="7"/>
  <c r="AZ81" i="7"/>
  <c r="AZ64" i="7"/>
  <c r="BB64" i="7"/>
  <c r="BB71" i="7"/>
  <c r="AZ71" i="7"/>
  <c r="AZ55" i="7"/>
  <c r="BB55" i="7"/>
  <c r="BB74" i="7"/>
  <c r="AZ74" i="7"/>
  <c r="AZ58" i="7"/>
  <c r="BB58" i="7"/>
  <c r="BB77" i="7"/>
  <c r="AZ77" i="7"/>
  <c r="AZ61" i="7"/>
  <c r="BB61" i="7"/>
  <c r="BB76" i="7"/>
  <c r="AZ76" i="7"/>
  <c r="AZ60" i="7"/>
  <c r="BB60" i="7"/>
  <c r="BB84" i="7"/>
  <c r="AZ84" i="7"/>
  <c r="BB67" i="7"/>
  <c r="AZ67" i="7"/>
  <c r="BB70" i="7"/>
  <c r="AZ70" i="7"/>
  <c r="AZ54" i="7"/>
  <c r="BB54" i="7"/>
  <c r="BB73" i="7"/>
  <c r="AZ73" i="7"/>
  <c r="AZ57" i="7"/>
  <c r="BB57" i="7"/>
  <c r="BB72" i="7"/>
  <c r="AZ72" i="7"/>
  <c r="AZ56" i="7"/>
  <c r="BB56" i="7"/>
  <c r="BB80" i="7"/>
  <c r="AZ80" i="7"/>
  <c r="BB63" i="7"/>
  <c r="AZ63" i="7"/>
  <c r="AZ66" i="7"/>
  <c r="BB45" i="7"/>
  <c r="AZ45" i="7"/>
  <c r="BB37" i="7"/>
  <c r="AZ37" i="7"/>
  <c r="BB41" i="7"/>
  <c r="AZ41" i="7"/>
  <c r="BB40" i="7"/>
  <c r="AZ40" i="7"/>
  <c r="BB26" i="7"/>
  <c r="AZ26" i="7"/>
  <c r="BB23" i="7"/>
  <c r="AZ23" i="7"/>
  <c r="BB22" i="7"/>
  <c r="AZ22" i="7"/>
  <c r="BB25" i="7"/>
  <c r="AZ25" i="7"/>
  <c r="BB24" i="7"/>
  <c r="AZ24" i="7"/>
  <c r="BB18" i="7"/>
  <c r="AZ18" i="7"/>
  <c r="BB12" i="7"/>
  <c r="AZ12" i="7"/>
  <c r="BB15" i="7"/>
  <c r="AZ15" i="7"/>
  <c r="BB14" i="7"/>
  <c r="AZ14" i="7"/>
  <c r="BB17" i="7"/>
  <c r="AZ17" i="7"/>
  <c r="BB13" i="7"/>
  <c r="AZ13" i="7"/>
  <c r="BB16" i="7"/>
  <c r="AZ16" i="7"/>
  <c r="BB11" i="7"/>
  <c r="AZ11" i="7"/>
  <c r="BB50" i="7"/>
  <c r="AZ50" i="7"/>
  <c r="AZ32" i="7"/>
  <c r="BB32" i="7"/>
  <c r="AZ35" i="7"/>
  <c r="BB35" i="7"/>
  <c r="AZ34" i="7"/>
  <c r="BB34" i="7"/>
  <c r="AZ31" i="7"/>
  <c r="BB31" i="7"/>
  <c r="AZ30" i="7"/>
  <c r="BB30" i="7"/>
  <c r="AZ33" i="7"/>
  <c r="BB33" i="7"/>
  <c r="AN39" i="7"/>
  <c r="BB9" i="7"/>
  <c r="AZ9" i="7"/>
  <c r="AL81" i="7"/>
  <c r="AJ81" i="7"/>
  <c r="AL63" i="7"/>
  <c r="AJ63" i="7"/>
  <c r="AL43" i="7"/>
  <c r="AJ43" i="7"/>
  <c r="AL13" i="7"/>
  <c r="AJ13" i="7"/>
  <c r="AX76" i="7"/>
  <c r="AV76" i="7"/>
  <c r="AX63" i="7"/>
  <c r="AV63" i="7"/>
  <c r="AX56" i="7"/>
  <c r="AV56" i="7"/>
  <c r="AV48" i="7"/>
  <c r="AX48" i="7"/>
  <c r="AV39" i="7"/>
  <c r="AP81" i="7"/>
  <c r="AN81" i="7"/>
  <c r="AL62" i="7"/>
  <c r="AJ62" i="7"/>
  <c r="AL46" i="7"/>
  <c r="AJ46" i="7"/>
  <c r="AL28" i="7"/>
  <c r="AJ28" i="7"/>
  <c r="AL12" i="7"/>
  <c r="AJ12" i="7"/>
  <c r="AX71" i="7"/>
  <c r="AV71" i="7"/>
  <c r="AX37" i="7"/>
  <c r="AV37" i="7"/>
  <c r="AX29" i="7"/>
  <c r="AV29" i="7"/>
  <c r="AX13" i="7"/>
  <c r="AV13" i="7"/>
  <c r="AX67" i="7"/>
  <c r="AV67" i="7"/>
  <c r="AX60" i="7"/>
  <c r="AV60" i="7"/>
  <c r="AL75" i="7"/>
  <c r="AJ75" i="7"/>
  <c r="AL59" i="7"/>
  <c r="AJ59" i="7"/>
  <c r="AL33" i="7"/>
  <c r="AJ33" i="7"/>
  <c r="AL9" i="7"/>
  <c r="AJ9" i="7"/>
  <c r="AX33" i="7"/>
  <c r="AV33" i="7"/>
  <c r="AX20" i="7"/>
  <c r="AV20" i="7"/>
  <c r="AX11" i="7"/>
  <c r="AV11" i="7"/>
  <c r="AP37" i="7"/>
  <c r="AN37" i="7"/>
  <c r="AP32" i="7"/>
  <c r="AN32" i="7"/>
  <c r="AP26" i="7"/>
  <c r="AN26" i="7"/>
  <c r="AP22" i="7"/>
  <c r="AN22" i="7"/>
  <c r="AP16" i="7"/>
  <c r="AN16" i="7"/>
  <c r="AP12" i="7"/>
  <c r="AN12" i="7"/>
  <c r="AL84" i="7"/>
  <c r="AJ84" i="7"/>
  <c r="AL58" i="7"/>
  <c r="AJ58" i="7"/>
  <c r="AL42" i="7"/>
  <c r="AJ42" i="7"/>
  <c r="AL24" i="7"/>
  <c r="AJ24" i="7"/>
  <c r="AX81" i="7"/>
  <c r="AV81" i="7"/>
  <c r="AX62" i="7"/>
  <c r="AV62" i="7"/>
  <c r="AX55" i="7"/>
  <c r="AV55" i="7"/>
  <c r="AX24" i="7"/>
  <c r="AV24" i="7"/>
  <c r="AX14" i="7"/>
  <c r="AV14" i="7"/>
  <c r="AX74" i="7"/>
  <c r="AV74" i="7"/>
  <c r="AX65" i="7"/>
  <c r="AV65" i="7"/>
  <c r="AX54" i="7"/>
  <c r="AV54" i="7"/>
  <c r="AV40" i="7"/>
  <c r="AX40" i="7"/>
  <c r="AX31" i="7"/>
  <c r="AV31" i="7"/>
  <c r="AX23" i="7"/>
  <c r="AV23" i="7"/>
  <c r="AX82" i="7"/>
  <c r="AV82" i="7"/>
  <c r="AX73" i="7"/>
  <c r="AV73" i="7"/>
  <c r="AX50" i="7"/>
  <c r="AV50" i="7"/>
  <c r="AV43" i="7"/>
  <c r="AX43" i="7"/>
  <c r="AX30" i="7"/>
  <c r="AV30" i="7"/>
  <c r="AX22" i="7"/>
  <c r="AV22" i="7"/>
  <c r="AX12" i="7"/>
  <c r="AV12" i="7"/>
  <c r="BF8" i="7"/>
  <c r="BH23" i="5"/>
  <c r="BJ23" i="5" s="1"/>
  <c r="BD8" i="7"/>
  <c r="AL71" i="7"/>
  <c r="AJ71" i="7"/>
  <c r="AL55" i="7"/>
  <c r="AJ55" i="7"/>
  <c r="AL25" i="7"/>
  <c r="AJ25" i="7"/>
  <c r="AX72" i="7"/>
  <c r="AV72" i="7"/>
  <c r="AX59" i="7"/>
  <c r="AV59" i="7"/>
  <c r="AX52" i="7"/>
  <c r="AV52" i="7"/>
  <c r="AV42" i="7"/>
  <c r="AX42" i="7"/>
  <c r="AL54" i="7"/>
  <c r="AJ54" i="7"/>
  <c r="AL37" i="7"/>
  <c r="AJ37" i="7"/>
  <c r="AL20" i="7"/>
  <c r="AJ20" i="7"/>
  <c r="AX75" i="7"/>
  <c r="AV75" i="7"/>
  <c r="AX69" i="7"/>
  <c r="AV69" i="7"/>
  <c r="AV41" i="7"/>
  <c r="AX41" i="7"/>
  <c r="AX32" i="7"/>
  <c r="AV32" i="7"/>
  <c r="AX17" i="7"/>
  <c r="AV17" i="7"/>
  <c r="AX9" i="7"/>
  <c r="AV9" i="7"/>
  <c r="AN28" i="7"/>
  <c r="AN20" i="7"/>
  <c r="AX64" i="7"/>
  <c r="AV64" i="7"/>
  <c r="AX57" i="7"/>
  <c r="AV57" i="7"/>
  <c r="BB10" i="7"/>
  <c r="AZ10" i="7"/>
  <c r="BB20" i="7"/>
  <c r="AZ20" i="7"/>
  <c r="AL67" i="7"/>
  <c r="AJ67" i="7"/>
  <c r="AL17" i="7"/>
  <c r="AJ17" i="7"/>
  <c r="AX25" i="7"/>
  <c r="AV25" i="7"/>
  <c r="AX15" i="7"/>
  <c r="AV15" i="7"/>
  <c r="AV19" i="7"/>
  <c r="AP34" i="7"/>
  <c r="AN34" i="7"/>
  <c r="AP30" i="7"/>
  <c r="AN30" i="7"/>
  <c r="AP24" i="7"/>
  <c r="AN24" i="7"/>
  <c r="AP18" i="7"/>
  <c r="AN18" i="7"/>
  <c r="AP14" i="7"/>
  <c r="AN14" i="7"/>
  <c r="AP10" i="7"/>
  <c r="AN10" i="7"/>
  <c r="AL80" i="7"/>
  <c r="AJ80" i="7"/>
  <c r="AL74" i="7"/>
  <c r="AJ74" i="7"/>
  <c r="AL50" i="7"/>
  <c r="AJ50" i="7"/>
  <c r="AL32" i="7"/>
  <c r="AJ32" i="7"/>
  <c r="AL16" i="7"/>
  <c r="AJ16" i="7"/>
  <c r="AX84" i="7"/>
  <c r="AV84" i="7"/>
  <c r="AX58" i="7"/>
  <c r="AV58" i="7"/>
  <c r="AV47" i="7"/>
  <c r="AX47" i="7"/>
  <c r="AV18" i="7"/>
  <c r="AX18" i="7"/>
  <c r="AX10" i="7"/>
  <c r="AV10" i="7"/>
  <c r="AP59" i="7"/>
  <c r="AN59" i="7"/>
  <c r="AP55" i="7"/>
  <c r="AN55" i="7"/>
  <c r="AP50" i="7"/>
  <c r="AN50" i="7"/>
  <c r="AX80" i="7"/>
  <c r="AV80" i="7"/>
  <c r="AX68" i="7"/>
  <c r="AV68" i="7"/>
  <c r="AX61" i="7"/>
  <c r="AV61" i="7"/>
  <c r="AX46" i="7"/>
  <c r="AV46" i="7"/>
  <c r="AX35" i="7"/>
  <c r="AV35" i="7"/>
  <c r="AX28" i="7"/>
  <c r="AV28" i="7"/>
  <c r="AX77" i="7"/>
  <c r="AV77" i="7"/>
  <c r="AX53" i="7"/>
  <c r="AV53" i="7"/>
  <c r="AX45" i="7"/>
  <c r="AV45" i="7"/>
  <c r="AX34" i="7"/>
  <c r="AV34" i="7"/>
  <c r="AX26" i="7"/>
  <c r="AV26" i="7"/>
  <c r="AX16" i="7"/>
  <c r="AV16" i="7"/>
  <c r="AH55" i="7"/>
  <c r="AF55" i="7"/>
  <c r="AH56" i="7"/>
  <c r="AF56" i="7"/>
  <c r="AH22" i="7"/>
  <c r="AF22" i="7"/>
  <c r="AH30" i="7"/>
  <c r="AF30" i="7"/>
  <c r="AH33" i="7"/>
  <c r="AF33" i="7"/>
  <c r="AH13" i="7"/>
  <c r="AF13" i="7"/>
  <c r="AH68" i="7"/>
  <c r="AF68" i="7"/>
  <c r="AH52" i="7"/>
  <c r="AF52" i="7"/>
  <c r="AH84" i="7"/>
  <c r="AF84" i="7"/>
  <c r="AH63" i="7"/>
  <c r="AF63" i="7"/>
  <c r="AH65" i="7"/>
  <c r="AF65" i="7"/>
  <c r="AH10" i="7"/>
  <c r="AF10" i="7"/>
  <c r="AH64" i="7"/>
  <c r="AF64" i="7"/>
  <c r="AH80" i="7"/>
  <c r="AF80" i="7"/>
  <c r="AH59" i="7"/>
  <c r="AF59" i="7"/>
  <c r="AF29" i="7"/>
  <c r="AH32" i="7"/>
  <c r="AF32" i="7"/>
  <c r="AH31" i="7"/>
  <c r="AF31" i="7"/>
  <c r="AH34" i="7"/>
  <c r="AF34" i="7"/>
  <c r="AH26" i="7"/>
  <c r="AF26" i="7"/>
  <c r="AH77" i="7"/>
  <c r="AF77" i="7"/>
  <c r="AH81" i="7"/>
  <c r="AF81" i="7"/>
  <c r="AH18" i="7"/>
  <c r="AF18" i="7"/>
  <c r="AH72" i="7"/>
  <c r="AF72" i="7"/>
  <c r="BP43" i="4"/>
  <c r="BR43" i="4" s="1"/>
  <c r="AH60" i="7"/>
  <c r="AF60" i="7"/>
  <c r="AH71" i="7"/>
  <c r="AF71" i="7"/>
  <c r="AH25" i="7"/>
  <c r="AF25" i="7"/>
  <c r="AH16" i="7"/>
  <c r="AF16" i="7"/>
  <c r="AH61" i="7"/>
  <c r="AF61" i="7"/>
  <c r="AH62" i="7"/>
  <c r="AF62" i="7"/>
  <c r="AH14" i="7"/>
  <c r="AF14" i="7"/>
  <c r="AH76" i="7"/>
  <c r="AF76" i="7"/>
  <c r="AH9" i="7"/>
  <c r="AF9" i="7"/>
  <c r="AH50" i="7"/>
  <c r="AF50" i="7"/>
  <c r="BA51" i="7"/>
  <c r="BB51" i="7"/>
  <c r="BI25" i="5"/>
  <c r="BE27" i="7"/>
  <c r="BE31" i="5"/>
  <c r="BA8" i="7"/>
  <c r="Q25" i="5"/>
  <c r="Y53" i="5"/>
  <c r="E25" i="5"/>
  <c r="E25" i="4"/>
  <c r="AH40" i="7"/>
  <c r="AF40" i="7"/>
  <c r="AP43" i="7"/>
  <c r="AN43" i="7"/>
  <c r="AP42" i="7"/>
  <c r="AN42" i="7"/>
  <c r="BB39" i="7"/>
  <c r="AZ39" i="7"/>
  <c r="BB43" i="7"/>
  <c r="AZ43" i="7"/>
  <c r="BB42" i="7"/>
  <c r="AZ42" i="7"/>
  <c r="BB48" i="7"/>
  <c r="AZ48" i="7"/>
  <c r="BB46" i="7"/>
  <c r="AZ46" i="7"/>
  <c r="BB47" i="7"/>
  <c r="AZ47" i="7"/>
  <c r="AF44" i="7"/>
  <c r="AH45" i="7"/>
  <c r="AF45" i="7"/>
  <c r="AH48" i="7"/>
  <c r="AF48" i="7"/>
  <c r="AH46" i="7"/>
  <c r="AF46" i="7"/>
  <c r="AP48" i="7"/>
  <c r="AN48" i="7"/>
  <c r="AP46" i="7"/>
  <c r="AN46" i="7"/>
  <c r="AL47" i="7"/>
  <c r="AJ47" i="7"/>
  <c r="X23" i="5"/>
  <c r="X33" i="5"/>
  <c r="BL33" i="5" s="1"/>
  <c r="BL67" i="5"/>
  <c r="BN67" i="5" s="1"/>
  <c r="BL59" i="5"/>
  <c r="BN59" i="5" s="1"/>
  <c r="BL17" i="5"/>
  <c r="BN17" i="5" s="1"/>
  <c r="BL62" i="5"/>
  <c r="BN62" i="5" s="1"/>
  <c r="BL79" i="5"/>
  <c r="BN79" i="5" s="1"/>
  <c r="BL72" i="5"/>
  <c r="BN72" i="5" s="1"/>
  <c r="BL65" i="5"/>
  <c r="BN65" i="5" s="1"/>
  <c r="BL57" i="5"/>
  <c r="BN57" i="5" s="1"/>
  <c r="BL49" i="5"/>
  <c r="BN49" i="5" s="1"/>
  <c r="BL43" i="5"/>
  <c r="BL88" i="5"/>
  <c r="BN88" i="5" s="1"/>
  <c r="BL78" i="5"/>
  <c r="BN78" i="5" s="1"/>
  <c r="BL68" i="5"/>
  <c r="BN68" i="5" s="1"/>
  <c r="BL60" i="5"/>
  <c r="BN60" i="5" s="1"/>
  <c r="BL52" i="5"/>
  <c r="BN52" i="5" s="1"/>
  <c r="BL41" i="5"/>
  <c r="BN41" i="5" s="1"/>
  <c r="AN12" i="5"/>
  <c r="AP12" i="5" s="1"/>
  <c r="BL77" i="5"/>
  <c r="BN77" i="5" s="1"/>
  <c r="BL44" i="5"/>
  <c r="BN44" i="5" s="1"/>
  <c r="BL35" i="5"/>
  <c r="BN35" i="5" s="1"/>
  <c r="BL27" i="5"/>
  <c r="BN27" i="5" s="1"/>
  <c r="BL76" i="5"/>
  <c r="BN76" i="5" s="1"/>
  <c r="BL50" i="5"/>
  <c r="BN50" i="5" s="1"/>
  <c r="BL38" i="5"/>
  <c r="BN38" i="5" s="1"/>
  <c r="BL30" i="5"/>
  <c r="BN30" i="5" s="1"/>
  <c r="BL20" i="5"/>
  <c r="BN20" i="5" s="1"/>
  <c r="BL37" i="5"/>
  <c r="BN37" i="5" s="1"/>
  <c r="BL24" i="5"/>
  <c r="BN24" i="5" s="1"/>
  <c r="BL15" i="5"/>
  <c r="BN15" i="5" s="1"/>
  <c r="BL28" i="5"/>
  <c r="BN28" i="5" s="1"/>
  <c r="BL18" i="5"/>
  <c r="BN18" i="5" s="1"/>
  <c r="BL63" i="5"/>
  <c r="BN63" i="5" s="1"/>
  <c r="BL51" i="5"/>
  <c r="BN51" i="5" s="1"/>
  <c r="BL21" i="5"/>
  <c r="BN21" i="5" s="1"/>
  <c r="BL13" i="5"/>
  <c r="BN13" i="5" s="1"/>
  <c r="BL86" i="5"/>
  <c r="BL66" i="5"/>
  <c r="BN66" i="5" s="1"/>
  <c r="BL58" i="5"/>
  <c r="BN58" i="5" s="1"/>
  <c r="BL85" i="5"/>
  <c r="BN85" i="5" s="1"/>
  <c r="BL75" i="5"/>
  <c r="BN75" i="5" s="1"/>
  <c r="BL69" i="5"/>
  <c r="BN69" i="5" s="1"/>
  <c r="BL61" i="5"/>
  <c r="BN61" i="5" s="1"/>
  <c r="BL54" i="5"/>
  <c r="BN54" i="5" s="1"/>
  <c r="BL46" i="5"/>
  <c r="BN46" i="5" s="1"/>
  <c r="BL84" i="5"/>
  <c r="BN84" i="5" s="1"/>
  <c r="BL71" i="5"/>
  <c r="BN71" i="5" s="1"/>
  <c r="BL64" i="5"/>
  <c r="BN64" i="5" s="1"/>
  <c r="BL56" i="5"/>
  <c r="BN56" i="5" s="1"/>
  <c r="BL45" i="5"/>
  <c r="BN45" i="5" s="1"/>
  <c r="BL36" i="5"/>
  <c r="BN36" i="5" s="1"/>
  <c r="BL81" i="5"/>
  <c r="BN81" i="5" s="1"/>
  <c r="BL39" i="5"/>
  <c r="BN39" i="5" s="1"/>
  <c r="BL32" i="5"/>
  <c r="BN32" i="5" s="1"/>
  <c r="BL80" i="5"/>
  <c r="BN80" i="5" s="1"/>
  <c r="BL73" i="5"/>
  <c r="BN73" i="5" s="1"/>
  <c r="BL47" i="5"/>
  <c r="BN47" i="5" s="1"/>
  <c r="BL34" i="5"/>
  <c r="BN34" i="5" s="1"/>
  <c r="BL26" i="5"/>
  <c r="BN26" i="5" s="1"/>
  <c r="BL16" i="5"/>
  <c r="BN16" i="5" s="1"/>
  <c r="BL29" i="5"/>
  <c r="BN29" i="5" s="1"/>
  <c r="BL19" i="5"/>
  <c r="BN19" i="5" s="1"/>
  <c r="BL22" i="5"/>
  <c r="BN22" i="5" s="1"/>
  <c r="BL14" i="5"/>
  <c r="BN14" i="5" s="1"/>
  <c r="L23" i="5"/>
  <c r="BP23" i="4"/>
  <c r="AA25" i="5"/>
  <c r="AQ21" i="7" s="1"/>
  <c r="AQ86" i="7" s="1"/>
  <c r="S25" i="5"/>
  <c r="AQ25" i="5"/>
  <c r="AU25" i="5"/>
  <c r="AV25" i="5" s="1"/>
  <c r="O25" i="5"/>
  <c r="BG25" i="5"/>
  <c r="BC21" i="7" s="1"/>
  <c r="BC86" i="7" s="1"/>
  <c r="AY25" i="5"/>
  <c r="BA83" i="5"/>
  <c r="BB83" i="5" s="1"/>
  <c r="AS25" i="5"/>
  <c r="AW25" i="5"/>
  <c r="AI25" i="5"/>
  <c r="AM25" i="5" s="1"/>
  <c r="AU21" i="7" s="1"/>
  <c r="AU86" i="7" s="1"/>
  <c r="AJ31" i="5"/>
  <c r="AK83" i="5"/>
  <c r="AE87" i="5"/>
  <c r="AG25" i="5"/>
  <c r="AC25" i="5"/>
  <c r="G25" i="5"/>
  <c r="H31" i="5"/>
  <c r="J31" i="5" s="1"/>
  <c r="I83" i="5"/>
  <c r="C25" i="5"/>
  <c r="BK25" i="4"/>
  <c r="BK83" i="4" s="1"/>
  <c r="BG25" i="4"/>
  <c r="AY25" i="4"/>
  <c r="AU87" i="4"/>
  <c r="AU89" i="4" s="1"/>
  <c r="G25" i="4"/>
  <c r="AI89" i="4"/>
  <c r="AJ89" i="4"/>
  <c r="Q89" i="4"/>
  <c r="BM25" i="4"/>
  <c r="AG25" i="4"/>
  <c r="M89" i="4"/>
  <c r="AO83" i="4"/>
  <c r="AC89" i="4"/>
  <c r="Y89" i="4"/>
  <c r="C25" i="4"/>
  <c r="BA25" i="4"/>
  <c r="U89" i="4"/>
  <c r="AS89" i="4"/>
  <c r="K25" i="4"/>
  <c r="AW25" i="4"/>
  <c r="BI89" i="4"/>
  <c r="AK25" i="4"/>
  <c r="BE83" i="4"/>
  <c r="Z74" i="5" l="1"/>
  <c r="AP70" i="7" s="1"/>
  <c r="AV51" i="7"/>
  <c r="AF66" i="7"/>
  <c r="BN25" i="4"/>
  <c r="BM31" i="5"/>
  <c r="N70" i="5"/>
  <c r="AL66" i="7" s="1"/>
  <c r="AD53" i="5"/>
  <c r="AT49" i="7" s="1"/>
  <c r="BF33" i="5"/>
  <c r="BB29" i="7" s="1"/>
  <c r="BL74" i="5"/>
  <c r="BN74" i="5" s="1"/>
  <c r="BN86" i="5"/>
  <c r="AJ44" i="7"/>
  <c r="BF12" i="5"/>
  <c r="BB8" i="7" s="1"/>
  <c r="BN43" i="5"/>
  <c r="Z23" i="5"/>
  <c r="AP19" i="7" s="1"/>
  <c r="BL55" i="5"/>
  <c r="AV66" i="7"/>
  <c r="AN53" i="5"/>
  <c r="AP53" i="5" s="1"/>
  <c r="AX49" i="7" s="1"/>
  <c r="AD23" i="5"/>
  <c r="AT19" i="7" s="1"/>
  <c r="BD27" i="7"/>
  <c r="BL70" i="5"/>
  <c r="BN70" i="5" s="1"/>
  <c r="AV70" i="7"/>
  <c r="AB25" i="5"/>
  <c r="AB83" i="5" s="1"/>
  <c r="AB87" i="5" s="1"/>
  <c r="D25" i="4"/>
  <c r="D83" i="4" s="1"/>
  <c r="D87" i="4" s="1"/>
  <c r="BR86" i="4"/>
  <c r="AH82" i="7" s="1"/>
  <c r="L53" i="5"/>
  <c r="N53" i="5" s="1"/>
  <c r="AL49" i="7" s="1"/>
  <c r="X53" i="5"/>
  <c r="Z53" i="5" s="1"/>
  <c r="AP49" i="7" s="1"/>
  <c r="BL48" i="5"/>
  <c r="BN48" i="5" s="1"/>
  <c r="V25" i="5"/>
  <c r="AE83" i="4"/>
  <c r="AE87" i="4" s="1"/>
  <c r="AE89" i="4" s="1"/>
  <c r="AF25" i="4"/>
  <c r="AF83" i="4" s="1"/>
  <c r="AF87" i="4" s="1"/>
  <c r="AF89" i="4" s="1"/>
  <c r="AQ83" i="4"/>
  <c r="AR25" i="4"/>
  <c r="AT25" i="4" s="1"/>
  <c r="T83" i="5"/>
  <c r="T87" i="5" s="1"/>
  <c r="W25" i="5"/>
  <c r="AM21" i="7" s="1"/>
  <c r="K25" i="5"/>
  <c r="AI21" i="7" s="1"/>
  <c r="S83" i="5"/>
  <c r="S87" i="5" s="1"/>
  <c r="S83" i="4"/>
  <c r="S87" i="4" s="1"/>
  <c r="S89" i="4" s="1"/>
  <c r="T25" i="4"/>
  <c r="BO25" i="4"/>
  <c r="AE21" i="7" s="1"/>
  <c r="AA83" i="4"/>
  <c r="AB25" i="4"/>
  <c r="AD25" i="4" s="1"/>
  <c r="AH53" i="5"/>
  <c r="J53" i="4"/>
  <c r="BM23" i="5"/>
  <c r="AJ25" i="5"/>
  <c r="AL31" i="5"/>
  <c r="AX25" i="5"/>
  <c r="BN33" i="5"/>
  <c r="BD31" i="5"/>
  <c r="AZ27" i="7" s="1"/>
  <c r="AT31" i="5"/>
  <c r="BN55" i="5"/>
  <c r="F53" i="5"/>
  <c r="AP48" i="5"/>
  <c r="AX44" i="7" s="1"/>
  <c r="BD53" i="5"/>
  <c r="AT53" i="5"/>
  <c r="Z33" i="5"/>
  <c r="AP29" i="7" s="1"/>
  <c r="Z48" i="5"/>
  <c r="AP44" i="7" s="1"/>
  <c r="Z70" i="5"/>
  <c r="AP66" i="7" s="1"/>
  <c r="AD31" i="5"/>
  <c r="AT27" i="7" s="1"/>
  <c r="W83" i="4"/>
  <c r="W87" i="4" s="1"/>
  <c r="W89" i="4" s="1"/>
  <c r="X25" i="4"/>
  <c r="F53" i="4"/>
  <c r="AM83" i="4"/>
  <c r="AN25" i="4"/>
  <c r="AP25" i="4" s="1"/>
  <c r="BC83" i="4"/>
  <c r="BD25" i="4"/>
  <c r="BF25" i="4" s="1"/>
  <c r="BR74" i="4"/>
  <c r="AH70" i="7" s="1"/>
  <c r="BH83" i="4"/>
  <c r="BJ25" i="4"/>
  <c r="L83" i="4"/>
  <c r="N25" i="4"/>
  <c r="BE21" i="7"/>
  <c r="BE86" i="7" s="1"/>
  <c r="AW49" i="7"/>
  <c r="AO25" i="5"/>
  <c r="AH25" i="5"/>
  <c r="AW19" i="7"/>
  <c r="AP23" i="5"/>
  <c r="AX19" i="7" s="1"/>
  <c r="AS21" i="7"/>
  <c r="AS86" i="7" s="1"/>
  <c r="U87" i="5"/>
  <c r="AO49" i="7"/>
  <c r="Y25" i="5"/>
  <c r="AK49" i="7"/>
  <c r="E83" i="5"/>
  <c r="AK19" i="7"/>
  <c r="N23" i="5"/>
  <c r="AL19" i="7" s="1"/>
  <c r="BR23" i="4"/>
  <c r="AH19" i="7" s="1"/>
  <c r="I83" i="4"/>
  <c r="J25" i="4"/>
  <c r="AG27" i="7"/>
  <c r="P25" i="5"/>
  <c r="X25" i="5" s="1"/>
  <c r="AV25" i="4"/>
  <c r="AV83" i="4" s="1"/>
  <c r="AV87" i="4" s="1"/>
  <c r="AV89" i="4" s="1"/>
  <c r="X31" i="5"/>
  <c r="AV44" i="7"/>
  <c r="BH25" i="5"/>
  <c r="BH83" i="5" s="1"/>
  <c r="BH87" i="5" s="1"/>
  <c r="BD23" i="5"/>
  <c r="BL23" i="5" s="1"/>
  <c r="AY49" i="7"/>
  <c r="BK53" i="5"/>
  <c r="BC25" i="5"/>
  <c r="AR25" i="5"/>
  <c r="BD25" i="5" s="1"/>
  <c r="AZ21" i="7" s="1"/>
  <c r="AZ86" i="7" s="1"/>
  <c r="AY27" i="7"/>
  <c r="BK31" i="5"/>
  <c r="AY19" i="7"/>
  <c r="BK23" i="5"/>
  <c r="D25" i="5"/>
  <c r="D83" i="5" s="1"/>
  <c r="D87" i="5" s="1"/>
  <c r="BD49" i="7"/>
  <c r="P83" i="4"/>
  <c r="R83" i="4" s="1"/>
  <c r="AR27" i="7"/>
  <c r="Q83" i="5"/>
  <c r="BM53" i="5"/>
  <c r="BI83" i="5"/>
  <c r="AJ19" i="7"/>
  <c r="AX8" i="7"/>
  <c r="AV8" i="7"/>
  <c r="AN29" i="7"/>
  <c r="BD19" i="7"/>
  <c r="BF19" i="7"/>
  <c r="AF39" i="7"/>
  <c r="AH39" i="7"/>
  <c r="BA27" i="7"/>
  <c r="BE25" i="5"/>
  <c r="M25" i="5"/>
  <c r="E83" i="4"/>
  <c r="BQ25" i="4"/>
  <c r="AF19" i="7"/>
  <c r="AN19" i="7"/>
  <c r="AN31" i="5"/>
  <c r="AP31" i="5" s="1"/>
  <c r="BF27" i="7"/>
  <c r="L31" i="5"/>
  <c r="N31" i="5" s="1"/>
  <c r="BP53" i="4"/>
  <c r="BR53" i="4" s="1"/>
  <c r="BP31" i="4"/>
  <c r="BR31" i="4" s="1"/>
  <c r="AA83" i="5"/>
  <c r="AA87" i="5" s="1"/>
  <c r="AQ83" i="7" s="1"/>
  <c r="AQ83" i="5"/>
  <c r="AU83" i="5"/>
  <c r="AV83" i="5" s="1"/>
  <c r="O83" i="5"/>
  <c r="BG83" i="5"/>
  <c r="BC79" i="7" s="1"/>
  <c r="AY83" i="5"/>
  <c r="BA87" i="5"/>
  <c r="BB87" i="5" s="1"/>
  <c r="AW83" i="5"/>
  <c r="AS83" i="5"/>
  <c r="AI83" i="5"/>
  <c r="AM83" i="5" s="1"/>
  <c r="AU79" i="7" s="1"/>
  <c r="AK87" i="5"/>
  <c r="AC83" i="5"/>
  <c r="AG83" i="5"/>
  <c r="AF89" i="5"/>
  <c r="AE89" i="5"/>
  <c r="G83" i="5"/>
  <c r="H25" i="5"/>
  <c r="J25" i="5" s="1"/>
  <c r="I87" i="5"/>
  <c r="C83" i="5"/>
  <c r="BK87" i="4"/>
  <c r="BG83" i="4"/>
  <c r="AY83" i="4"/>
  <c r="AZ25" i="4"/>
  <c r="BB25" i="4" s="1"/>
  <c r="G83" i="4"/>
  <c r="AK83" i="4"/>
  <c r="AW83" i="4"/>
  <c r="BA83" i="4"/>
  <c r="AG83" i="4"/>
  <c r="BE87" i="4"/>
  <c r="AO87" i="4"/>
  <c r="K83" i="4"/>
  <c r="C83" i="4"/>
  <c r="BM83" i="4"/>
  <c r="BN83" i="4" s="1"/>
  <c r="AV49" i="7" l="1"/>
  <c r="F25" i="4"/>
  <c r="AD25" i="5"/>
  <c r="AT21" i="7" s="1"/>
  <c r="AT86" i="7" s="1"/>
  <c r="AN49" i="7"/>
  <c r="AJ49" i="7"/>
  <c r="AR21" i="7"/>
  <c r="AR86" i="7" s="1"/>
  <c r="V83" i="5"/>
  <c r="F83" i="4"/>
  <c r="AH83" i="4"/>
  <c r="K83" i="5"/>
  <c r="AI79" i="7" s="1"/>
  <c r="AX83" i="5"/>
  <c r="AH25" i="4"/>
  <c r="AR83" i="4"/>
  <c r="AQ87" i="4"/>
  <c r="AX83" i="4"/>
  <c r="W83" i="5"/>
  <c r="AM79" i="7" s="1"/>
  <c r="AR79" i="7"/>
  <c r="AQ79" i="7"/>
  <c r="AT25" i="5"/>
  <c r="V25" i="4"/>
  <c r="T83" i="4"/>
  <c r="AB83" i="4"/>
  <c r="AD83" i="4" s="1"/>
  <c r="AA87" i="4"/>
  <c r="BN23" i="5"/>
  <c r="R25" i="5"/>
  <c r="F25" i="5"/>
  <c r="BF25" i="5"/>
  <c r="BB21" i="7" s="1"/>
  <c r="BB86" i="7" s="1"/>
  <c r="F83" i="5"/>
  <c r="AZ49" i="7"/>
  <c r="BF53" i="5"/>
  <c r="BB49" i="7" s="1"/>
  <c r="BL53" i="5"/>
  <c r="BN53" i="5" s="1"/>
  <c r="BJ25" i="5"/>
  <c r="BF21" i="7" s="1"/>
  <c r="BF86" i="7" s="1"/>
  <c r="AJ83" i="5"/>
  <c r="AL25" i="5"/>
  <c r="AZ19" i="7"/>
  <c r="BF23" i="5"/>
  <c r="BB19" i="7" s="1"/>
  <c r="Z31" i="5"/>
  <c r="AP27" i="7" s="1"/>
  <c r="BF31" i="5"/>
  <c r="BB27" i="7" s="1"/>
  <c r="BD83" i="4"/>
  <c r="BF83" i="4" s="1"/>
  <c r="BC87" i="4"/>
  <c r="AN83" i="4"/>
  <c r="AM87" i="4"/>
  <c r="Z25" i="4"/>
  <c r="X83" i="4"/>
  <c r="BO83" i="4"/>
  <c r="AE79" i="7" s="1"/>
  <c r="AX25" i="4"/>
  <c r="BH87" i="4"/>
  <c r="BJ87" i="4" s="1"/>
  <c r="BJ83" i="4"/>
  <c r="L87" i="4"/>
  <c r="N87" i="4" s="1"/>
  <c r="N83" i="4"/>
  <c r="BE79" i="7"/>
  <c r="BJ83" i="5"/>
  <c r="AO83" i="5"/>
  <c r="AH83" i="5"/>
  <c r="AW21" i="7"/>
  <c r="AW86" i="7" s="1"/>
  <c r="AS79" i="7"/>
  <c r="AD83" i="5"/>
  <c r="AT79" i="7" s="1"/>
  <c r="V87" i="5"/>
  <c r="U89" i="5"/>
  <c r="Y83" i="5"/>
  <c r="AO21" i="7"/>
  <c r="Z25" i="5"/>
  <c r="AP21" i="7" s="1"/>
  <c r="E87" i="5"/>
  <c r="F87" i="5" s="1"/>
  <c r="M83" i="5"/>
  <c r="AK79" i="7" s="1"/>
  <c r="AK21" i="7"/>
  <c r="J83" i="4"/>
  <c r="I87" i="4"/>
  <c r="AG21" i="7"/>
  <c r="AN27" i="7"/>
  <c r="P83" i="5"/>
  <c r="P87" i="5" s="1"/>
  <c r="X87" i="5" s="1"/>
  <c r="BI87" i="5"/>
  <c r="BI89" i="5" s="1"/>
  <c r="BD21" i="7"/>
  <c r="BD86" i="7" s="1"/>
  <c r="Q87" i="5"/>
  <c r="Q89" i="5" s="1"/>
  <c r="BC83" i="5"/>
  <c r="AR83" i="5"/>
  <c r="BD83" i="5" s="1"/>
  <c r="AZ79" i="7" s="1"/>
  <c r="AY21" i="7"/>
  <c r="AY86" i="7" s="1"/>
  <c r="BK25" i="5"/>
  <c r="AZ83" i="4"/>
  <c r="AZ87" i="4" s="1"/>
  <c r="P87" i="4"/>
  <c r="R87" i="4" s="1"/>
  <c r="BM25" i="5"/>
  <c r="AL27" i="7"/>
  <c r="AJ27" i="7"/>
  <c r="AX27" i="7"/>
  <c r="AV27" i="7"/>
  <c r="AN21" i="7"/>
  <c r="BL31" i="5"/>
  <c r="BN31" i="5" s="1"/>
  <c r="AB89" i="5"/>
  <c r="AR85" i="7" s="1"/>
  <c r="AR83" i="7"/>
  <c r="AH27" i="7"/>
  <c r="AF27" i="7"/>
  <c r="AH49" i="7"/>
  <c r="AF49" i="7"/>
  <c r="BA21" i="7"/>
  <c r="BA86" i="7" s="1"/>
  <c r="BE83" i="5"/>
  <c r="BQ83" i="4"/>
  <c r="E87" i="4"/>
  <c r="F87" i="4" s="1"/>
  <c r="AN25" i="5"/>
  <c r="AP25" i="5" s="1"/>
  <c r="L25" i="5"/>
  <c r="N25" i="5" s="1"/>
  <c r="BP25" i="4"/>
  <c r="BR25" i="4" s="1"/>
  <c r="AA89" i="5"/>
  <c r="AQ85" i="7" s="1"/>
  <c r="AQ87" i="5"/>
  <c r="O87" i="5"/>
  <c r="W87" i="5" s="1"/>
  <c r="AM83" i="7" s="1"/>
  <c r="AU87" i="5"/>
  <c r="AV87" i="5" s="1"/>
  <c r="BD79" i="7"/>
  <c r="BG87" i="5"/>
  <c r="BC83" i="7" s="1"/>
  <c r="AY87" i="5"/>
  <c r="BA89" i="5"/>
  <c r="AS87" i="5"/>
  <c r="AW87" i="5"/>
  <c r="AI87" i="5"/>
  <c r="AM87" i="5" s="1"/>
  <c r="AU83" i="7" s="1"/>
  <c r="AK89" i="5"/>
  <c r="S89" i="5"/>
  <c r="AG87" i="5"/>
  <c r="AC87" i="5"/>
  <c r="H83" i="5"/>
  <c r="G87" i="5"/>
  <c r="I89" i="5"/>
  <c r="C87" i="5"/>
  <c r="BK89" i="4"/>
  <c r="BG87" i="4"/>
  <c r="AY87" i="4"/>
  <c r="G87" i="4"/>
  <c r="BE89" i="4"/>
  <c r="AW87" i="4"/>
  <c r="AX87" i="4" s="1"/>
  <c r="K87" i="4"/>
  <c r="AO89" i="4"/>
  <c r="C87" i="4"/>
  <c r="BA87" i="4"/>
  <c r="AK87" i="4"/>
  <c r="AL87" i="4" s="1"/>
  <c r="BM87" i="4"/>
  <c r="BN87" i="4" s="1"/>
  <c r="AG87" i="4"/>
  <c r="AH87" i="4" s="1"/>
  <c r="J83" i="5" l="1"/>
  <c r="H87" i="5"/>
  <c r="AP83" i="4"/>
  <c r="AN87" i="4"/>
  <c r="AT83" i="4"/>
  <c r="AR87" i="4"/>
  <c r="AQ89" i="4"/>
  <c r="AX87" i="5"/>
  <c r="K87" i="5"/>
  <c r="AI83" i="7" s="1"/>
  <c r="V83" i="4"/>
  <c r="T87" i="4"/>
  <c r="AA89" i="4"/>
  <c r="AB87" i="4"/>
  <c r="BO87" i="4"/>
  <c r="AE83" i="7" s="1"/>
  <c r="BF83" i="5"/>
  <c r="BB79" i="7" s="1"/>
  <c r="R83" i="5"/>
  <c r="P89" i="5"/>
  <c r="R89" i="5" s="1"/>
  <c r="X83" i="5"/>
  <c r="Z83" i="5" s="1"/>
  <c r="AP79" i="7" s="1"/>
  <c r="BB87" i="4"/>
  <c r="E89" i="5"/>
  <c r="M89" i="5" s="1"/>
  <c r="AT83" i="5"/>
  <c r="AJ87" i="5"/>
  <c r="AL87" i="5" s="1"/>
  <c r="AL83" i="5"/>
  <c r="BC89" i="4"/>
  <c r="BD87" i="4"/>
  <c r="Z83" i="4"/>
  <c r="X87" i="4"/>
  <c r="AM89" i="4"/>
  <c r="BB83" i="4"/>
  <c r="M87" i="5"/>
  <c r="AK83" i="7" s="1"/>
  <c r="BE83" i="7"/>
  <c r="BJ87" i="5"/>
  <c r="BE85" i="7"/>
  <c r="AO87" i="5"/>
  <c r="AH87" i="5"/>
  <c r="AW79" i="7"/>
  <c r="AS83" i="7"/>
  <c r="AD87" i="5"/>
  <c r="AT83" i="7" s="1"/>
  <c r="Y87" i="5"/>
  <c r="R87" i="5"/>
  <c r="AO79" i="7"/>
  <c r="Y89" i="5"/>
  <c r="J87" i="4"/>
  <c r="I89" i="4"/>
  <c r="AG79" i="7"/>
  <c r="BC87" i="5"/>
  <c r="AR87" i="5"/>
  <c r="BD87" i="5" s="1"/>
  <c r="AZ83" i="7" s="1"/>
  <c r="AY79" i="7"/>
  <c r="BK83" i="5"/>
  <c r="P89" i="4"/>
  <c r="R89" i="4" s="1"/>
  <c r="BL25" i="5"/>
  <c r="BN25" i="5" s="1"/>
  <c r="AL21" i="7"/>
  <c r="AJ21" i="7"/>
  <c r="AX21" i="7"/>
  <c r="AX86" i="7" s="1"/>
  <c r="AV21" i="7"/>
  <c r="AV86" i="7" s="1"/>
  <c r="AH21" i="7"/>
  <c r="AF21" i="7"/>
  <c r="BA79" i="7"/>
  <c r="BM83" i="5"/>
  <c r="BE87" i="5"/>
  <c r="BQ87" i="4"/>
  <c r="E89" i="4"/>
  <c r="AN83" i="7"/>
  <c r="AN83" i="5"/>
  <c r="AP83" i="5" s="1"/>
  <c r="BF79" i="7"/>
  <c r="L83" i="5"/>
  <c r="N83" i="5" s="1"/>
  <c r="BL89" i="4"/>
  <c r="BP83" i="4"/>
  <c r="BR83" i="4" s="1"/>
  <c r="O89" i="5"/>
  <c r="W89" i="5" s="1"/>
  <c r="AM85" i="7" s="1"/>
  <c r="AQ89" i="5"/>
  <c r="AU89" i="5"/>
  <c r="AV89" i="5"/>
  <c r="BG89" i="5"/>
  <c r="BC85" i="7" s="1"/>
  <c r="AY89" i="5"/>
  <c r="AS89" i="5"/>
  <c r="AW89" i="5"/>
  <c r="AX89" i="5" s="1"/>
  <c r="AI89" i="5"/>
  <c r="AM89" i="5" s="1"/>
  <c r="AU85" i="7" s="1"/>
  <c r="T89" i="5"/>
  <c r="V89" i="5" s="1"/>
  <c r="AG89" i="5"/>
  <c r="AH89" i="5" s="1"/>
  <c r="AC89" i="5"/>
  <c r="AD89" i="5" s="1"/>
  <c r="G89" i="5"/>
  <c r="C89" i="5"/>
  <c r="BG89" i="4"/>
  <c r="AZ89" i="4"/>
  <c r="AY89" i="4"/>
  <c r="G89" i="4"/>
  <c r="BM89" i="4"/>
  <c r="BA89" i="4"/>
  <c r="AW89" i="4"/>
  <c r="AX89" i="4" s="1"/>
  <c r="AG89" i="4"/>
  <c r="AH89" i="4" s="1"/>
  <c r="AK89" i="4"/>
  <c r="AL89" i="4" s="1"/>
  <c r="C89" i="4"/>
  <c r="K89" i="4"/>
  <c r="BB89" i="4" l="1"/>
  <c r="AR89" i="4"/>
  <c r="AT89" i="4" s="1"/>
  <c r="AT87" i="4"/>
  <c r="K89" i="5"/>
  <c r="AI85" i="7" s="1"/>
  <c r="V87" i="4"/>
  <c r="T89" i="4"/>
  <c r="V89" i="4" s="1"/>
  <c r="AB89" i="4"/>
  <c r="AD89" i="4" s="1"/>
  <c r="AD87" i="4"/>
  <c r="AN79" i="7"/>
  <c r="L87" i="5"/>
  <c r="AJ83" i="7" s="1"/>
  <c r="J87" i="5"/>
  <c r="AN87" i="5"/>
  <c r="AP87" i="5" s="1"/>
  <c r="AX83" i="7" s="1"/>
  <c r="BF87" i="5"/>
  <c r="BB83" i="7" s="1"/>
  <c r="AT87" i="5"/>
  <c r="AN89" i="4"/>
  <c r="AP89" i="4" s="1"/>
  <c r="AP87" i="4"/>
  <c r="BD89" i="4"/>
  <c r="BF89" i="4" s="1"/>
  <c r="BF87" i="4"/>
  <c r="BN89" i="4"/>
  <c r="BO89" i="4"/>
  <c r="AE85" i="7" s="1"/>
  <c r="X89" i="4"/>
  <c r="Z89" i="4" s="1"/>
  <c r="Z87" i="4"/>
  <c r="AW83" i="7"/>
  <c r="AO83" i="7"/>
  <c r="Z87" i="5"/>
  <c r="AP83" i="7" s="1"/>
  <c r="AO85" i="7"/>
  <c r="AG83" i="7"/>
  <c r="BC89" i="5"/>
  <c r="AR89" i="5"/>
  <c r="AT89" i="5" s="1"/>
  <c r="AY83" i="7"/>
  <c r="BK87" i="5"/>
  <c r="AY85" i="7"/>
  <c r="BD83" i="7"/>
  <c r="AL79" i="7"/>
  <c r="AJ79" i="7"/>
  <c r="AX79" i="7"/>
  <c r="AV79" i="7"/>
  <c r="BP87" i="4"/>
  <c r="AF83" i="7" s="1"/>
  <c r="AH79" i="7"/>
  <c r="AF79" i="7"/>
  <c r="BA83" i="7"/>
  <c r="BM87" i="5"/>
  <c r="BE89" i="5"/>
  <c r="AO89" i="5"/>
  <c r="AT85" i="7"/>
  <c r="AS85" i="7"/>
  <c r="AK85" i="7"/>
  <c r="BQ89" i="4"/>
  <c r="X89" i="5"/>
  <c r="Z89" i="5" s="1"/>
  <c r="BL83" i="5"/>
  <c r="BN83" i="5" s="1"/>
  <c r="BH89" i="5"/>
  <c r="BF83" i="7"/>
  <c r="AZ89" i="5"/>
  <c r="BB89" i="5" s="1"/>
  <c r="AJ89" i="5"/>
  <c r="AL89" i="5" s="1"/>
  <c r="H89" i="5"/>
  <c r="J89" i="5" s="1"/>
  <c r="D89" i="5"/>
  <c r="F89" i="5" s="1"/>
  <c r="BH89" i="4"/>
  <c r="BJ89" i="4" s="1"/>
  <c r="H89" i="4"/>
  <c r="J89" i="4" s="1"/>
  <c r="L89" i="4"/>
  <c r="N89" i="4" s="1"/>
  <c r="D89" i="4"/>
  <c r="F89" i="4" s="1"/>
  <c r="BK89" i="5" l="1"/>
  <c r="N87" i="5"/>
  <c r="AL83" i="7" s="1"/>
  <c r="BL87" i="5"/>
  <c r="BN87" i="5" s="1"/>
  <c r="AV83" i="7"/>
  <c r="BD85" i="7"/>
  <c r="BJ89" i="5"/>
  <c r="BF85" i="7" s="1"/>
  <c r="BR87" i="4"/>
  <c r="AH83" i="7" s="1"/>
  <c r="AW85" i="7"/>
  <c r="AG85" i="7"/>
  <c r="BA85" i="7"/>
  <c r="BM89" i="5"/>
  <c r="AP85" i="7"/>
  <c r="AN85" i="7"/>
  <c r="L89" i="5"/>
  <c r="N89" i="5" s="1"/>
  <c r="AN89" i="5"/>
  <c r="AP89" i="5" s="1"/>
  <c r="BD89" i="5"/>
  <c r="AZ85" i="7" s="1"/>
  <c r="BP89" i="4"/>
  <c r="BR89" i="4" s="1"/>
  <c r="BK88" i="3"/>
  <c r="AA84" i="7" s="1"/>
  <c r="BK85" i="3"/>
  <c r="AA81" i="7" s="1"/>
  <c r="BK84" i="3"/>
  <c r="AA80" i="7" s="1"/>
  <c r="BK81" i="3"/>
  <c r="AA77" i="7" s="1"/>
  <c r="BK80" i="3"/>
  <c r="AA76" i="7" s="1"/>
  <c r="BK79" i="3"/>
  <c r="AA75" i="7" s="1"/>
  <c r="BK78" i="3"/>
  <c r="AA74" i="7" s="1"/>
  <c r="BK77" i="3"/>
  <c r="AA73" i="7" s="1"/>
  <c r="BK76" i="3"/>
  <c r="AA72" i="7" s="1"/>
  <c r="BK75" i="3"/>
  <c r="AA71" i="7" s="1"/>
  <c r="BK73" i="3"/>
  <c r="AA69" i="7" s="1"/>
  <c r="BK72" i="3"/>
  <c r="AA68" i="7" s="1"/>
  <c r="BK71" i="3"/>
  <c r="AA67" i="7" s="1"/>
  <c r="BK69" i="3"/>
  <c r="AA65" i="7" s="1"/>
  <c r="BK68" i="3"/>
  <c r="AA64" i="7" s="1"/>
  <c r="BK67" i="3"/>
  <c r="AA63" i="7" s="1"/>
  <c r="BK66" i="3"/>
  <c r="AA62" i="7" s="1"/>
  <c r="BK65" i="3"/>
  <c r="AA61" i="7" s="1"/>
  <c r="BK64" i="3"/>
  <c r="AA60" i="7" s="1"/>
  <c r="BK63" i="3"/>
  <c r="AA59" i="7" s="1"/>
  <c r="BK62" i="3"/>
  <c r="AA58" i="7" s="1"/>
  <c r="BK61" i="3"/>
  <c r="AA57" i="7" s="1"/>
  <c r="BK60" i="3"/>
  <c r="AA56" i="7" s="1"/>
  <c r="BK59" i="3"/>
  <c r="AA55" i="7" s="1"/>
  <c r="BK58" i="3"/>
  <c r="AA54" i="7" s="1"/>
  <c r="BK57" i="3"/>
  <c r="AA53" i="7" s="1"/>
  <c r="BK56" i="3"/>
  <c r="AA52" i="7" s="1"/>
  <c r="BK54" i="3"/>
  <c r="AA50" i="7" s="1"/>
  <c r="BK52" i="3"/>
  <c r="AA48" i="7" s="1"/>
  <c r="BK51" i="3"/>
  <c r="AA47" i="7" s="1"/>
  <c r="BK50" i="3"/>
  <c r="AA46" i="7" s="1"/>
  <c r="BK49" i="3"/>
  <c r="AA45" i="7" s="1"/>
  <c r="BK47" i="3"/>
  <c r="AA43" i="7" s="1"/>
  <c r="BK46" i="3"/>
  <c r="AA42" i="7" s="1"/>
  <c r="BK45" i="3"/>
  <c r="AA41" i="7" s="1"/>
  <c r="BK44" i="3"/>
  <c r="AA40" i="7" s="1"/>
  <c r="BK41" i="3"/>
  <c r="AA37" i="7" s="1"/>
  <c r="BK39" i="3"/>
  <c r="AA35" i="7" s="1"/>
  <c r="BK38" i="3"/>
  <c r="AA34" i="7" s="1"/>
  <c r="BK37" i="3"/>
  <c r="AA33" i="7" s="1"/>
  <c r="BK36" i="3"/>
  <c r="AA32" i="7" s="1"/>
  <c r="BK35" i="3"/>
  <c r="AA31" i="7" s="1"/>
  <c r="BK34" i="3"/>
  <c r="AA30" i="7" s="1"/>
  <c r="BK32" i="3"/>
  <c r="AA28" i="7" s="1"/>
  <c r="BK30" i="3"/>
  <c r="AA26" i="7" s="1"/>
  <c r="BK29" i="3"/>
  <c r="AA25" i="7" s="1"/>
  <c r="BK28" i="3"/>
  <c r="AA24" i="7" s="1"/>
  <c r="BK27" i="3"/>
  <c r="AA23" i="7" s="1"/>
  <c r="BK26" i="3"/>
  <c r="AA22" i="7" s="1"/>
  <c r="BK24" i="3"/>
  <c r="AA20" i="7" s="1"/>
  <c r="BK22" i="3"/>
  <c r="AA18" i="7" s="1"/>
  <c r="BK21" i="3"/>
  <c r="AA17" i="7" s="1"/>
  <c r="BK20" i="3"/>
  <c r="AA16" i="7" s="1"/>
  <c r="BK19" i="3"/>
  <c r="AA15" i="7" s="1"/>
  <c r="BK18" i="3"/>
  <c r="AA14" i="7" s="1"/>
  <c r="BK17" i="3"/>
  <c r="AA13" i="7" s="1"/>
  <c r="BK16" i="3"/>
  <c r="AA12" i="7" s="1"/>
  <c r="BK15" i="3"/>
  <c r="AA11" i="7" s="1"/>
  <c r="BK14" i="3"/>
  <c r="AA10" i="7" s="1"/>
  <c r="BK13" i="3"/>
  <c r="AA9" i="7" s="1"/>
  <c r="BF89" i="5" l="1"/>
  <c r="BB85" i="7" s="1"/>
  <c r="BL89" i="5"/>
  <c r="BN89" i="5" s="1"/>
  <c r="AL85" i="7"/>
  <c r="AJ85" i="7"/>
  <c r="AX85" i="7"/>
  <c r="AV85" i="7"/>
  <c r="AH85" i="7"/>
  <c r="AF85" i="7"/>
  <c r="AW88" i="3"/>
  <c r="U84" i="7" s="1"/>
  <c r="AW85" i="3"/>
  <c r="U81" i="7" s="1"/>
  <c r="AW84" i="3"/>
  <c r="U80" i="7" s="1"/>
  <c r="AW81" i="3"/>
  <c r="U77" i="7" s="1"/>
  <c r="AW80" i="3"/>
  <c r="U76" i="7" s="1"/>
  <c r="AW79" i="3"/>
  <c r="U75" i="7" s="1"/>
  <c r="AW78" i="3"/>
  <c r="U74" i="7" s="1"/>
  <c r="AW77" i="3"/>
  <c r="AW76" i="3"/>
  <c r="AW75" i="3"/>
  <c r="AW73" i="3"/>
  <c r="AW72" i="3"/>
  <c r="AW71" i="3"/>
  <c r="AW69" i="3"/>
  <c r="AW68" i="3"/>
  <c r="AW67" i="3"/>
  <c r="AW66" i="3"/>
  <c r="AW65" i="3"/>
  <c r="AW64" i="3"/>
  <c r="AW63" i="3"/>
  <c r="AW62" i="3"/>
  <c r="AW61" i="3"/>
  <c r="AW60" i="3"/>
  <c r="AW59" i="3"/>
  <c r="AW58" i="3"/>
  <c r="AW57" i="3"/>
  <c r="AW56" i="3"/>
  <c r="AW54" i="3"/>
  <c r="AW52" i="3"/>
  <c r="U48" i="7" s="1"/>
  <c r="AW51" i="3"/>
  <c r="AW50" i="3"/>
  <c r="AW49" i="3"/>
  <c r="AW47" i="3"/>
  <c r="AW46" i="3"/>
  <c r="AW45" i="3"/>
  <c r="AW44" i="3"/>
  <c r="U40" i="7" s="1"/>
  <c r="AW41" i="3"/>
  <c r="AW39" i="3"/>
  <c r="AW38" i="3"/>
  <c r="AW37" i="3"/>
  <c r="AW36" i="3"/>
  <c r="AW35" i="3"/>
  <c r="AW34" i="3"/>
  <c r="AW32" i="3"/>
  <c r="AW30" i="3"/>
  <c r="U26" i="7" s="1"/>
  <c r="AW29" i="3"/>
  <c r="U25" i="7" s="1"/>
  <c r="AW28" i="3"/>
  <c r="U24" i="7" s="1"/>
  <c r="AW27" i="3"/>
  <c r="U23" i="7" s="1"/>
  <c r="AW26" i="3"/>
  <c r="U22" i="7" s="1"/>
  <c r="AW24" i="3"/>
  <c r="U20" i="7" s="1"/>
  <c r="AW22" i="3"/>
  <c r="AW21" i="3"/>
  <c r="AW20" i="3"/>
  <c r="AW19" i="3"/>
  <c r="U15" i="7" s="1"/>
  <c r="AW18" i="3"/>
  <c r="AW17" i="3"/>
  <c r="AW16" i="3"/>
  <c r="AW15" i="3"/>
  <c r="AW14" i="3"/>
  <c r="U10" i="7" s="1"/>
  <c r="AW13" i="3"/>
  <c r="U9" i="7" s="1"/>
  <c r="AV83" i="3"/>
  <c r="T79" i="7" s="1"/>
  <c r="AV73" i="3"/>
  <c r="AV72" i="3"/>
  <c r="AV71" i="3"/>
  <c r="AV70" i="3"/>
  <c r="AV69" i="3"/>
  <c r="AV68" i="3"/>
  <c r="AV67" i="3"/>
  <c r="AV66" i="3"/>
  <c r="AV65" i="3"/>
  <c r="AV64" i="3"/>
  <c r="AV63" i="3"/>
  <c r="AV62" i="3"/>
  <c r="AV61" i="3"/>
  <c r="AV60" i="3"/>
  <c r="AV59" i="3"/>
  <c r="AV58" i="3"/>
  <c r="AV57" i="3"/>
  <c r="AV56" i="3"/>
  <c r="AV55" i="3"/>
  <c r="AV54" i="3"/>
  <c r="AV53" i="3"/>
  <c r="AV41" i="3"/>
  <c r="AV39" i="3"/>
  <c r="T35" i="7" s="1"/>
  <c r="AV38" i="3"/>
  <c r="T34" i="7" s="1"/>
  <c r="AV37" i="3"/>
  <c r="T33" i="7" s="1"/>
  <c r="AV36" i="3"/>
  <c r="T32" i="7" s="1"/>
  <c r="AV35" i="3"/>
  <c r="T31" i="7" s="1"/>
  <c r="AV34" i="3"/>
  <c r="T30" i="7" s="1"/>
  <c r="AV33" i="3"/>
  <c r="T29" i="7" s="1"/>
  <c r="AV31" i="3"/>
  <c r="T27" i="7" s="1"/>
  <c r="AV25" i="3"/>
  <c r="AV23" i="3"/>
  <c r="T19" i="7" s="1"/>
  <c r="AV21" i="3"/>
  <c r="T17" i="7" s="1"/>
  <c r="AV20" i="3"/>
  <c r="AV18" i="3"/>
  <c r="AV17" i="3"/>
  <c r="AV16" i="3"/>
  <c r="AV15" i="3"/>
  <c r="AU88" i="3"/>
  <c r="S84" i="7" s="1"/>
  <c r="AU85" i="3"/>
  <c r="S81" i="7" s="1"/>
  <c r="AU84" i="3"/>
  <c r="S80" i="7" s="1"/>
  <c r="AU81" i="3"/>
  <c r="S77" i="7" s="1"/>
  <c r="AU80" i="3"/>
  <c r="S76" i="7" s="1"/>
  <c r="AU79" i="3"/>
  <c r="S75" i="7" s="1"/>
  <c r="AU78" i="3"/>
  <c r="S74" i="7" s="1"/>
  <c r="AU77" i="3"/>
  <c r="S73" i="7" s="1"/>
  <c r="AU76" i="3"/>
  <c r="S72" i="7" s="1"/>
  <c r="AU75" i="3"/>
  <c r="S71" i="7" s="1"/>
  <c r="AU73" i="3"/>
  <c r="S69" i="7" s="1"/>
  <c r="AU72" i="3"/>
  <c r="S68" i="7" s="1"/>
  <c r="AU71" i="3"/>
  <c r="S67" i="7" s="1"/>
  <c r="AU69" i="3"/>
  <c r="S65" i="7" s="1"/>
  <c r="AU68" i="3"/>
  <c r="S64" i="7" s="1"/>
  <c r="AU67" i="3"/>
  <c r="S63" i="7" s="1"/>
  <c r="AU66" i="3"/>
  <c r="S62" i="7" s="1"/>
  <c r="AU65" i="3"/>
  <c r="S61" i="7" s="1"/>
  <c r="AU64" i="3"/>
  <c r="S60" i="7" s="1"/>
  <c r="AU63" i="3"/>
  <c r="S59" i="7" s="1"/>
  <c r="AU62" i="3"/>
  <c r="S58" i="7" s="1"/>
  <c r="AU61" i="3"/>
  <c r="S57" i="7" s="1"/>
  <c r="AU60" i="3"/>
  <c r="S56" i="7" s="1"/>
  <c r="AU59" i="3"/>
  <c r="S55" i="7" s="1"/>
  <c r="AU58" i="3"/>
  <c r="S54" i="7" s="1"/>
  <c r="AU57" i="3"/>
  <c r="S53" i="7" s="1"/>
  <c r="AU56" i="3"/>
  <c r="S52" i="7" s="1"/>
  <c r="AU54" i="3"/>
  <c r="S50" i="7" s="1"/>
  <c r="AU52" i="3"/>
  <c r="S48" i="7" s="1"/>
  <c r="AU51" i="3"/>
  <c r="S47" i="7" s="1"/>
  <c r="AU50" i="3"/>
  <c r="S46" i="7" s="1"/>
  <c r="AU49" i="3"/>
  <c r="S45" i="7" s="1"/>
  <c r="AU47" i="3"/>
  <c r="S43" i="7" s="1"/>
  <c r="AU46" i="3"/>
  <c r="S42" i="7" s="1"/>
  <c r="AU45" i="3"/>
  <c r="S41" i="7" s="1"/>
  <c r="AU44" i="3"/>
  <c r="S40" i="7" s="1"/>
  <c r="AU41" i="3"/>
  <c r="S37" i="7" s="1"/>
  <c r="AU39" i="3"/>
  <c r="S35" i="7" s="1"/>
  <c r="AU38" i="3"/>
  <c r="S34" i="7" s="1"/>
  <c r="AU37" i="3"/>
  <c r="S33" i="7" s="1"/>
  <c r="AU36" i="3"/>
  <c r="S32" i="7" s="1"/>
  <c r="AU35" i="3"/>
  <c r="S31" i="7" s="1"/>
  <c r="AU34" i="3"/>
  <c r="S30" i="7" s="1"/>
  <c r="AU32" i="3"/>
  <c r="S28" i="7" s="1"/>
  <c r="AU30" i="3"/>
  <c r="S26" i="7" s="1"/>
  <c r="AU29" i="3"/>
  <c r="S25" i="7" s="1"/>
  <c r="AU28" i="3"/>
  <c r="S24" i="7" s="1"/>
  <c r="AU27" i="3"/>
  <c r="S23" i="7" s="1"/>
  <c r="AU26" i="3"/>
  <c r="S22" i="7" s="1"/>
  <c r="AU24" i="3"/>
  <c r="S20" i="7" s="1"/>
  <c r="AU22" i="3"/>
  <c r="S18" i="7" s="1"/>
  <c r="AU21" i="3"/>
  <c r="S17" i="7" s="1"/>
  <c r="AU20" i="3"/>
  <c r="S16" i="7" s="1"/>
  <c r="AU19" i="3"/>
  <c r="S15" i="7" s="1"/>
  <c r="AU18" i="3"/>
  <c r="S14" i="7" s="1"/>
  <c r="AU17" i="3"/>
  <c r="S13" i="7" s="1"/>
  <c r="AU16" i="3"/>
  <c r="S12" i="7" s="1"/>
  <c r="AU15" i="3"/>
  <c r="S11" i="7" s="1"/>
  <c r="AU14" i="3"/>
  <c r="S10" i="7" s="1"/>
  <c r="AU13" i="3"/>
  <c r="S9" i="7" s="1"/>
  <c r="AX35" i="3" l="1"/>
  <c r="AX39" i="3"/>
  <c r="V35" i="7" s="1"/>
  <c r="AX36" i="3"/>
  <c r="V32" i="7" s="1"/>
  <c r="AX21" i="3"/>
  <c r="AX37" i="3"/>
  <c r="AX34" i="3"/>
  <c r="V30" i="7" s="1"/>
  <c r="AX38" i="3"/>
  <c r="V34" i="7" s="1"/>
  <c r="U71" i="7"/>
  <c r="U72" i="7"/>
  <c r="U73" i="7"/>
  <c r="U69" i="7"/>
  <c r="AX73" i="3"/>
  <c r="U67" i="7"/>
  <c r="AX71" i="3"/>
  <c r="U68" i="7"/>
  <c r="AX72" i="3"/>
  <c r="V68" i="7" s="1"/>
  <c r="U52" i="7"/>
  <c r="AX56" i="3"/>
  <c r="V52" i="7" s="1"/>
  <c r="U56" i="7"/>
  <c r="AX60" i="3"/>
  <c r="V56" i="7" s="1"/>
  <c r="U60" i="7"/>
  <c r="AX64" i="3"/>
  <c r="U64" i="7"/>
  <c r="AX68" i="3"/>
  <c r="V64" i="7" s="1"/>
  <c r="U53" i="7"/>
  <c r="AX57" i="3"/>
  <c r="V53" i="7" s="1"/>
  <c r="U57" i="7"/>
  <c r="AX61" i="3"/>
  <c r="U61" i="7"/>
  <c r="AX65" i="3"/>
  <c r="V61" i="7" s="1"/>
  <c r="U65" i="7"/>
  <c r="AX69" i="3"/>
  <c r="U54" i="7"/>
  <c r="AX58" i="3"/>
  <c r="V54" i="7" s="1"/>
  <c r="U58" i="7"/>
  <c r="AX62" i="3"/>
  <c r="U62" i="7"/>
  <c r="AX66" i="3"/>
  <c r="V62" i="7" s="1"/>
  <c r="U55" i="7"/>
  <c r="AX59" i="3"/>
  <c r="U59" i="7"/>
  <c r="AX63" i="3"/>
  <c r="V59" i="7" s="1"/>
  <c r="U63" i="7"/>
  <c r="AX67" i="3"/>
  <c r="U50" i="7"/>
  <c r="AX54" i="3"/>
  <c r="V50" i="7" s="1"/>
  <c r="U46" i="7"/>
  <c r="U47" i="7"/>
  <c r="U45" i="7"/>
  <c r="U41" i="7"/>
  <c r="U42" i="7"/>
  <c r="U43" i="7"/>
  <c r="U37" i="7"/>
  <c r="AX41" i="3"/>
  <c r="V37" i="7" s="1"/>
  <c r="U14" i="7"/>
  <c r="AX18" i="3"/>
  <c r="U16" i="7"/>
  <c r="AX20" i="3"/>
  <c r="U11" i="7"/>
  <c r="AX15" i="3"/>
  <c r="U12" i="7"/>
  <c r="AX16" i="3"/>
  <c r="U13" i="7"/>
  <c r="AX17" i="3"/>
  <c r="U28" i="7"/>
  <c r="T52" i="7"/>
  <c r="T56" i="7"/>
  <c r="T60" i="7"/>
  <c r="V60" i="7"/>
  <c r="T64" i="7"/>
  <c r="T68" i="7"/>
  <c r="T49" i="7"/>
  <c r="T53" i="7"/>
  <c r="T57" i="7"/>
  <c r="V57" i="7"/>
  <c r="T61" i="7"/>
  <c r="T65" i="7"/>
  <c r="V65" i="7"/>
  <c r="T69" i="7"/>
  <c r="V69" i="7"/>
  <c r="T54" i="7"/>
  <c r="T58" i="7"/>
  <c r="V58" i="7"/>
  <c r="T62" i="7"/>
  <c r="T66" i="7"/>
  <c r="T51" i="7"/>
  <c r="T55" i="7"/>
  <c r="V55" i="7"/>
  <c r="T59" i="7"/>
  <c r="T63" i="7"/>
  <c r="V63" i="7"/>
  <c r="T67" i="7"/>
  <c r="V67" i="7"/>
  <c r="T37" i="7"/>
  <c r="T16" i="7"/>
  <c r="T12" i="7"/>
  <c r="T13" i="7"/>
  <c r="T14" i="7"/>
  <c r="T11" i="7"/>
  <c r="T50" i="7"/>
  <c r="U33" i="7"/>
  <c r="V33" i="7"/>
  <c r="U32" i="7"/>
  <c r="U30" i="7"/>
  <c r="U34" i="7"/>
  <c r="U31" i="7"/>
  <c r="V31" i="7"/>
  <c r="U35" i="7"/>
  <c r="U18" i="7"/>
  <c r="U17" i="7"/>
  <c r="AV91" i="3"/>
  <c r="T8" i="7"/>
  <c r="T21" i="7"/>
  <c r="AM55" i="3"/>
  <c r="AS86" i="3"/>
  <c r="AQ86" i="3"/>
  <c r="AS74" i="3"/>
  <c r="AQ74" i="3"/>
  <c r="AQ70" i="3"/>
  <c r="AS55" i="3"/>
  <c r="AQ55" i="3"/>
  <c r="AS48" i="3"/>
  <c r="AQ48" i="3"/>
  <c r="AS43" i="3"/>
  <c r="AQ43" i="3"/>
  <c r="AQ33" i="3"/>
  <c r="AQ23" i="3"/>
  <c r="AC88" i="3"/>
  <c r="Q84" i="7" s="1"/>
  <c r="AC85" i="3"/>
  <c r="Q81" i="7" s="1"/>
  <c r="AC84" i="3"/>
  <c r="Q80" i="7" s="1"/>
  <c r="AC81" i="3"/>
  <c r="Q77" i="7" s="1"/>
  <c r="AC80" i="3"/>
  <c r="Q76" i="7" s="1"/>
  <c r="AC79" i="3"/>
  <c r="Q75" i="7" s="1"/>
  <c r="AC78" i="3"/>
  <c r="Q74" i="7" s="1"/>
  <c r="AC77" i="3"/>
  <c r="AC76" i="3"/>
  <c r="AC75" i="3"/>
  <c r="AC73" i="3"/>
  <c r="Q69" i="7" s="1"/>
  <c r="AC72" i="3"/>
  <c r="Q68" i="7" s="1"/>
  <c r="AC71" i="3"/>
  <c r="Q67" i="7" s="1"/>
  <c r="AC69" i="3"/>
  <c r="AC68" i="3"/>
  <c r="AC67" i="3"/>
  <c r="AC66" i="3"/>
  <c r="AC65" i="3"/>
  <c r="AC64" i="3"/>
  <c r="AC63" i="3"/>
  <c r="AC62" i="3"/>
  <c r="AC61" i="3"/>
  <c r="AC60" i="3"/>
  <c r="AC59" i="3"/>
  <c r="AC58" i="3"/>
  <c r="AC57" i="3"/>
  <c r="AC56" i="3"/>
  <c r="AC54" i="3"/>
  <c r="AC52" i="3"/>
  <c r="AC51" i="3"/>
  <c r="AC50" i="3"/>
  <c r="AC49" i="3"/>
  <c r="AC47" i="3"/>
  <c r="AC46" i="3"/>
  <c r="AC45" i="3"/>
  <c r="AC44" i="3"/>
  <c r="AC41" i="3"/>
  <c r="AC39" i="3"/>
  <c r="AC38" i="3"/>
  <c r="AC37" i="3"/>
  <c r="AC36" i="3"/>
  <c r="AC35" i="3"/>
  <c r="AC32" i="3"/>
  <c r="Q28" i="7" s="1"/>
  <c r="AC30" i="3"/>
  <c r="Q26" i="7" s="1"/>
  <c r="AC29" i="3"/>
  <c r="Q25" i="7" s="1"/>
  <c r="AC28" i="3"/>
  <c r="Q24" i="7" s="1"/>
  <c r="AC27" i="3"/>
  <c r="Q23" i="7" s="1"/>
  <c r="AC26" i="3"/>
  <c r="Q22" i="7" s="1"/>
  <c r="AC24" i="3"/>
  <c r="Q20" i="7" s="1"/>
  <c r="AC22" i="3"/>
  <c r="Q18" i="7" s="1"/>
  <c r="AC21" i="3"/>
  <c r="AC20" i="3"/>
  <c r="AC19" i="3"/>
  <c r="Q15" i="7" s="1"/>
  <c r="AC18" i="3"/>
  <c r="AC17" i="3"/>
  <c r="AC16" i="3"/>
  <c r="AC15" i="3"/>
  <c r="AC14" i="3"/>
  <c r="Q10" i="7" s="1"/>
  <c r="AC13" i="3"/>
  <c r="Q9" i="7" s="1"/>
  <c r="AB21" i="3"/>
  <c r="AB20" i="3"/>
  <c r="AB18" i="3"/>
  <c r="AB16" i="3"/>
  <c r="AA88" i="3"/>
  <c r="O84" i="7" s="1"/>
  <c r="AA85" i="3"/>
  <c r="O81" i="7" s="1"/>
  <c r="AA84" i="3"/>
  <c r="O80" i="7" s="1"/>
  <c r="AA81" i="3"/>
  <c r="O77" i="7" s="1"/>
  <c r="AA80" i="3"/>
  <c r="O76" i="7" s="1"/>
  <c r="AA79" i="3"/>
  <c r="O75" i="7" s="1"/>
  <c r="AA78" i="3"/>
  <c r="O74" i="7" s="1"/>
  <c r="AA77" i="3"/>
  <c r="O73" i="7" s="1"/>
  <c r="AA76" i="3"/>
  <c r="O72" i="7" s="1"/>
  <c r="AA75" i="3"/>
  <c r="O71" i="7" s="1"/>
  <c r="AA73" i="3"/>
  <c r="O69" i="7" s="1"/>
  <c r="AA72" i="3"/>
  <c r="O68" i="7" s="1"/>
  <c r="AA71" i="3"/>
  <c r="O67" i="7" s="1"/>
  <c r="AA69" i="3"/>
  <c r="O65" i="7" s="1"/>
  <c r="AA68" i="3"/>
  <c r="O64" i="7" s="1"/>
  <c r="AA67" i="3"/>
  <c r="O63" i="7" s="1"/>
  <c r="AA66" i="3"/>
  <c r="O62" i="7" s="1"/>
  <c r="AA65" i="3"/>
  <c r="O61" i="7" s="1"/>
  <c r="AA64" i="3"/>
  <c r="O60" i="7" s="1"/>
  <c r="AA63" i="3"/>
  <c r="O59" i="7" s="1"/>
  <c r="AA62" i="3"/>
  <c r="O58" i="7" s="1"/>
  <c r="AA61" i="3"/>
  <c r="O57" i="7" s="1"/>
  <c r="AA60" i="3"/>
  <c r="O56" i="7" s="1"/>
  <c r="AA59" i="3"/>
  <c r="O55" i="7" s="1"/>
  <c r="AA58" i="3"/>
  <c r="O54" i="7" s="1"/>
  <c r="AA57" i="3"/>
  <c r="O53" i="7" s="1"/>
  <c r="AA56" i="3"/>
  <c r="O52" i="7" s="1"/>
  <c r="AA54" i="3"/>
  <c r="O50" i="7" s="1"/>
  <c r="AA52" i="3"/>
  <c r="O48" i="7" s="1"/>
  <c r="AA51" i="3"/>
  <c r="O47" i="7" s="1"/>
  <c r="AA50" i="3"/>
  <c r="O46" i="7" s="1"/>
  <c r="AA49" i="3"/>
  <c r="O45" i="7" s="1"/>
  <c r="AA47" i="3"/>
  <c r="O43" i="7" s="1"/>
  <c r="AA46" i="3"/>
  <c r="O42" i="7" s="1"/>
  <c r="AA45" i="3"/>
  <c r="O41" i="7" s="1"/>
  <c r="AA44" i="3"/>
  <c r="O40" i="7" s="1"/>
  <c r="AA41" i="3"/>
  <c r="O37" i="7" s="1"/>
  <c r="AA39" i="3"/>
  <c r="O35" i="7" s="1"/>
  <c r="AA38" i="3"/>
  <c r="O34" i="7" s="1"/>
  <c r="AA37" i="3"/>
  <c r="O33" i="7" s="1"/>
  <c r="AA36" i="3"/>
  <c r="O32" i="7" s="1"/>
  <c r="AA35" i="3"/>
  <c r="O31" i="7" s="1"/>
  <c r="AA34" i="3"/>
  <c r="O30" i="7" s="1"/>
  <c r="AA32" i="3"/>
  <c r="O28" i="7" s="1"/>
  <c r="AA30" i="3"/>
  <c r="O26" i="7" s="1"/>
  <c r="AA29" i="3"/>
  <c r="O25" i="7" s="1"/>
  <c r="AA28" i="3"/>
  <c r="O24" i="7" s="1"/>
  <c r="AA27" i="3"/>
  <c r="O23" i="7" s="1"/>
  <c r="AA26" i="3"/>
  <c r="O22" i="7" s="1"/>
  <c r="AA24" i="3"/>
  <c r="O20" i="7" s="1"/>
  <c r="AA22" i="3"/>
  <c r="O18" i="7" s="1"/>
  <c r="AA21" i="3"/>
  <c r="O17" i="7" s="1"/>
  <c r="AA20" i="3"/>
  <c r="O16" i="7" s="1"/>
  <c r="AA19" i="3"/>
  <c r="O15" i="7" s="1"/>
  <c r="AA18" i="3"/>
  <c r="O14" i="7" s="1"/>
  <c r="AA17" i="3"/>
  <c r="O13" i="7" s="1"/>
  <c r="AA16" i="3"/>
  <c r="O12" i="7" s="1"/>
  <c r="AA15" i="3"/>
  <c r="O11" i="7" s="1"/>
  <c r="AA14" i="3"/>
  <c r="O10" i="7" s="1"/>
  <c r="AA13" i="3"/>
  <c r="O9" i="7" s="1"/>
  <c r="AS31" i="3" l="1"/>
  <c r="AT31" i="3" s="1"/>
  <c r="AT74" i="3"/>
  <c r="AT55" i="3"/>
  <c r="AT48" i="3"/>
  <c r="AT43" i="3"/>
  <c r="Q71" i="7"/>
  <c r="Q72" i="7"/>
  <c r="Q73" i="7"/>
  <c r="Q55" i="7"/>
  <c r="Q52" i="7"/>
  <c r="Q56" i="7"/>
  <c r="Q60" i="7"/>
  <c r="Q64" i="7"/>
  <c r="Q59" i="7"/>
  <c r="Q53" i="7"/>
  <c r="Q57" i="7"/>
  <c r="Q61" i="7"/>
  <c r="Q65" i="7"/>
  <c r="Q63" i="7"/>
  <c r="Q54" i="7"/>
  <c r="Q58" i="7"/>
  <c r="Q62" i="7"/>
  <c r="Q50" i="7"/>
  <c r="AD54" i="3"/>
  <c r="R50" i="7" s="1"/>
  <c r="Q45" i="7"/>
  <c r="Q46" i="7"/>
  <c r="Q47" i="7"/>
  <c r="Q48" i="7"/>
  <c r="Q42" i="7"/>
  <c r="Q43" i="7"/>
  <c r="Q37" i="7"/>
  <c r="Q17" i="7"/>
  <c r="AD21" i="3"/>
  <c r="R17" i="7" s="1"/>
  <c r="Q16" i="7"/>
  <c r="AD20" i="3"/>
  <c r="R16" i="7" s="1"/>
  <c r="Q14" i="7"/>
  <c r="AD18" i="3"/>
  <c r="R14" i="7" s="1"/>
  <c r="Q12" i="7"/>
  <c r="AD16" i="3"/>
  <c r="R12" i="7" s="1"/>
  <c r="Q13" i="7"/>
  <c r="Q11" i="7"/>
  <c r="Q41" i="7"/>
  <c r="Q40" i="7"/>
  <c r="P16" i="7"/>
  <c r="P17" i="7"/>
  <c r="P12" i="7"/>
  <c r="P14" i="7"/>
  <c r="U8" i="7"/>
  <c r="P50" i="7"/>
  <c r="Q33" i="7"/>
  <c r="Q30" i="7"/>
  <c r="Q34" i="7"/>
  <c r="Q31" i="7"/>
  <c r="Q35" i="7"/>
  <c r="Q32" i="7"/>
  <c r="AS53" i="3"/>
  <c r="AB91" i="3"/>
  <c r="P8" i="7"/>
  <c r="AQ53" i="3"/>
  <c r="AQ31" i="3"/>
  <c r="AS23" i="3"/>
  <c r="AT23" i="3" s="1"/>
  <c r="AT53" i="3" l="1"/>
  <c r="AS25" i="3"/>
  <c r="AT25" i="3" s="1"/>
  <c r="AQ25" i="3"/>
  <c r="AQ83" i="3" s="1"/>
  <c r="AS83" i="3" l="1"/>
  <c r="AT83" i="3" s="1"/>
  <c r="AQ87" i="3"/>
  <c r="AS87" i="3" l="1"/>
  <c r="AQ89" i="3"/>
  <c r="AS89" i="3" l="1"/>
  <c r="O55" i="3" l="1"/>
  <c r="AB23" i="3"/>
  <c r="Y86" i="3"/>
  <c r="W86" i="3"/>
  <c r="Y74" i="3"/>
  <c r="W74" i="3"/>
  <c r="Y70" i="3"/>
  <c r="W70" i="3"/>
  <c r="Y55" i="3"/>
  <c r="Z55" i="3" s="1"/>
  <c r="W55" i="3"/>
  <c r="Y48" i="3"/>
  <c r="W48" i="3"/>
  <c r="Y43" i="3"/>
  <c r="W43" i="3"/>
  <c r="W33" i="3"/>
  <c r="Y12" i="3"/>
  <c r="W12" i="3"/>
  <c r="W23" i="3" s="1"/>
  <c r="M88" i="3"/>
  <c r="M85" i="3"/>
  <c r="M84" i="3"/>
  <c r="M81" i="3"/>
  <c r="M80" i="3"/>
  <c r="M79" i="3"/>
  <c r="M78" i="3"/>
  <c r="M77" i="3"/>
  <c r="M76" i="3"/>
  <c r="M75" i="3"/>
  <c r="M73" i="3"/>
  <c r="M72" i="3"/>
  <c r="M71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4" i="3"/>
  <c r="M52" i="3"/>
  <c r="M51" i="3"/>
  <c r="M50" i="3"/>
  <c r="M49" i="3"/>
  <c r="M47" i="3"/>
  <c r="M46" i="3"/>
  <c r="M45" i="3"/>
  <c r="M44" i="3"/>
  <c r="M41" i="3"/>
  <c r="M39" i="3"/>
  <c r="M38" i="3"/>
  <c r="M37" i="3"/>
  <c r="M36" i="3"/>
  <c r="M35" i="3"/>
  <c r="M34" i="3"/>
  <c r="M32" i="3"/>
  <c r="M30" i="3"/>
  <c r="M29" i="3"/>
  <c r="M28" i="3"/>
  <c r="M27" i="3"/>
  <c r="M26" i="3"/>
  <c r="M24" i="3"/>
  <c r="M22" i="3"/>
  <c r="M21" i="3"/>
  <c r="M20" i="3"/>
  <c r="M19" i="3"/>
  <c r="M18" i="3"/>
  <c r="M17" i="3"/>
  <c r="M16" i="3"/>
  <c r="M15" i="3"/>
  <c r="M14" i="3"/>
  <c r="M13" i="3"/>
  <c r="K88" i="3"/>
  <c r="K85" i="3"/>
  <c r="K84" i="3"/>
  <c r="K81" i="3"/>
  <c r="K80" i="3"/>
  <c r="K79" i="3"/>
  <c r="K78" i="3"/>
  <c r="K77" i="3"/>
  <c r="K76" i="3"/>
  <c r="K75" i="3"/>
  <c r="K73" i="3"/>
  <c r="K72" i="3"/>
  <c r="K71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4" i="3"/>
  <c r="K52" i="3"/>
  <c r="K51" i="3"/>
  <c r="K50" i="3"/>
  <c r="K49" i="3"/>
  <c r="K47" i="3"/>
  <c r="K46" i="3"/>
  <c r="K45" i="3"/>
  <c r="K44" i="3"/>
  <c r="K41" i="3"/>
  <c r="K39" i="3"/>
  <c r="K38" i="3"/>
  <c r="K37" i="3"/>
  <c r="K36" i="3"/>
  <c r="K35" i="3"/>
  <c r="K34" i="3"/>
  <c r="K32" i="3"/>
  <c r="K30" i="3"/>
  <c r="K29" i="3"/>
  <c r="K28" i="3"/>
  <c r="K27" i="3"/>
  <c r="K26" i="3"/>
  <c r="K24" i="3"/>
  <c r="K22" i="3"/>
  <c r="K21" i="3"/>
  <c r="K20" i="3"/>
  <c r="K19" i="3"/>
  <c r="K18" i="3"/>
  <c r="K17" i="3"/>
  <c r="K16" i="3"/>
  <c r="K15" i="3"/>
  <c r="K14" i="3"/>
  <c r="K13" i="3"/>
  <c r="BH88" i="3"/>
  <c r="BJ88" i="3" s="1"/>
  <c r="BI86" i="3"/>
  <c r="BG86" i="3"/>
  <c r="BH85" i="3"/>
  <c r="BJ85" i="3" s="1"/>
  <c r="BH84" i="3"/>
  <c r="BJ84" i="3" s="1"/>
  <c r="BH81" i="3"/>
  <c r="BJ81" i="3" s="1"/>
  <c r="BH80" i="3"/>
  <c r="BJ80" i="3" s="1"/>
  <c r="BH79" i="3"/>
  <c r="BJ79" i="3" s="1"/>
  <c r="BH78" i="3"/>
  <c r="BJ78" i="3" s="1"/>
  <c r="BH77" i="3"/>
  <c r="BJ77" i="3" s="1"/>
  <c r="BH76" i="3"/>
  <c r="BJ76" i="3" s="1"/>
  <c r="BH75" i="3"/>
  <c r="BJ75" i="3" s="1"/>
  <c r="BI74" i="3"/>
  <c r="BG74" i="3"/>
  <c r="BH73" i="3"/>
  <c r="BJ73" i="3" s="1"/>
  <c r="BH72" i="3"/>
  <c r="BJ72" i="3" s="1"/>
  <c r="BH71" i="3"/>
  <c r="BJ71" i="3" s="1"/>
  <c r="BI70" i="3"/>
  <c r="BG70" i="3"/>
  <c r="BH69" i="3"/>
  <c r="BJ69" i="3" s="1"/>
  <c r="BH68" i="3"/>
  <c r="BJ68" i="3" s="1"/>
  <c r="BH67" i="3"/>
  <c r="BJ67" i="3" s="1"/>
  <c r="BH66" i="3"/>
  <c r="BJ66" i="3" s="1"/>
  <c r="BH65" i="3"/>
  <c r="BJ65" i="3" s="1"/>
  <c r="BH64" i="3"/>
  <c r="BJ64" i="3" s="1"/>
  <c r="BH63" i="3"/>
  <c r="BJ63" i="3" s="1"/>
  <c r="BH62" i="3"/>
  <c r="BJ62" i="3" s="1"/>
  <c r="BH61" i="3"/>
  <c r="BJ61" i="3" s="1"/>
  <c r="BH60" i="3"/>
  <c r="BJ60" i="3" s="1"/>
  <c r="BH59" i="3"/>
  <c r="BJ59" i="3" s="1"/>
  <c r="BH58" i="3"/>
  <c r="BJ58" i="3" s="1"/>
  <c r="BH57" i="3"/>
  <c r="BJ57" i="3" s="1"/>
  <c r="BH56" i="3"/>
  <c r="BI55" i="3"/>
  <c r="BG55" i="3"/>
  <c r="BG48" i="3"/>
  <c r="BI43" i="3"/>
  <c r="BI31" i="3" s="1"/>
  <c r="BG43" i="3"/>
  <c r="BJ41" i="3"/>
  <c r="BG33" i="3"/>
  <c r="BH32" i="3"/>
  <c r="BJ32" i="3" s="1"/>
  <c r="BH30" i="3"/>
  <c r="BJ30" i="3" s="1"/>
  <c r="BH29" i="3"/>
  <c r="BJ29" i="3" s="1"/>
  <c r="BH28" i="3"/>
  <c r="BJ28" i="3" s="1"/>
  <c r="BH27" i="3"/>
  <c r="BJ27" i="3" s="1"/>
  <c r="BH26" i="3"/>
  <c r="BJ26" i="3" s="1"/>
  <c r="BH24" i="3"/>
  <c r="BJ24" i="3" s="1"/>
  <c r="BH22" i="3"/>
  <c r="BJ22" i="3" s="1"/>
  <c r="BH21" i="3"/>
  <c r="BJ21" i="3" s="1"/>
  <c r="BH20" i="3"/>
  <c r="BJ20" i="3" s="1"/>
  <c r="BH19" i="3"/>
  <c r="BJ19" i="3" s="1"/>
  <c r="BH18" i="3"/>
  <c r="BJ18" i="3" s="1"/>
  <c r="BH17" i="3"/>
  <c r="BJ17" i="3" s="1"/>
  <c r="BH16" i="3"/>
  <c r="BJ16" i="3" s="1"/>
  <c r="BH15" i="3"/>
  <c r="BJ15" i="3" s="1"/>
  <c r="BH14" i="3"/>
  <c r="BH13" i="3"/>
  <c r="BJ13" i="3" s="1"/>
  <c r="BI23" i="3"/>
  <c r="BG23" i="3"/>
  <c r="BD88" i="3"/>
  <c r="BF88" i="3" s="1"/>
  <c r="BE86" i="3"/>
  <c r="BC86" i="3"/>
  <c r="BD86" i="3" s="1"/>
  <c r="BF86" i="3" s="1"/>
  <c r="BD85" i="3"/>
  <c r="BF85" i="3" s="1"/>
  <c r="BD84" i="3"/>
  <c r="BF84" i="3" s="1"/>
  <c r="BD81" i="3"/>
  <c r="BF81" i="3" s="1"/>
  <c r="BD80" i="3"/>
  <c r="BF80" i="3" s="1"/>
  <c r="BD79" i="3"/>
  <c r="BF79" i="3" s="1"/>
  <c r="BD78" i="3"/>
  <c r="BF78" i="3" s="1"/>
  <c r="BD77" i="3"/>
  <c r="BF77" i="3" s="1"/>
  <c r="BD76" i="3"/>
  <c r="BF76" i="3" s="1"/>
  <c r="BD75" i="3"/>
  <c r="BF75" i="3" s="1"/>
  <c r="BE74" i="3"/>
  <c r="BC74" i="3"/>
  <c r="BD73" i="3"/>
  <c r="BF73" i="3" s="1"/>
  <c r="BD72" i="3"/>
  <c r="BF72" i="3" s="1"/>
  <c r="BD71" i="3"/>
  <c r="BF71" i="3" s="1"/>
  <c r="BE70" i="3"/>
  <c r="BC70" i="3"/>
  <c r="BD69" i="3"/>
  <c r="BF69" i="3" s="1"/>
  <c r="BD68" i="3"/>
  <c r="BF68" i="3" s="1"/>
  <c r="BD67" i="3"/>
  <c r="BF67" i="3" s="1"/>
  <c r="BD66" i="3"/>
  <c r="BF66" i="3" s="1"/>
  <c r="BD65" i="3"/>
  <c r="BF65" i="3" s="1"/>
  <c r="BD64" i="3"/>
  <c r="BF64" i="3" s="1"/>
  <c r="BD63" i="3"/>
  <c r="BF63" i="3" s="1"/>
  <c r="BD62" i="3"/>
  <c r="BF62" i="3" s="1"/>
  <c r="BD61" i="3"/>
  <c r="BF61" i="3" s="1"/>
  <c r="BD60" i="3"/>
  <c r="BF60" i="3" s="1"/>
  <c r="BD59" i="3"/>
  <c r="BF59" i="3" s="1"/>
  <c r="BD58" i="3"/>
  <c r="BF58" i="3" s="1"/>
  <c r="BD57" i="3"/>
  <c r="BF57" i="3" s="1"/>
  <c r="BD56" i="3"/>
  <c r="BC55" i="3"/>
  <c r="BC53" i="3" s="1"/>
  <c r="BD49" i="3"/>
  <c r="BF49" i="3" s="1"/>
  <c r="BE48" i="3"/>
  <c r="BC48" i="3"/>
  <c r="BD47" i="3"/>
  <c r="BF47" i="3" s="1"/>
  <c r="BD46" i="3"/>
  <c r="BF46" i="3" s="1"/>
  <c r="BD45" i="3"/>
  <c r="BF45" i="3" s="1"/>
  <c r="BD44" i="3"/>
  <c r="BF44" i="3" s="1"/>
  <c r="BE43" i="3"/>
  <c r="BC43" i="3"/>
  <c r="BD43" i="3" s="1"/>
  <c r="BF43" i="3" s="1"/>
  <c r="BF41" i="3"/>
  <c r="BC33" i="3"/>
  <c r="BD32" i="3"/>
  <c r="BF32" i="3" s="1"/>
  <c r="BD30" i="3"/>
  <c r="BF30" i="3" s="1"/>
  <c r="BD29" i="3"/>
  <c r="BF29" i="3" s="1"/>
  <c r="BD28" i="3"/>
  <c r="BF28" i="3" s="1"/>
  <c r="BD27" i="3"/>
  <c r="BF27" i="3" s="1"/>
  <c r="BD26" i="3"/>
  <c r="BF26" i="3" s="1"/>
  <c r="BD24" i="3"/>
  <c r="BF24" i="3" s="1"/>
  <c r="BF22" i="3"/>
  <c r="BD21" i="3"/>
  <c r="BF21" i="3" s="1"/>
  <c r="BD20" i="3"/>
  <c r="BF20" i="3" s="1"/>
  <c r="BD19" i="3"/>
  <c r="BF19" i="3" s="1"/>
  <c r="BD18" i="3"/>
  <c r="BF18" i="3" s="1"/>
  <c r="BD17" i="3"/>
  <c r="BF17" i="3" s="1"/>
  <c r="BD16" i="3"/>
  <c r="BF16" i="3" s="1"/>
  <c r="BD15" i="3"/>
  <c r="BF15" i="3" s="1"/>
  <c r="BD14" i="3"/>
  <c r="BD13" i="3"/>
  <c r="BF13" i="3" s="1"/>
  <c r="BE23" i="3"/>
  <c r="AZ88" i="3"/>
  <c r="BB88" i="3" s="1"/>
  <c r="BA86" i="3"/>
  <c r="Y82" i="7" s="1"/>
  <c r="AY86" i="3"/>
  <c r="W82" i="7" s="1"/>
  <c r="AZ85" i="3"/>
  <c r="BB85" i="3" s="1"/>
  <c r="AZ84" i="3"/>
  <c r="BB84" i="3" s="1"/>
  <c r="AZ81" i="3"/>
  <c r="BB81" i="3" s="1"/>
  <c r="AZ80" i="3"/>
  <c r="BB80" i="3" s="1"/>
  <c r="AZ79" i="3"/>
  <c r="BB79" i="3" s="1"/>
  <c r="AZ78" i="3"/>
  <c r="BB78" i="3" s="1"/>
  <c r="AZ77" i="3"/>
  <c r="BB77" i="3" s="1"/>
  <c r="AZ76" i="3"/>
  <c r="BB76" i="3" s="1"/>
  <c r="AZ75" i="3"/>
  <c r="BB75" i="3" s="1"/>
  <c r="BA74" i="3"/>
  <c r="AY74" i="3"/>
  <c r="W70" i="7" s="1"/>
  <c r="AZ73" i="3"/>
  <c r="BB73" i="3" s="1"/>
  <c r="AZ72" i="3"/>
  <c r="BB72" i="3" s="1"/>
  <c r="AZ71" i="3"/>
  <c r="BB71" i="3" s="1"/>
  <c r="BA70" i="3"/>
  <c r="AY70" i="3"/>
  <c r="W66" i="7" s="1"/>
  <c r="AZ69" i="3"/>
  <c r="BB69" i="3" s="1"/>
  <c r="AZ68" i="3"/>
  <c r="BB68" i="3" s="1"/>
  <c r="AZ67" i="3"/>
  <c r="BB67" i="3" s="1"/>
  <c r="AZ66" i="3"/>
  <c r="BB66" i="3" s="1"/>
  <c r="AZ65" i="3"/>
  <c r="BB65" i="3" s="1"/>
  <c r="AZ64" i="3"/>
  <c r="BB64" i="3" s="1"/>
  <c r="AZ63" i="3"/>
  <c r="BB63" i="3" s="1"/>
  <c r="AZ62" i="3"/>
  <c r="BB62" i="3" s="1"/>
  <c r="AZ61" i="3"/>
  <c r="BB61" i="3" s="1"/>
  <c r="AZ60" i="3"/>
  <c r="BB60" i="3" s="1"/>
  <c r="AZ59" i="3"/>
  <c r="BB59" i="3" s="1"/>
  <c r="AZ58" i="3"/>
  <c r="BB58" i="3" s="1"/>
  <c r="AZ57" i="3"/>
  <c r="BB57" i="3" s="1"/>
  <c r="AZ56" i="3"/>
  <c r="BA55" i="3"/>
  <c r="AY55" i="3"/>
  <c r="Z48" i="7"/>
  <c r="Z47" i="7"/>
  <c r="Z46" i="7"/>
  <c r="Z45" i="7"/>
  <c r="BA48" i="3"/>
  <c r="AY48" i="3"/>
  <c r="W44" i="7" s="1"/>
  <c r="Z43" i="7"/>
  <c r="Z42" i="7"/>
  <c r="Z41" i="7"/>
  <c r="Z40" i="7"/>
  <c r="BA43" i="3"/>
  <c r="AY43" i="3"/>
  <c r="W39" i="7" s="1"/>
  <c r="BB41" i="3"/>
  <c r="Y29" i="7"/>
  <c r="AY33" i="3"/>
  <c r="W29" i="7" s="1"/>
  <c r="AZ32" i="3"/>
  <c r="BB32" i="3" s="1"/>
  <c r="AZ30" i="3"/>
  <c r="BB30" i="3" s="1"/>
  <c r="AZ29" i="3"/>
  <c r="BB29" i="3" s="1"/>
  <c r="AZ28" i="3"/>
  <c r="BB28" i="3" s="1"/>
  <c r="AZ27" i="3"/>
  <c r="AZ26" i="3"/>
  <c r="BB26" i="3" s="1"/>
  <c r="AZ24" i="3"/>
  <c r="BB24" i="3" s="1"/>
  <c r="AZ22" i="3"/>
  <c r="BB22" i="3" s="1"/>
  <c r="AZ21" i="3"/>
  <c r="BB21" i="3" s="1"/>
  <c r="AZ20" i="3"/>
  <c r="BB20" i="3" s="1"/>
  <c r="AZ19" i="3"/>
  <c r="BB19" i="3" s="1"/>
  <c r="AZ18" i="3"/>
  <c r="BB18" i="3" s="1"/>
  <c r="AZ17" i="3"/>
  <c r="BB17" i="3" s="1"/>
  <c r="AZ16" i="3"/>
  <c r="BB16" i="3" s="1"/>
  <c r="AZ15" i="3"/>
  <c r="BB15" i="3" s="1"/>
  <c r="AZ14" i="3"/>
  <c r="AZ13" i="3"/>
  <c r="BB13" i="3" s="1"/>
  <c r="AY23" i="3"/>
  <c r="W19" i="7" s="1"/>
  <c r="AO86" i="3"/>
  <c r="AM86" i="3"/>
  <c r="AP78" i="3"/>
  <c r="AP77" i="3"/>
  <c r="AP76" i="3"/>
  <c r="AP75" i="3"/>
  <c r="AO74" i="3"/>
  <c r="AM74" i="3"/>
  <c r="AP73" i="3"/>
  <c r="AP72" i="3"/>
  <c r="AP71" i="3"/>
  <c r="AO70" i="3"/>
  <c r="AP70" i="3" s="1"/>
  <c r="AM70" i="3"/>
  <c r="AP69" i="3"/>
  <c r="AP68" i="3"/>
  <c r="AP67" i="3"/>
  <c r="AP66" i="3"/>
  <c r="AP65" i="3"/>
  <c r="AP64" i="3"/>
  <c r="AP63" i="3"/>
  <c r="AP62" i="3"/>
  <c r="AP61" i="3"/>
  <c r="AP60" i="3"/>
  <c r="AP59" i="3"/>
  <c r="AP58" i="3"/>
  <c r="AP57" i="3"/>
  <c r="AP56" i="3"/>
  <c r="AO55" i="3"/>
  <c r="AP55" i="3" s="1"/>
  <c r="AP54" i="3"/>
  <c r="AO48" i="3"/>
  <c r="AM48" i="3"/>
  <c r="AO43" i="3"/>
  <c r="AM43" i="3"/>
  <c r="AP41" i="3"/>
  <c r="AP39" i="3"/>
  <c r="AP38" i="3"/>
  <c r="AP37" i="3"/>
  <c r="AP36" i="3"/>
  <c r="AP35" i="3"/>
  <c r="AP34" i="3"/>
  <c r="AO33" i="3"/>
  <c r="AM33" i="3"/>
  <c r="AP21" i="3"/>
  <c r="AP20" i="3"/>
  <c r="AP18" i="3"/>
  <c r="AP17" i="3"/>
  <c r="AP16" i="3"/>
  <c r="AP15" i="3"/>
  <c r="AM23" i="3"/>
  <c r="AL88" i="3"/>
  <c r="AK86" i="3"/>
  <c r="AI86" i="3"/>
  <c r="AL85" i="3"/>
  <c r="AL84" i="3"/>
  <c r="AL81" i="3"/>
  <c r="AL80" i="3"/>
  <c r="AL79" i="3"/>
  <c r="AL78" i="3"/>
  <c r="AK74" i="3"/>
  <c r="AV74" i="3"/>
  <c r="AI74" i="3"/>
  <c r="AL73" i="3"/>
  <c r="AL72" i="3"/>
  <c r="AL71" i="3"/>
  <c r="AK70" i="3"/>
  <c r="AI70" i="3"/>
  <c r="AL69" i="3"/>
  <c r="AL68" i="3"/>
  <c r="AL67" i="3"/>
  <c r="AL66" i="3"/>
  <c r="AL65" i="3"/>
  <c r="AL64" i="3"/>
  <c r="AL63" i="3"/>
  <c r="AL62" i="3"/>
  <c r="AL61" i="3"/>
  <c r="AL60" i="3"/>
  <c r="AL59" i="3"/>
  <c r="AL58" i="3"/>
  <c r="AL57" i="3"/>
  <c r="AL56" i="3"/>
  <c r="AK55" i="3"/>
  <c r="AK53" i="3" s="1"/>
  <c r="AI55" i="3"/>
  <c r="AL54" i="3"/>
  <c r="AL52" i="3"/>
  <c r="AL51" i="3"/>
  <c r="AL50" i="3"/>
  <c r="AL49" i="3"/>
  <c r="AK48" i="3"/>
  <c r="AI48" i="3"/>
  <c r="AL47" i="3"/>
  <c r="AL46" i="3"/>
  <c r="AL45" i="3"/>
  <c r="AL44" i="3"/>
  <c r="AK43" i="3"/>
  <c r="AI43" i="3"/>
  <c r="AL41" i="3"/>
  <c r="AL39" i="3"/>
  <c r="AL38" i="3"/>
  <c r="AL37" i="3"/>
  <c r="AL36" i="3"/>
  <c r="AL35" i="3"/>
  <c r="AL34" i="3"/>
  <c r="AK33" i="3"/>
  <c r="AI33" i="3"/>
  <c r="AL32" i="3"/>
  <c r="AL30" i="3"/>
  <c r="AL29" i="3"/>
  <c r="AL28" i="3"/>
  <c r="AL26" i="3"/>
  <c r="AL24" i="3"/>
  <c r="AL22" i="3"/>
  <c r="AL21" i="3"/>
  <c r="AL20" i="3"/>
  <c r="AL19" i="3"/>
  <c r="AL18" i="3"/>
  <c r="AL17" i="3"/>
  <c r="AL16" i="3"/>
  <c r="AL15" i="3"/>
  <c r="AL14" i="3"/>
  <c r="AL13" i="3"/>
  <c r="AI23" i="3"/>
  <c r="AH88" i="3"/>
  <c r="AG86" i="3"/>
  <c r="AE86" i="3"/>
  <c r="AH85" i="3"/>
  <c r="AH84" i="3"/>
  <c r="AH81" i="3"/>
  <c r="AH80" i="3"/>
  <c r="AH79" i="3"/>
  <c r="AH78" i="3"/>
  <c r="AH77" i="3"/>
  <c r="AH76" i="3"/>
  <c r="AH75" i="3"/>
  <c r="AG74" i="3"/>
  <c r="AE74" i="3"/>
  <c r="AH73" i="3"/>
  <c r="AH72" i="3"/>
  <c r="AH71" i="3"/>
  <c r="AG70" i="3"/>
  <c r="AE70" i="3"/>
  <c r="AH69" i="3"/>
  <c r="AH68" i="3"/>
  <c r="AH67" i="3"/>
  <c r="AH66" i="3"/>
  <c r="AH65" i="3"/>
  <c r="AH64" i="3"/>
  <c r="AH63" i="3"/>
  <c r="AH62" i="3"/>
  <c r="AH61" i="3"/>
  <c r="AH60" i="3"/>
  <c r="AH59" i="3"/>
  <c r="AH58" i="3"/>
  <c r="AH57" i="3"/>
  <c r="AH56" i="3"/>
  <c r="AG55" i="3"/>
  <c r="AE55" i="3"/>
  <c r="AH54" i="3"/>
  <c r="AH52" i="3"/>
  <c r="AH51" i="3"/>
  <c r="AH50" i="3"/>
  <c r="AH49" i="3"/>
  <c r="AG48" i="3"/>
  <c r="AE48" i="3"/>
  <c r="AH47" i="3"/>
  <c r="AH46" i="3"/>
  <c r="AH45" i="3"/>
  <c r="AH44" i="3"/>
  <c r="AG43" i="3"/>
  <c r="AE43" i="3"/>
  <c r="AU43" i="3" s="1"/>
  <c r="S39" i="7" s="1"/>
  <c r="AH41" i="3"/>
  <c r="AH39" i="3"/>
  <c r="AH38" i="3"/>
  <c r="AH37" i="3"/>
  <c r="AH36" i="3"/>
  <c r="AH35" i="3"/>
  <c r="AH34" i="3"/>
  <c r="AG33" i="3"/>
  <c r="AE33" i="3"/>
  <c r="AH32" i="3"/>
  <c r="AH30" i="3"/>
  <c r="AH29" i="3"/>
  <c r="AH28" i="3"/>
  <c r="AH26" i="3"/>
  <c r="AH24" i="3"/>
  <c r="AH22" i="3"/>
  <c r="AH21" i="3"/>
  <c r="AH20" i="3"/>
  <c r="AH19" i="3"/>
  <c r="AH18" i="3"/>
  <c r="AH17" i="3"/>
  <c r="AH16" i="3"/>
  <c r="AH15" i="3"/>
  <c r="AH14" i="3"/>
  <c r="AH13" i="3"/>
  <c r="S8" i="7"/>
  <c r="U86" i="3"/>
  <c r="S86" i="3"/>
  <c r="U74" i="3"/>
  <c r="AB74" i="3"/>
  <c r="S74" i="3"/>
  <c r="U70" i="3"/>
  <c r="S70" i="3"/>
  <c r="V57" i="3"/>
  <c r="AB57" i="3"/>
  <c r="AD57" i="3" s="1"/>
  <c r="U55" i="3"/>
  <c r="U53" i="3" s="1"/>
  <c r="V54" i="3"/>
  <c r="U48" i="3"/>
  <c r="S48" i="3"/>
  <c r="U43" i="3"/>
  <c r="AB43" i="3"/>
  <c r="S43" i="3"/>
  <c r="U33" i="3"/>
  <c r="S33" i="3"/>
  <c r="V21" i="3"/>
  <c r="V20" i="3"/>
  <c r="V18" i="3"/>
  <c r="V17" i="3"/>
  <c r="V16" i="3"/>
  <c r="U12" i="3"/>
  <c r="S12" i="3"/>
  <c r="S23" i="3" s="1"/>
  <c r="R88" i="3"/>
  <c r="Q86" i="3"/>
  <c r="O86" i="3"/>
  <c r="R85" i="3"/>
  <c r="R84" i="3"/>
  <c r="R81" i="3"/>
  <c r="R80" i="3"/>
  <c r="R79" i="3"/>
  <c r="R78" i="3"/>
  <c r="R77" i="3"/>
  <c r="R76" i="3"/>
  <c r="R75" i="3"/>
  <c r="Q74" i="3"/>
  <c r="O74" i="3"/>
  <c r="R73" i="3"/>
  <c r="R72" i="3"/>
  <c r="R71" i="3"/>
  <c r="Q70" i="3"/>
  <c r="O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Q55" i="3"/>
  <c r="R54" i="3"/>
  <c r="R52" i="3"/>
  <c r="R51" i="3"/>
  <c r="R50" i="3"/>
  <c r="R49" i="3"/>
  <c r="Q48" i="3"/>
  <c r="O48" i="3"/>
  <c r="AA48" i="3" s="1"/>
  <c r="R47" i="3"/>
  <c r="R46" i="3"/>
  <c r="R45" i="3"/>
  <c r="R44" i="3"/>
  <c r="Q43" i="3"/>
  <c r="O43" i="3"/>
  <c r="R41" i="3"/>
  <c r="R39" i="3"/>
  <c r="R38" i="3"/>
  <c r="R37" i="3"/>
  <c r="R36" i="3"/>
  <c r="R35" i="3"/>
  <c r="R34" i="3"/>
  <c r="Q33" i="3"/>
  <c r="O33" i="3"/>
  <c r="R32" i="3"/>
  <c r="R30" i="3"/>
  <c r="R29" i="3"/>
  <c r="R28" i="3"/>
  <c r="R26" i="3"/>
  <c r="R24" i="3"/>
  <c r="R22" i="3"/>
  <c r="R21" i="3"/>
  <c r="R20" i="3"/>
  <c r="R19" i="3"/>
  <c r="R18" i="3"/>
  <c r="R16" i="3"/>
  <c r="R15" i="3"/>
  <c r="R14" i="3"/>
  <c r="R13" i="3"/>
  <c r="Q12" i="3"/>
  <c r="O12" i="3"/>
  <c r="H88" i="3"/>
  <c r="J88" i="3" s="1"/>
  <c r="I86" i="3"/>
  <c r="G86" i="3"/>
  <c r="H86" i="3" s="1"/>
  <c r="J86" i="3" s="1"/>
  <c r="H85" i="3"/>
  <c r="J85" i="3" s="1"/>
  <c r="H84" i="3"/>
  <c r="J84" i="3" s="1"/>
  <c r="H81" i="3"/>
  <c r="J81" i="3" s="1"/>
  <c r="H80" i="3"/>
  <c r="J80" i="3" s="1"/>
  <c r="H79" i="3"/>
  <c r="J79" i="3" s="1"/>
  <c r="H78" i="3"/>
  <c r="J78" i="3" s="1"/>
  <c r="H77" i="3"/>
  <c r="J77" i="3" s="1"/>
  <c r="H76" i="3"/>
  <c r="J76" i="3" s="1"/>
  <c r="H75" i="3"/>
  <c r="J75" i="3" s="1"/>
  <c r="I74" i="3"/>
  <c r="G74" i="3"/>
  <c r="H73" i="3"/>
  <c r="J73" i="3" s="1"/>
  <c r="H72" i="3"/>
  <c r="J72" i="3" s="1"/>
  <c r="H71" i="3"/>
  <c r="J71" i="3" s="1"/>
  <c r="I70" i="3"/>
  <c r="G70" i="3"/>
  <c r="H70" i="3" s="1"/>
  <c r="J70" i="3" s="1"/>
  <c r="H69" i="3"/>
  <c r="J69" i="3" s="1"/>
  <c r="H68" i="3"/>
  <c r="J68" i="3" s="1"/>
  <c r="H67" i="3"/>
  <c r="J67" i="3" s="1"/>
  <c r="H66" i="3"/>
  <c r="J66" i="3" s="1"/>
  <c r="H65" i="3"/>
  <c r="J65" i="3" s="1"/>
  <c r="H64" i="3"/>
  <c r="J64" i="3" s="1"/>
  <c r="H63" i="3"/>
  <c r="J63" i="3" s="1"/>
  <c r="H62" i="3"/>
  <c r="J62" i="3" s="1"/>
  <c r="H61" i="3"/>
  <c r="J61" i="3" s="1"/>
  <c r="H60" i="3"/>
  <c r="J60" i="3" s="1"/>
  <c r="H59" i="3"/>
  <c r="J59" i="3" s="1"/>
  <c r="H58" i="3"/>
  <c r="J58" i="3" s="1"/>
  <c r="H57" i="3"/>
  <c r="J57" i="3" s="1"/>
  <c r="H56" i="3"/>
  <c r="J56" i="3" s="1"/>
  <c r="I55" i="3"/>
  <c r="I53" i="3" s="1"/>
  <c r="G55" i="3"/>
  <c r="G53" i="3" s="1"/>
  <c r="H52" i="3"/>
  <c r="J52" i="3" s="1"/>
  <c r="H51" i="3"/>
  <c r="J51" i="3" s="1"/>
  <c r="H50" i="3"/>
  <c r="J50" i="3" s="1"/>
  <c r="H49" i="3"/>
  <c r="J49" i="3" s="1"/>
  <c r="I48" i="3"/>
  <c r="G48" i="3"/>
  <c r="H48" i="3" s="1"/>
  <c r="J48" i="3" s="1"/>
  <c r="H47" i="3"/>
  <c r="J47" i="3" s="1"/>
  <c r="H46" i="3"/>
  <c r="J46" i="3" s="1"/>
  <c r="H45" i="3"/>
  <c r="J45" i="3" s="1"/>
  <c r="H44" i="3"/>
  <c r="J44" i="3" s="1"/>
  <c r="I43" i="3"/>
  <c r="G43" i="3"/>
  <c r="H43" i="3" s="1"/>
  <c r="J43" i="3" s="1"/>
  <c r="H41" i="3"/>
  <c r="J41" i="3" s="1"/>
  <c r="G33" i="3"/>
  <c r="H32" i="3"/>
  <c r="J32" i="3" s="1"/>
  <c r="H30" i="3"/>
  <c r="J30" i="3" s="1"/>
  <c r="H29" i="3"/>
  <c r="J29" i="3" s="1"/>
  <c r="H28" i="3"/>
  <c r="J28" i="3" s="1"/>
  <c r="H27" i="3"/>
  <c r="J27" i="3" s="1"/>
  <c r="H26" i="3"/>
  <c r="J26" i="3" s="1"/>
  <c r="H24" i="3"/>
  <c r="J24" i="3" s="1"/>
  <c r="H22" i="3"/>
  <c r="J22" i="3" s="1"/>
  <c r="H20" i="3"/>
  <c r="J20" i="3" s="1"/>
  <c r="H19" i="3"/>
  <c r="J19" i="3" s="1"/>
  <c r="H16" i="3"/>
  <c r="J16" i="3" s="1"/>
  <c r="H14" i="3"/>
  <c r="J14" i="3" s="1"/>
  <c r="H13" i="3"/>
  <c r="J13" i="3" s="1"/>
  <c r="I12" i="3"/>
  <c r="G12" i="3"/>
  <c r="D88" i="3"/>
  <c r="F88" i="3" s="1"/>
  <c r="E86" i="3"/>
  <c r="C86" i="3"/>
  <c r="D86" i="3" s="1"/>
  <c r="F86" i="3" s="1"/>
  <c r="D85" i="3"/>
  <c r="F85" i="3" s="1"/>
  <c r="D84" i="3"/>
  <c r="F84" i="3" s="1"/>
  <c r="D81" i="3"/>
  <c r="F81" i="3" s="1"/>
  <c r="D80" i="3"/>
  <c r="F80" i="3" s="1"/>
  <c r="D79" i="3"/>
  <c r="F79" i="3" s="1"/>
  <c r="D78" i="3"/>
  <c r="F78" i="3" s="1"/>
  <c r="D77" i="3"/>
  <c r="F77" i="3" s="1"/>
  <c r="D76" i="3"/>
  <c r="F76" i="3" s="1"/>
  <c r="D75" i="3"/>
  <c r="F75" i="3" s="1"/>
  <c r="E74" i="3"/>
  <c r="C74" i="3"/>
  <c r="D73" i="3"/>
  <c r="F73" i="3" s="1"/>
  <c r="D72" i="3"/>
  <c r="F72" i="3" s="1"/>
  <c r="D71" i="3"/>
  <c r="F71" i="3" s="1"/>
  <c r="E70" i="3"/>
  <c r="C70" i="3"/>
  <c r="D69" i="3"/>
  <c r="F69" i="3" s="1"/>
  <c r="D68" i="3"/>
  <c r="F68" i="3" s="1"/>
  <c r="D67" i="3"/>
  <c r="F67" i="3" s="1"/>
  <c r="D66" i="3"/>
  <c r="F66" i="3" s="1"/>
  <c r="D65" i="3"/>
  <c r="F65" i="3" s="1"/>
  <c r="D64" i="3"/>
  <c r="F64" i="3" s="1"/>
  <c r="D63" i="3"/>
  <c r="F63" i="3" s="1"/>
  <c r="D62" i="3"/>
  <c r="F62" i="3" s="1"/>
  <c r="D61" i="3"/>
  <c r="F61" i="3" s="1"/>
  <c r="D60" i="3"/>
  <c r="F60" i="3" s="1"/>
  <c r="D59" i="3"/>
  <c r="F59" i="3" s="1"/>
  <c r="D58" i="3"/>
  <c r="F58" i="3" s="1"/>
  <c r="D57" i="3"/>
  <c r="F57" i="3" s="1"/>
  <c r="D56" i="3"/>
  <c r="E55" i="3"/>
  <c r="C55" i="3"/>
  <c r="D49" i="3"/>
  <c r="F49" i="3" s="1"/>
  <c r="E48" i="3"/>
  <c r="C48" i="3"/>
  <c r="D44" i="3"/>
  <c r="F44" i="3" s="1"/>
  <c r="E43" i="3"/>
  <c r="C43" i="3"/>
  <c r="F41" i="3"/>
  <c r="M33" i="3"/>
  <c r="C33" i="3"/>
  <c r="D32" i="3"/>
  <c r="F32" i="3" s="1"/>
  <c r="D30" i="3"/>
  <c r="F30" i="3" s="1"/>
  <c r="D29" i="3"/>
  <c r="F29" i="3" s="1"/>
  <c r="D28" i="3"/>
  <c r="F28" i="3" s="1"/>
  <c r="D27" i="3"/>
  <c r="F27" i="3" s="1"/>
  <c r="D26" i="3"/>
  <c r="F26" i="3" s="1"/>
  <c r="D24" i="3"/>
  <c r="F24" i="3" s="1"/>
  <c r="D22" i="3"/>
  <c r="F22" i="3" s="1"/>
  <c r="D21" i="3"/>
  <c r="F21" i="3" s="1"/>
  <c r="D20" i="3"/>
  <c r="F20" i="3" s="1"/>
  <c r="D19" i="3"/>
  <c r="F19" i="3" s="1"/>
  <c r="D18" i="3"/>
  <c r="F18" i="3" s="1"/>
  <c r="D17" i="3"/>
  <c r="F17" i="3" s="1"/>
  <c r="D16" i="3"/>
  <c r="F16" i="3" s="1"/>
  <c r="D15" i="3"/>
  <c r="F15" i="3" s="1"/>
  <c r="D14" i="3"/>
  <c r="F14" i="3" s="1"/>
  <c r="D13" i="3"/>
  <c r="F13" i="3" s="1"/>
  <c r="E12" i="3"/>
  <c r="C12" i="3"/>
  <c r="AA74" i="3" l="1"/>
  <c r="O70" i="7" s="1"/>
  <c r="AO31" i="3"/>
  <c r="AP74" i="3"/>
  <c r="S53" i="3"/>
  <c r="Y31" i="3"/>
  <c r="Q53" i="3"/>
  <c r="AG53" i="3"/>
  <c r="AK31" i="3"/>
  <c r="AK25" i="3" s="1"/>
  <c r="AL86" i="3"/>
  <c r="I31" i="3"/>
  <c r="AG31" i="3"/>
  <c r="M48" i="3"/>
  <c r="M44" i="7" s="1"/>
  <c r="K48" i="3"/>
  <c r="K44" i="7" s="1"/>
  <c r="I25" i="3"/>
  <c r="K74" i="3"/>
  <c r="K70" i="7" s="1"/>
  <c r="M86" i="3"/>
  <c r="Q31" i="3"/>
  <c r="Q25" i="3" s="1"/>
  <c r="Q83" i="3" s="1"/>
  <c r="U31" i="3"/>
  <c r="U25" i="3" s="1"/>
  <c r="U83" i="3" s="1"/>
  <c r="AO53" i="3"/>
  <c r="BC31" i="3"/>
  <c r="AG25" i="3"/>
  <c r="AG83" i="3" s="1"/>
  <c r="M82" i="7"/>
  <c r="AO25" i="3"/>
  <c r="AW31" i="3"/>
  <c r="AC70" i="3"/>
  <c r="Q66" i="7" s="1"/>
  <c r="AA86" i="3"/>
  <c r="O82" i="7" s="1"/>
  <c r="AH86" i="3"/>
  <c r="AL70" i="3"/>
  <c r="AU48" i="3"/>
  <c r="S44" i="7" s="1"/>
  <c r="AR86" i="3"/>
  <c r="AU86" i="3"/>
  <c r="S82" i="7" s="1"/>
  <c r="BA31" i="3"/>
  <c r="Y27" i="7" s="1"/>
  <c r="AZ86" i="3"/>
  <c r="BB86" i="3" s="1"/>
  <c r="Z82" i="7" s="1"/>
  <c r="BK55" i="3"/>
  <c r="AA51" i="7" s="1"/>
  <c r="BK70" i="3"/>
  <c r="AA66" i="7" s="1"/>
  <c r="K43" i="3"/>
  <c r="K39" i="7" s="1"/>
  <c r="BO80" i="3"/>
  <c r="K76" i="7"/>
  <c r="K86" i="3"/>
  <c r="BQ79" i="3"/>
  <c r="M75" i="7"/>
  <c r="BQ85" i="3"/>
  <c r="M81" i="7"/>
  <c r="X86" i="3"/>
  <c r="F56" i="3"/>
  <c r="G31" i="3"/>
  <c r="H74" i="3"/>
  <c r="J74" i="3" s="1"/>
  <c r="AC86" i="3"/>
  <c r="Q82" i="7" s="1"/>
  <c r="AL33" i="3"/>
  <c r="AP33" i="3"/>
  <c r="AW48" i="3"/>
  <c r="U44" i="7" s="1"/>
  <c r="AW55" i="3"/>
  <c r="AW86" i="3"/>
  <c r="U82" i="7" s="1"/>
  <c r="BB56" i="3"/>
  <c r="BK43" i="3"/>
  <c r="AA39" i="7" s="1"/>
  <c r="BK74" i="3"/>
  <c r="AA70" i="7" s="1"/>
  <c r="BH86" i="3"/>
  <c r="BJ86" i="3" s="1"/>
  <c r="BK86" i="3"/>
  <c r="AA82" i="7" s="1"/>
  <c r="BO81" i="3"/>
  <c r="K77" i="7"/>
  <c r="BO88" i="3"/>
  <c r="K84" i="7"/>
  <c r="BQ80" i="3"/>
  <c r="M76" i="7"/>
  <c r="M43" i="3"/>
  <c r="M39" i="7" s="1"/>
  <c r="E31" i="3"/>
  <c r="AW33" i="3"/>
  <c r="AW53" i="3"/>
  <c r="AW70" i="3"/>
  <c r="BF56" i="3"/>
  <c r="BJ56" i="3"/>
  <c r="BH74" i="3"/>
  <c r="BJ74" i="3" s="1"/>
  <c r="BM86" i="3"/>
  <c r="AC82" i="7" s="1"/>
  <c r="K70" i="3"/>
  <c r="K66" i="7" s="1"/>
  <c r="BO84" i="3"/>
  <c r="K80" i="7"/>
  <c r="BQ81" i="3"/>
  <c r="M77" i="7"/>
  <c r="BQ88" i="3"/>
  <c r="M84" i="7"/>
  <c r="R70" i="3"/>
  <c r="V33" i="3"/>
  <c r="AA70" i="3"/>
  <c r="O66" i="7" s="1"/>
  <c r="AW43" i="3"/>
  <c r="U39" i="7" s="1"/>
  <c r="AW74" i="3"/>
  <c r="U70" i="7" s="1"/>
  <c r="AY53" i="3"/>
  <c r="W49" i="7" s="1"/>
  <c r="W51" i="7"/>
  <c r="BE31" i="3"/>
  <c r="BK33" i="3"/>
  <c r="AA29" i="7" s="1"/>
  <c r="BK48" i="3"/>
  <c r="AA44" i="7" s="1"/>
  <c r="K55" i="3"/>
  <c r="K51" i="7" s="1"/>
  <c r="BO79" i="3"/>
  <c r="K75" i="7"/>
  <c r="BO85" i="3"/>
  <c r="K81" i="7"/>
  <c r="BQ78" i="3"/>
  <c r="M74" i="7"/>
  <c r="BQ84" i="3"/>
  <c r="M80" i="7"/>
  <c r="X23" i="7"/>
  <c r="BB27" i="3"/>
  <c r="Z23" i="7" s="1"/>
  <c r="BJ14" i="3"/>
  <c r="BH12" i="3"/>
  <c r="BH23" i="3" s="1"/>
  <c r="BJ23" i="3" s="1"/>
  <c r="BO16" i="3"/>
  <c r="K12" i="7"/>
  <c r="BO20" i="3"/>
  <c r="K16" i="7"/>
  <c r="BO26" i="3"/>
  <c r="K22" i="7"/>
  <c r="BO30" i="3"/>
  <c r="K26" i="7"/>
  <c r="BO46" i="3"/>
  <c r="K42" i="7"/>
  <c r="BO50" i="3"/>
  <c r="K46" i="7"/>
  <c r="BO59" i="3"/>
  <c r="K55" i="7"/>
  <c r="BO63" i="3"/>
  <c r="K59" i="7"/>
  <c r="BO67" i="3"/>
  <c r="K63" i="7"/>
  <c r="BO71" i="3"/>
  <c r="K67" i="7"/>
  <c r="BO75" i="3"/>
  <c r="K71" i="7"/>
  <c r="BQ22" i="3"/>
  <c r="M18" i="7"/>
  <c r="BQ28" i="3"/>
  <c r="M24" i="7"/>
  <c r="BB14" i="3"/>
  <c r="Z10" i="7" s="1"/>
  <c r="AZ12" i="3"/>
  <c r="BB12" i="3" s="1"/>
  <c r="Z8" i="7" s="1"/>
  <c r="BH31" i="3"/>
  <c r="BJ31" i="3" s="1"/>
  <c r="BO13" i="3"/>
  <c r="K9" i="7"/>
  <c r="BO27" i="3"/>
  <c r="K23" i="7"/>
  <c r="BO32" i="3"/>
  <c r="K28" i="7"/>
  <c r="BO47" i="3"/>
  <c r="K43" i="7"/>
  <c r="BO51" i="3"/>
  <c r="K47" i="7"/>
  <c r="BO56" i="3"/>
  <c r="K52" i="7"/>
  <c r="BO60" i="3"/>
  <c r="K56" i="7"/>
  <c r="BO64" i="3"/>
  <c r="K60" i="7"/>
  <c r="BO68" i="3"/>
  <c r="K64" i="7"/>
  <c r="BO72" i="3"/>
  <c r="K68" i="7"/>
  <c r="BO76" i="3"/>
  <c r="K72" i="7"/>
  <c r="BQ24" i="3"/>
  <c r="M20" i="7"/>
  <c r="BQ29" i="3"/>
  <c r="M25" i="7"/>
  <c r="BD12" i="3"/>
  <c r="BF12" i="3" s="1"/>
  <c r="BF14" i="3"/>
  <c r="BO14" i="3"/>
  <c r="K10" i="7"/>
  <c r="BO22" i="3"/>
  <c r="K18" i="7"/>
  <c r="BO28" i="3"/>
  <c r="K24" i="7"/>
  <c r="BO44" i="3"/>
  <c r="K40" i="7"/>
  <c r="BO52" i="3"/>
  <c r="K48" i="7"/>
  <c r="BO57" i="3"/>
  <c r="K53" i="7"/>
  <c r="BO61" i="3"/>
  <c r="K57" i="7"/>
  <c r="BO65" i="3"/>
  <c r="K61" i="7"/>
  <c r="BO69" i="3"/>
  <c r="K65" i="7"/>
  <c r="BO73" i="3"/>
  <c r="K69" i="7"/>
  <c r="BO77" i="3"/>
  <c r="K73" i="7"/>
  <c r="BQ26" i="3"/>
  <c r="M22" i="7"/>
  <c r="BQ30" i="3"/>
  <c r="M26" i="7"/>
  <c r="AZ31" i="3"/>
  <c r="BO19" i="3"/>
  <c r="K15" i="7"/>
  <c r="BO24" i="3"/>
  <c r="K20" i="7"/>
  <c r="BO29" i="3"/>
  <c r="K25" i="7"/>
  <c r="BO45" i="3"/>
  <c r="K41" i="7"/>
  <c r="BO49" i="3"/>
  <c r="K45" i="7"/>
  <c r="BO58" i="3"/>
  <c r="K54" i="7"/>
  <c r="BO62" i="3"/>
  <c r="K58" i="7"/>
  <c r="BO66" i="3"/>
  <c r="K62" i="7"/>
  <c r="BO78" i="3"/>
  <c r="K74" i="7"/>
  <c r="BQ13" i="3"/>
  <c r="M9" i="7"/>
  <c r="BQ27" i="3"/>
  <c r="M23" i="7"/>
  <c r="BQ54" i="3"/>
  <c r="M50" i="7"/>
  <c r="BI53" i="3"/>
  <c r="BM43" i="3"/>
  <c r="BJ43" i="3"/>
  <c r="BM74" i="3"/>
  <c r="Y70" i="7"/>
  <c r="Y66" i="7"/>
  <c r="Y51" i="7"/>
  <c r="Y44" i="7"/>
  <c r="BB48" i="3"/>
  <c r="Z44" i="7" s="1"/>
  <c r="Y39" i="7"/>
  <c r="BB43" i="3"/>
  <c r="Z74" i="3"/>
  <c r="AC74" i="3"/>
  <c r="AC48" i="3"/>
  <c r="Z48" i="3"/>
  <c r="AC43" i="3"/>
  <c r="Z43" i="3"/>
  <c r="Z31" i="3"/>
  <c r="AC12" i="3"/>
  <c r="AD12" i="3" s="1"/>
  <c r="Z12" i="3"/>
  <c r="M74" i="3"/>
  <c r="M70" i="3"/>
  <c r="M55" i="3"/>
  <c r="E23" i="3"/>
  <c r="BQ32" i="3"/>
  <c r="M28" i="7"/>
  <c r="BQ75" i="3"/>
  <c r="M71" i="7"/>
  <c r="BQ76" i="3"/>
  <c r="M72" i="7"/>
  <c r="BQ77" i="3"/>
  <c r="M73" i="7"/>
  <c r="BQ71" i="3"/>
  <c r="M67" i="7"/>
  <c r="BQ72" i="3"/>
  <c r="M68" i="7"/>
  <c r="BQ73" i="3"/>
  <c r="M69" i="7"/>
  <c r="BH55" i="3"/>
  <c r="BJ55" i="3" s="1"/>
  <c r="BM48" i="3"/>
  <c r="Z39" i="7"/>
  <c r="BQ52" i="3"/>
  <c r="M48" i="7"/>
  <c r="BQ49" i="3"/>
  <c r="M45" i="7"/>
  <c r="BQ50" i="3"/>
  <c r="M46" i="7"/>
  <c r="BQ51" i="3"/>
  <c r="M47" i="7"/>
  <c r="BQ44" i="3"/>
  <c r="M40" i="7"/>
  <c r="BQ45" i="3"/>
  <c r="M41" i="7"/>
  <c r="BQ46" i="3"/>
  <c r="M42" i="7"/>
  <c r="BQ47" i="3"/>
  <c r="M43" i="7"/>
  <c r="BH70" i="3"/>
  <c r="BJ70" i="3" s="1"/>
  <c r="AZ74" i="3"/>
  <c r="BB74" i="3" s="1"/>
  <c r="H31" i="3"/>
  <c r="J31" i="3" s="1"/>
  <c r="AZ55" i="3"/>
  <c r="X51" i="7" s="1"/>
  <c r="AZ70" i="3"/>
  <c r="BB70" i="3" s="1"/>
  <c r="Z66" i="7" s="1"/>
  <c r="BO54" i="3"/>
  <c r="K50" i="7"/>
  <c r="BO41" i="3"/>
  <c r="K37" i="7"/>
  <c r="BO39" i="3"/>
  <c r="K35" i="7"/>
  <c r="BO38" i="3"/>
  <c r="K34" i="7"/>
  <c r="BO37" i="3"/>
  <c r="K33" i="7"/>
  <c r="BO36" i="3"/>
  <c r="K32" i="7"/>
  <c r="BO35" i="3"/>
  <c r="K31" i="7"/>
  <c r="K33" i="3"/>
  <c r="K29" i="7" s="1"/>
  <c r="BO34" i="3"/>
  <c r="K30" i="7"/>
  <c r="BO21" i="3"/>
  <c r="K17" i="7"/>
  <c r="BO18" i="3"/>
  <c r="K14" i="7"/>
  <c r="BO17" i="3"/>
  <c r="K13" i="7"/>
  <c r="BO15" i="3"/>
  <c r="K11" i="7"/>
  <c r="BQ48" i="3"/>
  <c r="BQ56" i="3"/>
  <c r="M52" i="7"/>
  <c r="BQ60" i="3"/>
  <c r="M56" i="7"/>
  <c r="BQ64" i="3"/>
  <c r="M60" i="7"/>
  <c r="BQ68" i="3"/>
  <c r="M64" i="7"/>
  <c r="E53" i="3"/>
  <c r="E25" i="3" s="1"/>
  <c r="BQ57" i="3"/>
  <c r="M53" i="7"/>
  <c r="BQ61" i="3"/>
  <c r="M57" i="7"/>
  <c r="BQ65" i="3"/>
  <c r="M61" i="7"/>
  <c r="BQ69" i="3"/>
  <c r="M65" i="7"/>
  <c r="BQ58" i="3"/>
  <c r="M54" i="7"/>
  <c r="BQ62" i="3"/>
  <c r="M58" i="7"/>
  <c r="BQ66" i="3"/>
  <c r="M62" i="7"/>
  <c r="BQ59" i="3"/>
  <c r="M55" i="7"/>
  <c r="BQ63" i="3"/>
  <c r="M59" i="7"/>
  <c r="BQ67" i="3"/>
  <c r="M63" i="7"/>
  <c r="BQ41" i="3"/>
  <c r="M37" i="7"/>
  <c r="P39" i="7"/>
  <c r="AU74" i="3"/>
  <c r="S70" i="7" s="1"/>
  <c r="AM53" i="3"/>
  <c r="AP53" i="3" s="1"/>
  <c r="AI53" i="3"/>
  <c r="AH70" i="3"/>
  <c r="AU70" i="3"/>
  <c r="S66" i="7" s="1"/>
  <c r="AH55" i="3"/>
  <c r="AU55" i="3"/>
  <c r="S51" i="7" s="1"/>
  <c r="AH33" i="3"/>
  <c r="AU33" i="3"/>
  <c r="S29" i="7" s="1"/>
  <c r="AA43" i="3"/>
  <c r="O39" i="7" s="1"/>
  <c r="O44" i="7"/>
  <c r="O23" i="3"/>
  <c r="AA23" i="3" s="1"/>
  <c r="O19" i="7" s="1"/>
  <c r="O8" i="7"/>
  <c r="D55" i="3"/>
  <c r="F55" i="3" s="1"/>
  <c r="D70" i="3"/>
  <c r="F70" i="3" s="1"/>
  <c r="H12" i="3"/>
  <c r="BD74" i="3"/>
  <c r="BF74" i="3" s="1"/>
  <c r="D74" i="3"/>
  <c r="D12" i="3"/>
  <c r="D23" i="3" s="1"/>
  <c r="BD55" i="3"/>
  <c r="BF55" i="3" s="1"/>
  <c r="BD70" i="3"/>
  <c r="BF70" i="3" s="1"/>
  <c r="BM70" i="3"/>
  <c r="BM23" i="3"/>
  <c r="BQ19" i="3"/>
  <c r="M15" i="7"/>
  <c r="BQ16" i="3"/>
  <c r="M12" i="7"/>
  <c r="BQ14" i="3"/>
  <c r="M10" i="7"/>
  <c r="BE53" i="3"/>
  <c r="BM55" i="3"/>
  <c r="P70" i="7"/>
  <c r="P19" i="7"/>
  <c r="T70" i="7"/>
  <c r="AA55" i="3"/>
  <c r="O51" i="7" s="1"/>
  <c r="BM33" i="3"/>
  <c r="Z20" i="7"/>
  <c r="X20" i="7"/>
  <c r="Z37" i="7"/>
  <c r="X37" i="7"/>
  <c r="Z64" i="7"/>
  <c r="X64" i="7"/>
  <c r="Z74" i="7"/>
  <c r="X74" i="7"/>
  <c r="Z12" i="7"/>
  <c r="X12" i="7"/>
  <c r="Z16" i="7"/>
  <c r="X16" i="7"/>
  <c r="Z22" i="7"/>
  <c r="X22" i="7"/>
  <c r="Z26" i="7"/>
  <c r="X26" i="7"/>
  <c r="Z33" i="7"/>
  <c r="X33" i="7"/>
  <c r="Z50" i="7"/>
  <c r="X50" i="7"/>
  <c r="Z53" i="7"/>
  <c r="X53" i="7"/>
  <c r="Z57" i="7"/>
  <c r="X57" i="7"/>
  <c r="Z61" i="7"/>
  <c r="X61" i="7"/>
  <c r="Z65" i="7"/>
  <c r="X65" i="7"/>
  <c r="Z68" i="7"/>
  <c r="X68" i="7"/>
  <c r="Z71" i="7"/>
  <c r="X71" i="7"/>
  <c r="Z75" i="7"/>
  <c r="X75" i="7"/>
  <c r="Z81" i="7"/>
  <c r="X81" i="7"/>
  <c r="Z84" i="7"/>
  <c r="X84" i="7"/>
  <c r="Z11" i="7"/>
  <c r="X11" i="7"/>
  <c r="Z25" i="7"/>
  <c r="X25" i="7"/>
  <c r="Z52" i="7"/>
  <c r="X52" i="7"/>
  <c r="Z60" i="7"/>
  <c r="X60" i="7"/>
  <c r="Z80" i="7"/>
  <c r="X80" i="7"/>
  <c r="BD48" i="3"/>
  <c r="BF48" i="3" s="1"/>
  <c r="D43" i="3"/>
  <c r="Z9" i="7"/>
  <c r="X9" i="7"/>
  <c r="Z13" i="7"/>
  <c r="X13" i="7"/>
  <c r="Z17" i="7"/>
  <c r="X17" i="7"/>
  <c r="Z30" i="7"/>
  <c r="X30" i="7"/>
  <c r="Z34" i="7"/>
  <c r="X34" i="7"/>
  <c r="Z54" i="7"/>
  <c r="X54" i="7"/>
  <c r="Z58" i="7"/>
  <c r="X58" i="7"/>
  <c r="Z62" i="7"/>
  <c r="X62" i="7"/>
  <c r="Z69" i="7"/>
  <c r="X69" i="7"/>
  <c r="Z72" i="7"/>
  <c r="X72" i="7"/>
  <c r="Z76" i="7"/>
  <c r="X76" i="7"/>
  <c r="D48" i="3"/>
  <c r="F48" i="3" s="1"/>
  <c r="Z15" i="7"/>
  <c r="X15" i="7"/>
  <c r="Z32" i="7"/>
  <c r="X32" i="7"/>
  <c r="Z56" i="7"/>
  <c r="X56" i="7"/>
  <c r="Z67" i="7"/>
  <c r="X67" i="7"/>
  <c r="X10" i="7"/>
  <c r="Z14" i="7"/>
  <c r="X14" i="7"/>
  <c r="Z18" i="7"/>
  <c r="X18" i="7"/>
  <c r="Z24" i="7"/>
  <c r="X24" i="7"/>
  <c r="Z28" i="7"/>
  <c r="X28" i="7"/>
  <c r="Z31" i="7"/>
  <c r="X31" i="7"/>
  <c r="Z35" i="7"/>
  <c r="X35" i="7"/>
  <c r="Z55" i="7"/>
  <c r="X55" i="7"/>
  <c r="Z59" i="7"/>
  <c r="X59" i="7"/>
  <c r="Z63" i="7"/>
  <c r="X63" i="7"/>
  <c r="Z73" i="7"/>
  <c r="X73" i="7"/>
  <c r="Z77" i="7"/>
  <c r="X77" i="7"/>
  <c r="BQ74" i="3"/>
  <c r="BA53" i="3"/>
  <c r="BA23" i="3"/>
  <c r="Y8" i="7"/>
  <c r="Y53" i="3"/>
  <c r="AC55" i="3"/>
  <c r="AC33" i="3"/>
  <c r="Y23" i="3"/>
  <c r="BQ15" i="3"/>
  <c r="M11" i="7"/>
  <c r="M29" i="7"/>
  <c r="BQ34" i="3"/>
  <c r="M30" i="7"/>
  <c r="BQ38" i="3"/>
  <c r="M34" i="7"/>
  <c r="BQ35" i="3"/>
  <c r="M31" i="7"/>
  <c r="BQ39" i="3"/>
  <c r="M35" i="7"/>
  <c r="BQ36" i="3"/>
  <c r="M32" i="7"/>
  <c r="BQ37" i="3"/>
  <c r="M33" i="7"/>
  <c r="BQ21" i="3"/>
  <c r="M17" i="7"/>
  <c r="BQ18" i="3"/>
  <c r="M14" i="7"/>
  <c r="BQ20" i="3"/>
  <c r="M16" i="7"/>
  <c r="M12" i="3"/>
  <c r="BQ17" i="3"/>
  <c r="M13" i="7"/>
  <c r="R53" i="7"/>
  <c r="P53" i="7"/>
  <c r="L29" i="3"/>
  <c r="N29" i="3" s="1"/>
  <c r="L32" i="3"/>
  <c r="N32" i="3" s="1"/>
  <c r="V13" i="3"/>
  <c r="AB13" i="3"/>
  <c r="V26" i="3"/>
  <c r="AB26" i="3"/>
  <c r="V30" i="3"/>
  <c r="AB30" i="3"/>
  <c r="AD30" i="3" s="1"/>
  <c r="V37" i="3"/>
  <c r="AB37" i="3"/>
  <c r="AD37" i="3" s="1"/>
  <c r="V45" i="3"/>
  <c r="AB45" i="3"/>
  <c r="AD45" i="3" s="1"/>
  <c r="V51" i="3"/>
  <c r="AB51" i="3"/>
  <c r="AD51" i="3" s="1"/>
  <c r="V58" i="3"/>
  <c r="AB58" i="3"/>
  <c r="AD58" i="3" s="1"/>
  <c r="V62" i="3"/>
  <c r="AB62" i="3"/>
  <c r="AD62" i="3" s="1"/>
  <c r="V66" i="3"/>
  <c r="AB66" i="3"/>
  <c r="AD66" i="3" s="1"/>
  <c r="V70" i="3"/>
  <c r="AB70" i="3"/>
  <c r="AD70" i="3" s="1"/>
  <c r="V73" i="3"/>
  <c r="AB73" i="3"/>
  <c r="AD73" i="3" s="1"/>
  <c r="V75" i="3"/>
  <c r="AB75" i="3"/>
  <c r="AD75" i="3" s="1"/>
  <c r="V79" i="3"/>
  <c r="AB79" i="3"/>
  <c r="AD79" i="3" s="1"/>
  <c r="V85" i="3"/>
  <c r="AB85" i="3"/>
  <c r="AD85" i="3" s="1"/>
  <c r="AP14" i="3"/>
  <c r="AV14" i="3"/>
  <c r="AP22" i="3"/>
  <c r="AV22" i="3"/>
  <c r="AX22" i="3" s="1"/>
  <c r="AP28" i="3"/>
  <c r="AV28" i="3"/>
  <c r="AP32" i="3"/>
  <c r="AV32" i="3"/>
  <c r="AP47" i="3"/>
  <c r="AV47" i="3"/>
  <c r="AX47" i="3" s="1"/>
  <c r="AP49" i="3"/>
  <c r="AV49" i="3"/>
  <c r="AX49" i="3" s="1"/>
  <c r="AP79" i="3"/>
  <c r="AV79" i="3"/>
  <c r="AP85" i="3"/>
  <c r="AV85" i="3"/>
  <c r="AX85" i="3" s="1"/>
  <c r="AP88" i="3"/>
  <c r="AV88" i="3"/>
  <c r="AX88" i="3" s="1"/>
  <c r="BL15" i="3"/>
  <c r="BL19" i="3"/>
  <c r="BL22" i="3"/>
  <c r="BN22" i="3" s="1"/>
  <c r="BL28" i="3"/>
  <c r="BN28" i="3" s="1"/>
  <c r="BL37" i="3"/>
  <c r="BN37" i="3" s="1"/>
  <c r="BL45" i="3"/>
  <c r="BL52" i="3"/>
  <c r="BN52" i="3" s="1"/>
  <c r="BL59" i="3"/>
  <c r="BN59" i="3" s="1"/>
  <c r="BL63" i="3"/>
  <c r="BN63" i="3" s="1"/>
  <c r="BL67" i="3"/>
  <c r="BN67" i="3" s="1"/>
  <c r="BL76" i="3"/>
  <c r="BN76" i="3" s="1"/>
  <c r="BL85" i="3"/>
  <c r="BN85" i="3" s="1"/>
  <c r="AB33" i="3"/>
  <c r="P29" i="7" s="1"/>
  <c r="L49" i="3"/>
  <c r="N49" i="3" s="1"/>
  <c r="V14" i="3"/>
  <c r="AB14" i="3"/>
  <c r="V22" i="3"/>
  <c r="AB22" i="3"/>
  <c r="AB27" i="3"/>
  <c r="AD27" i="3" s="1"/>
  <c r="V34" i="3"/>
  <c r="AB34" i="3"/>
  <c r="AD34" i="3" s="1"/>
  <c r="V38" i="3"/>
  <c r="AB38" i="3"/>
  <c r="AD38" i="3" s="1"/>
  <c r="V46" i="3"/>
  <c r="AB46" i="3"/>
  <c r="AD46" i="3" s="1"/>
  <c r="V52" i="3"/>
  <c r="AB52" i="3"/>
  <c r="AD52" i="3" s="1"/>
  <c r="V56" i="3"/>
  <c r="AB56" i="3"/>
  <c r="AD56" i="3" s="1"/>
  <c r="V59" i="3"/>
  <c r="AB59" i="3"/>
  <c r="AD59" i="3" s="1"/>
  <c r="V63" i="3"/>
  <c r="AB63" i="3"/>
  <c r="AD63" i="3" s="1"/>
  <c r="V67" i="3"/>
  <c r="AB67" i="3"/>
  <c r="AD67" i="3" s="1"/>
  <c r="V76" i="3"/>
  <c r="AB76" i="3"/>
  <c r="AD76" i="3" s="1"/>
  <c r="V80" i="3"/>
  <c r="AB80" i="3"/>
  <c r="AD80" i="3" s="1"/>
  <c r="AL75" i="3"/>
  <c r="AV75" i="3"/>
  <c r="AX75" i="3" s="1"/>
  <c r="AP19" i="3"/>
  <c r="AV19" i="3"/>
  <c r="AX19" i="3" s="1"/>
  <c r="AP24" i="3"/>
  <c r="AV24" i="3"/>
  <c r="AP29" i="3"/>
  <c r="AV29" i="3"/>
  <c r="AP44" i="3"/>
  <c r="AV44" i="3"/>
  <c r="AX44" i="3" s="1"/>
  <c r="AP50" i="3"/>
  <c r="AV50" i="3"/>
  <c r="AX50" i="3" s="1"/>
  <c r="AP80" i="3"/>
  <c r="AV80" i="3"/>
  <c r="AX80" i="3" s="1"/>
  <c r="BL13" i="3"/>
  <c r="BN13" i="3" s="1"/>
  <c r="BL16" i="3"/>
  <c r="BL24" i="3"/>
  <c r="BN24" i="3" s="1"/>
  <c r="BL29" i="3"/>
  <c r="BN29" i="3" s="1"/>
  <c r="BL32" i="3"/>
  <c r="BN32" i="3" s="1"/>
  <c r="BL34" i="3"/>
  <c r="BN34" i="3" s="1"/>
  <c r="BL38" i="3"/>
  <c r="BN38" i="3" s="1"/>
  <c r="BL43" i="3"/>
  <c r="BL46" i="3"/>
  <c r="BN46" i="3" s="1"/>
  <c r="BL49" i="3"/>
  <c r="BL56" i="3"/>
  <c r="BN56" i="3" s="1"/>
  <c r="BL60" i="3"/>
  <c r="BN60" i="3" s="1"/>
  <c r="BL64" i="3"/>
  <c r="BN64" i="3" s="1"/>
  <c r="BL68" i="3"/>
  <c r="BN68" i="3" s="1"/>
  <c r="BL71" i="3"/>
  <c r="BN71" i="3" s="1"/>
  <c r="BL77" i="3"/>
  <c r="BL80" i="3"/>
  <c r="BN80" i="3" s="1"/>
  <c r="BL86" i="3"/>
  <c r="AB48" i="3"/>
  <c r="L27" i="3"/>
  <c r="N27" i="3" s="1"/>
  <c r="L69" i="3"/>
  <c r="N69" i="3" s="1"/>
  <c r="R17" i="3"/>
  <c r="AB17" i="3"/>
  <c r="AD17" i="3" s="1"/>
  <c r="V15" i="3"/>
  <c r="AB15" i="3"/>
  <c r="AD15" i="3" s="1"/>
  <c r="V19" i="3"/>
  <c r="AB19" i="3"/>
  <c r="AD19" i="3" s="1"/>
  <c r="V24" i="3"/>
  <c r="AB24" i="3"/>
  <c r="V28" i="3"/>
  <c r="AB28" i="3"/>
  <c r="AD28" i="3" s="1"/>
  <c r="V32" i="3"/>
  <c r="AB32" i="3"/>
  <c r="V35" i="3"/>
  <c r="AB35" i="3"/>
  <c r="AD35" i="3" s="1"/>
  <c r="V39" i="3"/>
  <c r="AB39" i="3"/>
  <c r="AD39" i="3" s="1"/>
  <c r="V47" i="3"/>
  <c r="AB47" i="3"/>
  <c r="AD47" i="3" s="1"/>
  <c r="V49" i="3"/>
  <c r="AB49" i="3"/>
  <c r="AD49" i="3" s="1"/>
  <c r="V60" i="3"/>
  <c r="AB60" i="3"/>
  <c r="AD60" i="3" s="1"/>
  <c r="V64" i="3"/>
  <c r="AB64" i="3"/>
  <c r="AD64" i="3" s="1"/>
  <c r="V68" i="3"/>
  <c r="AB68" i="3"/>
  <c r="AD68" i="3" s="1"/>
  <c r="V71" i="3"/>
  <c r="AB71" i="3"/>
  <c r="AD71" i="3" s="1"/>
  <c r="V77" i="3"/>
  <c r="AB77" i="3"/>
  <c r="AD77" i="3" s="1"/>
  <c r="V81" i="3"/>
  <c r="AB81" i="3"/>
  <c r="AD81" i="3" s="1"/>
  <c r="AL76" i="3"/>
  <c r="AV76" i="3"/>
  <c r="AX76" i="3" s="1"/>
  <c r="AP26" i="3"/>
  <c r="AV26" i="3"/>
  <c r="AP30" i="3"/>
  <c r="AV30" i="3"/>
  <c r="AP45" i="3"/>
  <c r="AV45" i="3"/>
  <c r="AX45" i="3" s="1"/>
  <c r="AP48" i="3"/>
  <c r="AV48" i="3"/>
  <c r="AX48" i="3" s="1"/>
  <c r="AP51" i="3"/>
  <c r="AV51" i="3"/>
  <c r="AX51" i="3" s="1"/>
  <c r="AV78" i="3"/>
  <c r="AX78" i="3" s="1"/>
  <c r="AP81" i="3"/>
  <c r="AV81" i="3"/>
  <c r="AX81" i="3" s="1"/>
  <c r="AP86" i="3"/>
  <c r="AV86" i="3"/>
  <c r="AX86" i="3" s="1"/>
  <c r="BL17" i="3"/>
  <c r="BN17" i="3" s="1"/>
  <c r="BL20" i="3"/>
  <c r="BL26" i="3"/>
  <c r="BN26" i="3" s="1"/>
  <c r="BL35" i="3"/>
  <c r="BL39" i="3"/>
  <c r="BL47" i="3"/>
  <c r="BN47" i="3" s="1"/>
  <c r="BL50" i="3"/>
  <c r="BN50" i="3" s="1"/>
  <c r="BL54" i="3"/>
  <c r="BL57" i="3"/>
  <c r="BL61" i="3"/>
  <c r="BL65" i="3"/>
  <c r="BL69" i="3"/>
  <c r="BL72" i="3"/>
  <c r="BN72" i="3" s="1"/>
  <c r="BL78" i="3"/>
  <c r="BN78" i="3" s="1"/>
  <c r="BL81" i="3"/>
  <c r="V29" i="3"/>
  <c r="AB29" i="3"/>
  <c r="AD29" i="3" s="1"/>
  <c r="V36" i="3"/>
  <c r="AB36" i="3"/>
  <c r="AD36" i="3" s="1"/>
  <c r="V41" i="3"/>
  <c r="AB41" i="3"/>
  <c r="AD41" i="3" s="1"/>
  <c r="V44" i="3"/>
  <c r="AB44" i="3"/>
  <c r="V50" i="3"/>
  <c r="AB50" i="3"/>
  <c r="AD50" i="3" s="1"/>
  <c r="V61" i="3"/>
  <c r="AB61" i="3"/>
  <c r="AD61" i="3" s="1"/>
  <c r="V65" i="3"/>
  <c r="AB65" i="3"/>
  <c r="AD65" i="3" s="1"/>
  <c r="V69" i="3"/>
  <c r="AB69" i="3"/>
  <c r="AD69" i="3" s="1"/>
  <c r="V72" i="3"/>
  <c r="AB72" i="3"/>
  <c r="AD72" i="3" s="1"/>
  <c r="V78" i="3"/>
  <c r="AB78" i="3"/>
  <c r="AD78" i="3" s="1"/>
  <c r="V84" i="3"/>
  <c r="AB84" i="3"/>
  <c r="AD84" i="3" s="1"/>
  <c r="V88" i="3"/>
  <c r="AB88" i="3"/>
  <c r="AL77" i="3"/>
  <c r="AV77" i="3"/>
  <c r="AX77" i="3" s="1"/>
  <c r="AP13" i="3"/>
  <c r="AV13" i="3"/>
  <c r="AV27" i="3"/>
  <c r="AP43" i="3"/>
  <c r="AV43" i="3"/>
  <c r="AX43" i="3" s="1"/>
  <c r="AP46" i="3"/>
  <c r="AV46" i="3"/>
  <c r="AX46" i="3" s="1"/>
  <c r="AP52" i="3"/>
  <c r="AV52" i="3"/>
  <c r="AX52" i="3" s="1"/>
  <c r="AP84" i="3"/>
  <c r="AV84" i="3"/>
  <c r="AX84" i="3" s="1"/>
  <c r="BL14" i="3"/>
  <c r="BN14" i="3" s="1"/>
  <c r="BL18" i="3"/>
  <c r="BL21" i="3"/>
  <c r="BL27" i="3"/>
  <c r="BL30" i="3"/>
  <c r="BN30" i="3" s="1"/>
  <c r="BL36" i="3"/>
  <c r="BN36" i="3" s="1"/>
  <c r="BL41" i="3"/>
  <c r="BN41" i="3" s="1"/>
  <c r="BL44" i="3"/>
  <c r="BN44" i="3" s="1"/>
  <c r="BL51" i="3"/>
  <c r="BN51" i="3" s="1"/>
  <c r="BL58" i="3"/>
  <c r="BN58" i="3" s="1"/>
  <c r="BL62" i="3"/>
  <c r="BN62" i="3" s="1"/>
  <c r="BL66" i="3"/>
  <c r="BN66" i="3" s="1"/>
  <c r="BL73" i="3"/>
  <c r="BL75" i="3"/>
  <c r="BN75" i="3" s="1"/>
  <c r="BL79" i="3"/>
  <c r="BN79" i="3" s="1"/>
  <c r="BL84" i="3"/>
  <c r="BN84" i="3" s="1"/>
  <c r="BL88" i="3"/>
  <c r="BN88" i="3" s="1"/>
  <c r="AY31" i="3"/>
  <c r="W27" i="7" s="1"/>
  <c r="X29" i="7"/>
  <c r="AL43" i="3"/>
  <c r="O31" i="3"/>
  <c r="AA33" i="3"/>
  <c r="AG87" i="3"/>
  <c r="W53" i="3"/>
  <c r="W31" i="3"/>
  <c r="O53" i="3"/>
  <c r="R43" i="3"/>
  <c r="L13" i="3"/>
  <c r="N13" i="3" s="1"/>
  <c r="L17" i="3"/>
  <c r="N17" i="3" s="1"/>
  <c r="L21" i="3"/>
  <c r="N21" i="3" s="1"/>
  <c r="L37" i="3"/>
  <c r="N37" i="3" s="1"/>
  <c r="L47" i="3"/>
  <c r="N47" i="3" s="1"/>
  <c r="L51" i="3"/>
  <c r="N51" i="3" s="1"/>
  <c r="L59" i="3"/>
  <c r="N59" i="3" s="1"/>
  <c r="L63" i="3"/>
  <c r="N63" i="3" s="1"/>
  <c r="L67" i="3"/>
  <c r="N67" i="3" s="1"/>
  <c r="L71" i="3"/>
  <c r="N71" i="3" s="1"/>
  <c r="L75" i="3"/>
  <c r="N75" i="3" s="1"/>
  <c r="L79" i="3"/>
  <c r="N79" i="3" s="1"/>
  <c r="L84" i="3"/>
  <c r="N84" i="3" s="1"/>
  <c r="L88" i="3"/>
  <c r="N88" i="3" s="1"/>
  <c r="L14" i="3"/>
  <c r="N14" i="3" s="1"/>
  <c r="L18" i="3"/>
  <c r="N18" i="3" s="1"/>
  <c r="L22" i="3"/>
  <c r="N22" i="3" s="1"/>
  <c r="L26" i="3"/>
  <c r="N26" i="3" s="1"/>
  <c r="L30" i="3"/>
  <c r="N30" i="3" s="1"/>
  <c r="L34" i="3"/>
  <c r="N34" i="3" s="1"/>
  <c r="L38" i="3"/>
  <c r="N38" i="3" s="1"/>
  <c r="L44" i="3"/>
  <c r="N44" i="3" s="1"/>
  <c r="L52" i="3"/>
  <c r="N52" i="3" s="1"/>
  <c r="L56" i="3"/>
  <c r="N56" i="3" s="1"/>
  <c r="L60" i="3"/>
  <c r="N60" i="3" s="1"/>
  <c r="L64" i="3"/>
  <c r="N64" i="3" s="1"/>
  <c r="L68" i="3"/>
  <c r="N68" i="3" s="1"/>
  <c r="L72" i="3"/>
  <c r="N72" i="3" s="1"/>
  <c r="L76" i="3"/>
  <c r="N76" i="3" s="1"/>
  <c r="L80" i="3"/>
  <c r="N80" i="3" s="1"/>
  <c r="L85" i="3"/>
  <c r="N85" i="3" s="1"/>
  <c r="U87" i="3"/>
  <c r="L15" i="3"/>
  <c r="N15" i="3" s="1"/>
  <c r="L19" i="3"/>
  <c r="N19" i="3" s="1"/>
  <c r="L35" i="3"/>
  <c r="N35" i="3" s="1"/>
  <c r="L39" i="3"/>
  <c r="N39" i="3" s="1"/>
  <c r="L45" i="3"/>
  <c r="N45" i="3" s="1"/>
  <c r="L57" i="3"/>
  <c r="N57" i="3" s="1"/>
  <c r="L61" i="3"/>
  <c r="N61" i="3" s="1"/>
  <c r="L65" i="3"/>
  <c r="N65" i="3" s="1"/>
  <c r="L73" i="3"/>
  <c r="N73" i="3" s="1"/>
  <c r="L77" i="3"/>
  <c r="N77" i="3" s="1"/>
  <c r="L81" i="3"/>
  <c r="N81" i="3" s="1"/>
  <c r="L86" i="3"/>
  <c r="N86" i="3" s="1"/>
  <c r="L16" i="3"/>
  <c r="N16" i="3" s="1"/>
  <c r="L20" i="3"/>
  <c r="N20" i="3" s="1"/>
  <c r="L24" i="3"/>
  <c r="N24" i="3" s="1"/>
  <c r="L28" i="3"/>
  <c r="N28" i="3" s="1"/>
  <c r="L36" i="3"/>
  <c r="N36" i="3" s="1"/>
  <c r="L41" i="3"/>
  <c r="N41" i="3" s="1"/>
  <c r="L46" i="3"/>
  <c r="N46" i="3" s="1"/>
  <c r="L50" i="3"/>
  <c r="N50" i="3" s="1"/>
  <c r="L54" i="3"/>
  <c r="N54" i="3" s="1"/>
  <c r="L58" i="3"/>
  <c r="N58" i="3" s="1"/>
  <c r="L62" i="3"/>
  <c r="N62" i="3" s="1"/>
  <c r="L66" i="3"/>
  <c r="N66" i="3" s="1"/>
  <c r="L78" i="3"/>
  <c r="N78" i="3" s="1"/>
  <c r="R48" i="3"/>
  <c r="AH74" i="3"/>
  <c r="V43" i="3"/>
  <c r="V48" i="3"/>
  <c r="R74" i="3"/>
  <c r="V74" i="3"/>
  <c r="AH48" i="3"/>
  <c r="AL74" i="3"/>
  <c r="Z29" i="7"/>
  <c r="AH43" i="3"/>
  <c r="AL48" i="3"/>
  <c r="BG31" i="3"/>
  <c r="BK31" i="3" s="1"/>
  <c r="AA27" i="7" s="1"/>
  <c r="BG53" i="3"/>
  <c r="BK53" i="3" s="1"/>
  <c r="AA49" i="7" s="1"/>
  <c r="BI25" i="3"/>
  <c r="BC25" i="3"/>
  <c r="BC23" i="3"/>
  <c r="BK23" i="3" s="1"/>
  <c r="AA19" i="7" s="1"/>
  <c r="AO83" i="3"/>
  <c r="AO23" i="3"/>
  <c r="AM31" i="3"/>
  <c r="AK83" i="3"/>
  <c r="AL53" i="3"/>
  <c r="AK23" i="3"/>
  <c r="AL23" i="3" s="1"/>
  <c r="AL55" i="3"/>
  <c r="AI31" i="3"/>
  <c r="AG23" i="3"/>
  <c r="AG89" i="3" s="1"/>
  <c r="AE31" i="3"/>
  <c r="AE53" i="3"/>
  <c r="AE23" i="3"/>
  <c r="AU23" i="3" s="1"/>
  <c r="S19" i="7" s="1"/>
  <c r="V53" i="3"/>
  <c r="V12" i="3"/>
  <c r="U23" i="3"/>
  <c r="V23" i="3" s="1"/>
  <c r="S31" i="3"/>
  <c r="Q23" i="3"/>
  <c r="R23" i="3" s="1"/>
  <c r="R33" i="3"/>
  <c r="R86" i="3"/>
  <c r="R12" i="3"/>
  <c r="G25" i="3"/>
  <c r="I23" i="3"/>
  <c r="M23" i="3" s="1"/>
  <c r="H55" i="3"/>
  <c r="I83" i="3"/>
  <c r="G23" i="3"/>
  <c r="C23" i="3"/>
  <c r="C31" i="3"/>
  <c r="K31" i="3" s="1"/>
  <c r="K27" i="7" s="1"/>
  <c r="C53" i="3"/>
  <c r="K53" i="3" s="1"/>
  <c r="K49" i="7" s="1"/>
  <c r="X66" i="7" l="1"/>
  <c r="AY25" i="3"/>
  <c r="W21" i="7" s="1"/>
  <c r="W86" i="7" s="1"/>
  <c r="BD23" i="3"/>
  <c r="BF23" i="3" s="1"/>
  <c r="BB31" i="3"/>
  <c r="Z27" i="7" s="1"/>
  <c r="BL74" i="3"/>
  <c r="BN74" i="3" s="1"/>
  <c r="AD70" i="7" s="1"/>
  <c r="L74" i="3"/>
  <c r="N74" i="3" s="1"/>
  <c r="N70" i="7" s="1"/>
  <c r="X82" i="7"/>
  <c r="BO48" i="3"/>
  <c r="AW25" i="3"/>
  <c r="U21" i="7" s="1"/>
  <c r="U86" i="7" s="1"/>
  <c r="AU31" i="3"/>
  <c r="BO43" i="3"/>
  <c r="AX53" i="3"/>
  <c r="V49" i="7" s="1"/>
  <c r="U49" i="7"/>
  <c r="BO86" i="3"/>
  <c r="K82" i="7"/>
  <c r="AX79" i="3"/>
  <c r="V75" i="7" s="1"/>
  <c r="BQ33" i="3"/>
  <c r="AX33" i="3"/>
  <c r="V29" i="7" s="1"/>
  <c r="U29" i="7"/>
  <c r="AT86" i="3"/>
  <c r="AR87" i="3"/>
  <c r="AW83" i="3"/>
  <c r="P84" i="7"/>
  <c r="AD88" i="3"/>
  <c r="AX74" i="3"/>
  <c r="V70" i="7" s="1"/>
  <c r="U51" i="7"/>
  <c r="AX55" i="3"/>
  <c r="V51" i="7" s="1"/>
  <c r="BQ86" i="3"/>
  <c r="AX70" i="3"/>
  <c r="V66" i="7" s="1"/>
  <c r="U66" i="7"/>
  <c r="Z86" i="3"/>
  <c r="X87" i="3"/>
  <c r="X89" i="3" s="1"/>
  <c r="AX31" i="3"/>
  <c r="V27" i="7" s="1"/>
  <c r="U27" i="7"/>
  <c r="BQ70" i="3"/>
  <c r="AB82" i="7"/>
  <c r="BN86" i="3"/>
  <c r="AD82" i="7" s="1"/>
  <c r="H53" i="3"/>
  <c r="J53" i="3" s="1"/>
  <c r="J55" i="3"/>
  <c r="AB77" i="7"/>
  <c r="BN81" i="3"/>
  <c r="F74" i="3"/>
  <c r="BB55" i="3"/>
  <c r="Z51" i="7" s="1"/>
  <c r="Z70" i="7"/>
  <c r="BO74" i="3"/>
  <c r="AB17" i="7"/>
  <c r="BN21" i="3"/>
  <c r="AD17" i="7" s="1"/>
  <c r="T9" i="7"/>
  <c r="AX13" i="3"/>
  <c r="P40" i="7"/>
  <c r="AD44" i="3"/>
  <c r="AB61" i="7"/>
  <c r="BN65" i="3"/>
  <c r="AD61" i="7" s="1"/>
  <c r="T22" i="7"/>
  <c r="AX26" i="3"/>
  <c r="P28" i="7"/>
  <c r="AD32" i="3"/>
  <c r="P20" i="7"/>
  <c r="AD24" i="3"/>
  <c r="AB45" i="7"/>
  <c r="BN49" i="3"/>
  <c r="AD45" i="7" s="1"/>
  <c r="AB12" i="7"/>
  <c r="BN16" i="3"/>
  <c r="AD12" i="7" s="1"/>
  <c r="T25" i="7"/>
  <c r="AX29" i="3"/>
  <c r="V25" i="7" s="1"/>
  <c r="F23" i="3"/>
  <c r="AB14" i="7"/>
  <c r="BN18" i="3"/>
  <c r="AD14" i="7" s="1"/>
  <c r="AB57" i="7"/>
  <c r="BN61" i="3"/>
  <c r="AD57" i="7" s="1"/>
  <c r="AB16" i="7"/>
  <c r="BN20" i="3"/>
  <c r="AD16" i="7" s="1"/>
  <c r="AB73" i="7"/>
  <c r="BN77" i="3"/>
  <c r="AD73" i="7" s="1"/>
  <c r="P18" i="7"/>
  <c r="AD22" i="3"/>
  <c r="R18" i="7" s="1"/>
  <c r="AB41" i="7"/>
  <c r="BN45" i="3"/>
  <c r="AD41" i="7" s="1"/>
  <c r="AB15" i="7"/>
  <c r="BN19" i="3"/>
  <c r="T28" i="7"/>
  <c r="AX32" i="3"/>
  <c r="V28" i="7" s="1"/>
  <c r="P22" i="7"/>
  <c r="AD26" i="3"/>
  <c r="R22" i="7" s="1"/>
  <c r="AB69" i="7"/>
  <c r="BN73" i="3"/>
  <c r="AD69" i="7" s="1"/>
  <c r="AB53" i="7"/>
  <c r="BN57" i="3"/>
  <c r="AB35" i="7"/>
  <c r="BN39" i="3"/>
  <c r="AD35" i="7" s="1"/>
  <c r="T26" i="7"/>
  <c r="AX30" i="3"/>
  <c r="V26" i="7" s="1"/>
  <c r="T20" i="7"/>
  <c r="AX24" i="3"/>
  <c r="AB11" i="7"/>
  <c r="BN15" i="3"/>
  <c r="AD11" i="7" s="1"/>
  <c r="L43" i="3"/>
  <c r="N43" i="3" s="1"/>
  <c r="N39" i="7" s="1"/>
  <c r="F43" i="3"/>
  <c r="BL12" i="3"/>
  <c r="BJ12" i="3"/>
  <c r="AB23" i="7"/>
  <c r="BN27" i="3"/>
  <c r="AD23" i="7" s="1"/>
  <c r="T23" i="7"/>
  <c r="AX27" i="3"/>
  <c r="V23" i="7" s="1"/>
  <c r="AB65" i="7"/>
  <c r="BN69" i="3"/>
  <c r="AD65" i="7" s="1"/>
  <c r="AB50" i="7"/>
  <c r="BN54" i="3"/>
  <c r="AD50" i="7" s="1"/>
  <c r="AB31" i="7"/>
  <c r="BN35" i="3"/>
  <c r="AD31" i="7" s="1"/>
  <c r="P10" i="7"/>
  <c r="AD14" i="3"/>
  <c r="T24" i="7"/>
  <c r="AX28" i="3"/>
  <c r="T10" i="7"/>
  <c r="AX14" i="3"/>
  <c r="P9" i="7"/>
  <c r="AD13" i="3"/>
  <c r="R9" i="7" s="1"/>
  <c r="AD33" i="3"/>
  <c r="R29" i="7" s="1"/>
  <c r="H23" i="3"/>
  <c r="J23" i="3" s="1"/>
  <c r="J12" i="3"/>
  <c r="F12" i="3"/>
  <c r="AC39" i="7"/>
  <c r="BN43" i="3"/>
  <c r="AD39" i="7" s="1"/>
  <c r="AC70" i="7"/>
  <c r="AC66" i="7"/>
  <c r="AC51" i="7"/>
  <c r="BM53" i="3"/>
  <c r="AC44" i="7"/>
  <c r="AC29" i="7"/>
  <c r="AC19" i="7"/>
  <c r="Y49" i="7"/>
  <c r="Y19" i="7"/>
  <c r="AD74" i="3"/>
  <c r="R70" i="7" s="1"/>
  <c r="Q70" i="7"/>
  <c r="Q51" i="7"/>
  <c r="AC53" i="3"/>
  <c r="Z53" i="3"/>
  <c r="Q44" i="7"/>
  <c r="AD48" i="3"/>
  <c r="AC31" i="3"/>
  <c r="Q27" i="7" s="1"/>
  <c r="Q39" i="7"/>
  <c r="AD43" i="3"/>
  <c r="R39" i="7" s="1"/>
  <c r="BQ43" i="3"/>
  <c r="AC23" i="3"/>
  <c r="Z23" i="3"/>
  <c r="M70" i="7"/>
  <c r="M66" i="7"/>
  <c r="M53" i="3"/>
  <c r="M51" i="7"/>
  <c r="M25" i="3"/>
  <c r="M21" i="7" s="1"/>
  <c r="M8" i="7"/>
  <c r="BQ12" i="3"/>
  <c r="AP23" i="3"/>
  <c r="AW23" i="3"/>
  <c r="AX23" i="3" s="1"/>
  <c r="BH53" i="3"/>
  <c r="BH25" i="3" s="1"/>
  <c r="BJ25" i="3" s="1"/>
  <c r="X70" i="7"/>
  <c r="BM31" i="3"/>
  <c r="AZ53" i="3"/>
  <c r="BB53" i="3" s="1"/>
  <c r="Z49" i="7" s="1"/>
  <c r="P48" i="7"/>
  <c r="P47" i="7"/>
  <c r="P46" i="7"/>
  <c r="P44" i="7"/>
  <c r="P43" i="7"/>
  <c r="P42" i="7"/>
  <c r="BO55" i="3"/>
  <c r="S27" i="7"/>
  <c r="BO70" i="3"/>
  <c r="AH53" i="3"/>
  <c r="AU53" i="3"/>
  <c r="S49" i="7" s="1"/>
  <c r="AA53" i="3"/>
  <c r="O49" i="7" s="1"/>
  <c r="AA31" i="3"/>
  <c r="O27" i="7" s="1"/>
  <c r="P25" i="7"/>
  <c r="R25" i="7"/>
  <c r="P26" i="7"/>
  <c r="R26" i="7"/>
  <c r="P24" i="7"/>
  <c r="R24" i="7"/>
  <c r="O25" i="3"/>
  <c r="BO33" i="3"/>
  <c r="O29" i="7"/>
  <c r="BL70" i="3"/>
  <c r="AB66" i="7" s="1"/>
  <c r="BD53" i="3"/>
  <c r="BF53" i="3" s="1"/>
  <c r="L70" i="3"/>
  <c r="L66" i="7" s="1"/>
  <c r="D53" i="3"/>
  <c r="BD31" i="3"/>
  <c r="BF31" i="3" s="1"/>
  <c r="Y25" i="3"/>
  <c r="L48" i="3"/>
  <c r="D31" i="3"/>
  <c r="F31" i="3" s="1"/>
  <c r="BE25" i="3"/>
  <c r="BA25" i="3"/>
  <c r="P74" i="7"/>
  <c r="P72" i="7"/>
  <c r="R72" i="7"/>
  <c r="P59" i="7"/>
  <c r="R59" i="7"/>
  <c r="P52" i="7"/>
  <c r="P64" i="7"/>
  <c r="R64" i="7"/>
  <c r="P56" i="7"/>
  <c r="P75" i="7"/>
  <c r="P62" i="7"/>
  <c r="P80" i="7"/>
  <c r="P68" i="7"/>
  <c r="P76" i="7"/>
  <c r="R76" i="7"/>
  <c r="P63" i="7"/>
  <c r="P67" i="7"/>
  <c r="P60" i="7"/>
  <c r="P81" i="7"/>
  <c r="P71" i="7"/>
  <c r="R71" i="7"/>
  <c r="P66" i="7"/>
  <c r="P58" i="7"/>
  <c r="R58" i="7"/>
  <c r="P37" i="7"/>
  <c r="R37" i="7"/>
  <c r="P13" i="7"/>
  <c r="R13" i="7"/>
  <c r="T46" i="7"/>
  <c r="V46" i="7"/>
  <c r="T44" i="7"/>
  <c r="V44" i="7"/>
  <c r="T72" i="7"/>
  <c r="V72" i="7"/>
  <c r="T76" i="7"/>
  <c r="V76" i="7"/>
  <c r="T40" i="7"/>
  <c r="V40" i="7"/>
  <c r="T71" i="7"/>
  <c r="V71" i="7"/>
  <c r="T41" i="7"/>
  <c r="V41" i="7"/>
  <c r="T48" i="7"/>
  <c r="V48" i="7"/>
  <c r="T82" i="7"/>
  <c r="V82" i="7"/>
  <c r="T74" i="7"/>
  <c r="V74" i="7"/>
  <c r="T84" i="7"/>
  <c r="V84" i="7"/>
  <c r="T43" i="7"/>
  <c r="V43" i="7"/>
  <c r="T73" i="7"/>
  <c r="V73" i="7"/>
  <c r="T47" i="7"/>
  <c r="V47" i="7"/>
  <c r="T80" i="7"/>
  <c r="V80" i="7"/>
  <c r="T42" i="7"/>
  <c r="V42" i="7"/>
  <c r="T77" i="7"/>
  <c r="V77" i="7"/>
  <c r="T81" i="7"/>
  <c r="V81" i="7"/>
  <c r="T45" i="7"/>
  <c r="V45" i="7"/>
  <c r="T39" i="7"/>
  <c r="V39" i="7"/>
  <c r="T15" i="7"/>
  <c r="T18" i="7"/>
  <c r="P55" i="7"/>
  <c r="R55" i="7"/>
  <c r="P54" i="7"/>
  <c r="P32" i="7"/>
  <c r="R32" i="7"/>
  <c r="P34" i="7"/>
  <c r="R34" i="7"/>
  <c r="P33" i="7"/>
  <c r="R33" i="7"/>
  <c r="P30" i="7"/>
  <c r="Q29" i="7"/>
  <c r="BL48" i="3"/>
  <c r="AB44" i="7" s="1"/>
  <c r="N58" i="7"/>
  <c r="L58" i="7"/>
  <c r="N77" i="7"/>
  <c r="L77" i="7"/>
  <c r="N57" i="7"/>
  <c r="L57" i="7"/>
  <c r="N64" i="7"/>
  <c r="L64" i="7"/>
  <c r="N74" i="7"/>
  <c r="L74" i="7"/>
  <c r="N37" i="7"/>
  <c r="L37" i="7"/>
  <c r="N73" i="7"/>
  <c r="L73" i="7"/>
  <c r="N53" i="7"/>
  <c r="L53" i="7"/>
  <c r="N76" i="7"/>
  <c r="L76" i="7"/>
  <c r="N60" i="7"/>
  <c r="L60" i="7"/>
  <c r="N40" i="7"/>
  <c r="L40" i="7"/>
  <c r="N22" i="7"/>
  <c r="L22" i="7"/>
  <c r="N67" i="7"/>
  <c r="L67" i="7"/>
  <c r="N13" i="7"/>
  <c r="L13" i="7"/>
  <c r="AD54" i="7"/>
  <c r="AB54" i="7"/>
  <c r="AD37" i="7"/>
  <c r="AB37" i="7"/>
  <c r="AD10" i="7"/>
  <c r="AB10" i="7"/>
  <c r="N50" i="7"/>
  <c r="L50" i="7"/>
  <c r="N32" i="7"/>
  <c r="L32" i="7"/>
  <c r="N12" i="7"/>
  <c r="L12" i="7"/>
  <c r="N69" i="7"/>
  <c r="L69" i="7"/>
  <c r="N11" i="7"/>
  <c r="L11" i="7"/>
  <c r="N72" i="7"/>
  <c r="L72" i="7"/>
  <c r="N56" i="7"/>
  <c r="L56" i="7"/>
  <c r="N34" i="7"/>
  <c r="L34" i="7"/>
  <c r="N18" i="7"/>
  <c r="L18" i="7"/>
  <c r="N80" i="7"/>
  <c r="L80" i="7"/>
  <c r="N63" i="7"/>
  <c r="L63" i="7"/>
  <c r="N9" i="7"/>
  <c r="L9" i="7"/>
  <c r="AD84" i="7"/>
  <c r="AB84" i="7"/>
  <c r="AD75" i="7"/>
  <c r="AB75" i="7"/>
  <c r="AD26" i="7"/>
  <c r="AB26" i="7"/>
  <c r="N65" i="7"/>
  <c r="L65" i="7"/>
  <c r="AD64" i="7"/>
  <c r="AB64" i="7"/>
  <c r="AD56" i="7"/>
  <c r="AB56" i="7"/>
  <c r="N45" i="7"/>
  <c r="L45" i="7"/>
  <c r="AD72" i="7"/>
  <c r="AB72" i="7"/>
  <c r="AD59" i="7"/>
  <c r="AB59" i="7"/>
  <c r="AD33" i="7"/>
  <c r="AB33" i="7"/>
  <c r="AD18" i="7"/>
  <c r="AB18" i="7"/>
  <c r="N28" i="7"/>
  <c r="L28" i="7"/>
  <c r="N62" i="7"/>
  <c r="L62" i="7"/>
  <c r="N46" i="7"/>
  <c r="L46" i="7"/>
  <c r="N24" i="7"/>
  <c r="L24" i="7"/>
  <c r="N82" i="7"/>
  <c r="L82" i="7"/>
  <c r="N61" i="7"/>
  <c r="L61" i="7"/>
  <c r="N35" i="7"/>
  <c r="L35" i="7"/>
  <c r="N68" i="7"/>
  <c r="L68" i="7"/>
  <c r="N52" i="7"/>
  <c r="L52" i="7"/>
  <c r="N30" i="7"/>
  <c r="L30" i="7"/>
  <c r="N14" i="7"/>
  <c r="L14" i="7"/>
  <c r="N75" i="7"/>
  <c r="L75" i="7"/>
  <c r="N59" i="7"/>
  <c r="L59" i="7"/>
  <c r="N33" i="7"/>
  <c r="L33" i="7"/>
  <c r="AD71" i="7"/>
  <c r="AB71" i="7"/>
  <c r="AD58" i="7"/>
  <c r="AB58" i="7"/>
  <c r="AD32" i="7"/>
  <c r="AB32" i="7"/>
  <c r="AD74" i="7"/>
  <c r="AB74" i="7"/>
  <c r="AD22" i="7"/>
  <c r="AB22" i="7"/>
  <c r="AD13" i="7"/>
  <c r="AB13" i="7"/>
  <c r="N23" i="7"/>
  <c r="L23" i="7"/>
  <c r="AD76" i="7"/>
  <c r="AB76" i="7"/>
  <c r="AD34" i="7"/>
  <c r="AB34" i="7"/>
  <c r="AD28" i="7"/>
  <c r="AB28" i="7"/>
  <c r="N25" i="7"/>
  <c r="L25" i="7"/>
  <c r="N20" i="7"/>
  <c r="L20" i="7"/>
  <c r="N31" i="7"/>
  <c r="L31" i="7"/>
  <c r="N26" i="7"/>
  <c r="L26" i="7"/>
  <c r="N10" i="7"/>
  <c r="L10" i="7"/>
  <c r="N71" i="7"/>
  <c r="L71" i="7"/>
  <c r="N55" i="7"/>
  <c r="L55" i="7"/>
  <c r="N17" i="7"/>
  <c r="L17" i="7"/>
  <c r="AD80" i="7"/>
  <c r="AB80" i="7"/>
  <c r="AD67" i="7"/>
  <c r="AB67" i="7"/>
  <c r="AD60" i="7"/>
  <c r="AB60" i="7"/>
  <c r="AD52" i="7"/>
  <c r="AB52" i="7"/>
  <c r="AD25" i="7"/>
  <c r="AB25" i="7"/>
  <c r="AD81" i="7"/>
  <c r="AB81" i="7"/>
  <c r="AD63" i="7"/>
  <c r="AB63" i="7"/>
  <c r="AD55" i="7"/>
  <c r="AB55" i="7"/>
  <c r="AD24" i="7"/>
  <c r="AB24" i="7"/>
  <c r="N81" i="7"/>
  <c r="L81" i="7"/>
  <c r="X27" i="7"/>
  <c r="N54" i="7"/>
  <c r="L54" i="7"/>
  <c r="N16" i="7"/>
  <c r="L16" i="7"/>
  <c r="N15" i="7"/>
  <c r="L15" i="7"/>
  <c r="N84" i="7"/>
  <c r="L84" i="7"/>
  <c r="X8" i="7"/>
  <c r="AZ23" i="3"/>
  <c r="BB23" i="3" s="1"/>
  <c r="AD62" i="7"/>
  <c r="AB62" i="7"/>
  <c r="AD68" i="7"/>
  <c r="AB68" i="7"/>
  <c r="L70" i="7"/>
  <c r="AD30" i="7"/>
  <c r="AB30" i="7"/>
  <c r="AD20" i="7"/>
  <c r="AB20" i="7"/>
  <c r="AD9" i="7"/>
  <c r="AB9" i="7"/>
  <c r="T75" i="7"/>
  <c r="T86" i="7" s="1"/>
  <c r="AV92" i="3"/>
  <c r="BQ55" i="3"/>
  <c r="Q8" i="7"/>
  <c r="R8" i="7"/>
  <c r="E83" i="3"/>
  <c r="M31" i="3"/>
  <c r="M19" i="7"/>
  <c r="R11" i="7"/>
  <c r="P11" i="7"/>
  <c r="R61" i="7"/>
  <c r="P61" i="7"/>
  <c r="R77" i="7"/>
  <c r="P77" i="7"/>
  <c r="R15" i="7"/>
  <c r="P15" i="7"/>
  <c r="R69" i="7"/>
  <c r="P69" i="7"/>
  <c r="R73" i="7"/>
  <c r="P73" i="7"/>
  <c r="R65" i="7"/>
  <c r="P65" i="7"/>
  <c r="R57" i="7"/>
  <c r="P57" i="7"/>
  <c r="AB39" i="7"/>
  <c r="AD42" i="7"/>
  <c r="AB42" i="7"/>
  <c r="AD40" i="7"/>
  <c r="AB40" i="7"/>
  <c r="AD43" i="7"/>
  <c r="AB43" i="7"/>
  <c r="R44" i="7"/>
  <c r="N43" i="7"/>
  <c r="L43" i="7"/>
  <c r="N41" i="7"/>
  <c r="L41" i="7"/>
  <c r="N42" i="7"/>
  <c r="L42" i="7"/>
  <c r="AD47" i="7"/>
  <c r="AB47" i="7"/>
  <c r="AD46" i="7"/>
  <c r="AB46" i="7"/>
  <c r="AD48" i="7"/>
  <c r="AB48" i="7"/>
  <c r="N48" i="7"/>
  <c r="L48" i="7"/>
  <c r="N47" i="7"/>
  <c r="L47" i="7"/>
  <c r="R45" i="7"/>
  <c r="P45" i="7"/>
  <c r="R35" i="7"/>
  <c r="P35" i="7"/>
  <c r="R23" i="7"/>
  <c r="P23" i="7"/>
  <c r="R31" i="7"/>
  <c r="P31" i="7"/>
  <c r="R41" i="7"/>
  <c r="P41" i="7"/>
  <c r="BP73" i="3"/>
  <c r="BR73" i="3" s="1"/>
  <c r="BP18" i="3"/>
  <c r="BR18" i="3" s="1"/>
  <c r="BL23" i="3"/>
  <c r="AB19" i="7" s="1"/>
  <c r="BP84" i="3"/>
  <c r="BR84" i="3" s="1"/>
  <c r="R80" i="7"/>
  <c r="BP72" i="3"/>
  <c r="BR72" i="3" s="1"/>
  <c r="R68" i="7"/>
  <c r="BP50" i="3"/>
  <c r="BR50" i="3" s="1"/>
  <c r="R46" i="7"/>
  <c r="BP41" i="3"/>
  <c r="BR41" i="3" s="1"/>
  <c r="BP29" i="3"/>
  <c r="BR29" i="3" s="1"/>
  <c r="BP49" i="3"/>
  <c r="BR49" i="3" s="1"/>
  <c r="BP76" i="3"/>
  <c r="BR76" i="3" s="1"/>
  <c r="BP63" i="3"/>
  <c r="BR63" i="3" s="1"/>
  <c r="BP56" i="3"/>
  <c r="BR56" i="3" s="1"/>
  <c r="R52" i="7"/>
  <c r="BP46" i="3"/>
  <c r="BR46" i="3" s="1"/>
  <c r="R42" i="7"/>
  <c r="BP38" i="3"/>
  <c r="BR38" i="3" s="1"/>
  <c r="BP15" i="3"/>
  <c r="BR15" i="3" s="1"/>
  <c r="BP85" i="3"/>
  <c r="BR85" i="3" s="1"/>
  <c r="R81" i="7"/>
  <c r="BP75" i="3"/>
  <c r="BR75" i="3" s="1"/>
  <c r="R66" i="7"/>
  <c r="BP62" i="3"/>
  <c r="BR62" i="3" s="1"/>
  <c r="BP51" i="3"/>
  <c r="BR51" i="3" s="1"/>
  <c r="R47" i="7"/>
  <c r="BP37" i="3"/>
  <c r="BR37" i="3" s="1"/>
  <c r="BP26" i="3"/>
  <c r="BR26" i="3" s="1"/>
  <c r="V86" i="3"/>
  <c r="AB86" i="3"/>
  <c r="AD86" i="3" s="1"/>
  <c r="BL33" i="3"/>
  <c r="AB29" i="7" s="1"/>
  <c r="BP27" i="3"/>
  <c r="BR27" i="3" s="1"/>
  <c r="BP69" i="3"/>
  <c r="BR69" i="3" s="1"/>
  <c r="BP61" i="3"/>
  <c r="BR61" i="3" s="1"/>
  <c r="BP54" i="3"/>
  <c r="BR54" i="3" s="1"/>
  <c r="BP35" i="3"/>
  <c r="BR35" i="3" s="1"/>
  <c r="BP68" i="3"/>
  <c r="BR68" i="3" s="1"/>
  <c r="BP60" i="3"/>
  <c r="BR60" i="3" s="1"/>
  <c r="R56" i="7"/>
  <c r="BP47" i="3"/>
  <c r="BR47" i="3" s="1"/>
  <c r="R43" i="7"/>
  <c r="BP28" i="3"/>
  <c r="BR28" i="3" s="1"/>
  <c r="BP17" i="3"/>
  <c r="BR17" i="3" s="1"/>
  <c r="BP16" i="3"/>
  <c r="BR16" i="3" s="1"/>
  <c r="BP22" i="3"/>
  <c r="BR22" i="3" s="1"/>
  <c r="V55" i="3"/>
  <c r="AB55" i="3"/>
  <c r="AD55" i="3" s="1"/>
  <c r="BO31" i="3"/>
  <c r="BL55" i="3"/>
  <c r="BN55" i="3" s="1"/>
  <c r="BP21" i="3"/>
  <c r="BR21" i="3" s="1"/>
  <c r="BP88" i="3"/>
  <c r="BR88" i="3" s="1"/>
  <c r="R84" i="7"/>
  <c r="BP78" i="3"/>
  <c r="BR78" i="3" s="1"/>
  <c r="R74" i="7"/>
  <c r="BP44" i="3"/>
  <c r="BR44" i="3" s="1"/>
  <c r="R40" i="7"/>
  <c r="BP36" i="3"/>
  <c r="BR36" i="3" s="1"/>
  <c r="BP80" i="3"/>
  <c r="BR80" i="3" s="1"/>
  <c r="BP67" i="3"/>
  <c r="BR67" i="3" s="1"/>
  <c r="R63" i="7"/>
  <c r="BP59" i="3"/>
  <c r="BR59" i="3" s="1"/>
  <c r="BP52" i="3"/>
  <c r="BR52" i="3" s="1"/>
  <c r="R48" i="7"/>
  <c r="BP34" i="3"/>
  <c r="BR34" i="3" s="1"/>
  <c r="R30" i="7"/>
  <c r="BP79" i="3"/>
  <c r="BR79" i="3" s="1"/>
  <c r="R75" i="7"/>
  <c r="BP66" i="3"/>
  <c r="BR66" i="3" s="1"/>
  <c r="R62" i="7"/>
  <c r="BP58" i="3"/>
  <c r="BR58" i="3" s="1"/>
  <c r="R54" i="7"/>
  <c r="BP30" i="3"/>
  <c r="BR30" i="3" s="1"/>
  <c r="BP13" i="3"/>
  <c r="BR13" i="3" s="1"/>
  <c r="AD77" i="7"/>
  <c r="BP81" i="3"/>
  <c r="BR81" i="3" s="1"/>
  <c r="BP65" i="3"/>
  <c r="BR65" i="3" s="1"/>
  <c r="AD53" i="7"/>
  <c r="BP57" i="3"/>
  <c r="BR57" i="3" s="1"/>
  <c r="BP39" i="3"/>
  <c r="BR39" i="3" s="1"/>
  <c r="BP20" i="3"/>
  <c r="BR20" i="3" s="1"/>
  <c r="BP71" i="3"/>
  <c r="BR71" i="3" s="1"/>
  <c r="R67" i="7"/>
  <c r="BP64" i="3"/>
  <c r="BR64" i="3" s="1"/>
  <c r="R60" i="7"/>
  <c r="BP32" i="3"/>
  <c r="BR32" i="3" s="1"/>
  <c r="R28" i="7"/>
  <c r="BP24" i="3"/>
  <c r="BR24" i="3" s="1"/>
  <c r="R20" i="7"/>
  <c r="BP86" i="3"/>
  <c r="BR86" i="3" s="1"/>
  <c r="BP77" i="3"/>
  <c r="BR77" i="3" s="1"/>
  <c r="BP14" i="3"/>
  <c r="BR14" i="3" s="1"/>
  <c r="R10" i="7"/>
  <c r="BP45" i="3"/>
  <c r="BR45" i="3" s="1"/>
  <c r="AD15" i="7"/>
  <c r="BP19" i="3"/>
  <c r="BR19" i="3" s="1"/>
  <c r="R31" i="3"/>
  <c r="W25" i="3"/>
  <c r="R55" i="3"/>
  <c r="L55" i="3"/>
  <c r="N55" i="3" s="1"/>
  <c r="L33" i="3"/>
  <c r="N33" i="3" s="1"/>
  <c r="L23" i="3"/>
  <c r="N23" i="3" s="1"/>
  <c r="K23" i="3"/>
  <c r="I87" i="3"/>
  <c r="BG25" i="3"/>
  <c r="BK25" i="3" s="1"/>
  <c r="AA21" i="7" s="1"/>
  <c r="AA86" i="7" s="1"/>
  <c r="BI83" i="3"/>
  <c r="BC83" i="3"/>
  <c r="AY83" i="3"/>
  <c r="W79" i="7" s="1"/>
  <c r="AM25" i="3"/>
  <c r="AP31" i="3"/>
  <c r="AO87" i="3"/>
  <c r="AK87" i="3"/>
  <c r="AI25" i="3"/>
  <c r="AL31" i="3"/>
  <c r="AE25" i="3"/>
  <c r="AH31" i="3"/>
  <c r="AH23" i="3"/>
  <c r="U89" i="3"/>
  <c r="S25" i="3"/>
  <c r="V31" i="3"/>
  <c r="O83" i="3"/>
  <c r="Q87" i="3"/>
  <c r="G83" i="3"/>
  <c r="C25" i="3"/>
  <c r="K25" i="3" s="1"/>
  <c r="K21" i="7" s="1"/>
  <c r="H25" i="3" l="1"/>
  <c r="H83" i="3" s="1"/>
  <c r="AB70" i="7"/>
  <c r="L53" i="3"/>
  <c r="L49" i="7" s="1"/>
  <c r="BP74" i="3"/>
  <c r="BR74" i="3" s="1"/>
  <c r="AX25" i="3"/>
  <c r="AX83" i="3"/>
  <c r="V79" i="7" s="1"/>
  <c r="U79" i="7"/>
  <c r="AR89" i="3"/>
  <c r="AV87" i="3"/>
  <c r="T83" i="7" s="1"/>
  <c r="AT87" i="3"/>
  <c r="BQ31" i="3"/>
  <c r="AW87" i="3"/>
  <c r="M86" i="7"/>
  <c r="BQ53" i="3"/>
  <c r="F53" i="3"/>
  <c r="BP43" i="3"/>
  <c r="BR43" i="3" s="1"/>
  <c r="L39" i="7"/>
  <c r="BJ53" i="3"/>
  <c r="BP70" i="3"/>
  <c r="BR70" i="3" s="1"/>
  <c r="BN12" i="3"/>
  <c r="N70" i="3"/>
  <c r="N66" i="7" s="1"/>
  <c r="BN33" i="3"/>
  <c r="AD29" i="7" s="1"/>
  <c r="BN70" i="3"/>
  <c r="AD66" i="7" s="1"/>
  <c r="J25" i="3"/>
  <c r="N48" i="3"/>
  <c r="N44" i="7" s="1"/>
  <c r="BN23" i="3"/>
  <c r="AD19" i="7" s="1"/>
  <c r="BN48" i="3"/>
  <c r="AD44" i="7" s="1"/>
  <c r="AC49" i="7"/>
  <c r="AC27" i="7"/>
  <c r="BE83" i="3"/>
  <c r="BQ23" i="3"/>
  <c r="Q49" i="7"/>
  <c r="AC25" i="3"/>
  <c r="Z25" i="3"/>
  <c r="Q19" i="7"/>
  <c r="AD23" i="3"/>
  <c r="R19" i="7" s="1"/>
  <c r="M49" i="7"/>
  <c r="E87" i="3"/>
  <c r="M87" i="3" s="1"/>
  <c r="U19" i="7"/>
  <c r="Y83" i="3"/>
  <c r="BL53" i="3"/>
  <c r="AB49" i="7" s="1"/>
  <c r="AZ25" i="3"/>
  <c r="AZ83" i="3" s="1"/>
  <c r="AZ87" i="3" s="1"/>
  <c r="X49" i="7"/>
  <c r="BO23" i="3"/>
  <c r="K19" i="7"/>
  <c r="L44" i="7"/>
  <c r="BP48" i="3"/>
  <c r="BR48" i="3" s="1"/>
  <c r="AU25" i="3"/>
  <c r="S21" i="7" s="1"/>
  <c r="S86" i="7" s="1"/>
  <c r="BO53" i="3"/>
  <c r="D25" i="3"/>
  <c r="F25" i="3" s="1"/>
  <c r="BM25" i="3"/>
  <c r="BD25" i="3"/>
  <c r="BD83" i="3" s="1"/>
  <c r="Y21" i="7"/>
  <c r="Y86" i="7" s="1"/>
  <c r="BA83" i="3"/>
  <c r="AB83" i="3"/>
  <c r="P79" i="7" s="1"/>
  <c r="P51" i="7"/>
  <c r="R51" i="7"/>
  <c r="AA25" i="3"/>
  <c r="O21" i="7" s="1"/>
  <c r="O86" i="7" s="1"/>
  <c r="N29" i="7"/>
  <c r="L29" i="7"/>
  <c r="AD51" i="7"/>
  <c r="AB51" i="7"/>
  <c r="X19" i="7"/>
  <c r="Z19" i="7"/>
  <c r="N51" i="7"/>
  <c r="L51" i="7"/>
  <c r="M27" i="7"/>
  <c r="M83" i="3"/>
  <c r="R82" i="7"/>
  <c r="P82" i="7"/>
  <c r="N19" i="7"/>
  <c r="L19" i="7"/>
  <c r="BP33" i="3"/>
  <c r="BR33" i="3" s="1"/>
  <c r="AB31" i="3"/>
  <c r="AD31" i="3" s="1"/>
  <c r="BP55" i="3"/>
  <c r="BR55" i="3" s="1"/>
  <c r="BP23" i="3"/>
  <c r="BL31" i="3"/>
  <c r="BN31" i="3" s="1"/>
  <c r="R25" i="3"/>
  <c r="AB25" i="3"/>
  <c r="R53" i="3"/>
  <c r="AB53" i="3"/>
  <c r="AD53" i="3" s="1"/>
  <c r="W83" i="3"/>
  <c r="W87" i="3" s="1"/>
  <c r="W89" i="3" s="1"/>
  <c r="I89" i="3"/>
  <c r="L31" i="3"/>
  <c r="N31" i="3" s="1"/>
  <c r="BG83" i="3"/>
  <c r="BK83" i="3" s="1"/>
  <c r="AA79" i="7" s="1"/>
  <c r="BH83" i="3"/>
  <c r="BH87" i="3" s="1"/>
  <c r="BI87" i="3"/>
  <c r="BC87" i="3"/>
  <c r="AY87" i="3"/>
  <c r="W83" i="7" s="1"/>
  <c r="AM83" i="3"/>
  <c r="AP25" i="3"/>
  <c r="AO89" i="3"/>
  <c r="AI83" i="3"/>
  <c r="AL25" i="3"/>
  <c r="AK89" i="3"/>
  <c r="AE83" i="3"/>
  <c r="AH25" i="3"/>
  <c r="S83" i="3"/>
  <c r="V25" i="3"/>
  <c r="R83" i="3"/>
  <c r="O87" i="3"/>
  <c r="Q89" i="3"/>
  <c r="G87" i="3"/>
  <c r="C83" i="3"/>
  <c r="K83" i="3" s="1"/>
  <c r="K79" i="7" s="1"/>
  <c r="N53" i="3" l="1"/>
  <c r="N49" i="7" s="1"/>
  <c r="AX87" i="3"/>
  <c r="V83" i="7" s="1"/>
  <c r="U83" i="7"/>
  <c r="AV89" i="3"/>
  <c r="T85" i="7" s="1"/>
  <c r="AT89" i="3"/>
  <c r="BB83" i="3"/>
  <c r="Z79" i="7" s="1"/>
  <c r="BF25" i="3"/>
  <c r="BN53" i="3"/>
  <c r="AD49" i="7" s="1"/>
  <c r="J83" i="3"/>
  <c r="H87" i="3"/>
  <c r="J87" i="3" s="1"/>
  <c r="BJ83" i="3"/>
  <c r="BJ87" i="3"/>
  <c r="BB25" i="3"/>
  <c r="Z21" i="7" s="1"/>
  <c r="Z86" i="7" s="1"/>
  <c r="BR23" i="3"/>
  <c r="BE87" i="3"/>
  <c r="BM87" i="3" s="1"/>
  <c r="BF83" i="3"/>
  <c r="BM83" i="3"/>
  <c r="AC21" i="7"/>
  <c r="AC83" i="3"/>
  <c r="Z83" i="3"/>
  <c r="AD25" i="3"/>
  <c r="R21" i="7" s="1"/>
  <c r="R86" i="7" s="1"/>
  <c r="Q21" i="7"/>
  <c r="Q86" i="7" s="1"/>
  <c r="E89" i="3"/>
  <c r="AW89" i="3"/>
  <c r="Y87" i="3"/>
  <c r="X21" i="7"/>
  <c r="X86" i="7" s="1"/>
  <c r="AU83" i="3"/>
  <c r="S79" i="7" s="1"/>
  <c r="BD87" i="3"/>
  <c r="BQ25" i="3"/>
  <c r="Y79" i="7"/>
  <c r="BA87" i="3"/>
  <c r="BB87" i="3" s="1"/>
  <c r="P27" i="7"/>
  <c r="R27" i="7"/>
  <c r="AA83" i="3"/>
  <c r="O79" i="7" s="1"/>
  <c r="BO25" i="3"/>
  <c r="P49" i="7"/>
  <c r="R49" i="7"/>
  <c r="D83" i="3"/>
  <c r="F83" i="3" s="1"/>
  <c r="N27" i="7"/>
  <c r="L27" i="7"/>
  <c r="X79" i="7"/>
  <c r="AD27" i="7"/>
  <c r="AB27" i="7"/>
  <c r="M83" i="7"/>
  <c r="M79" i="7"/>
  <c r="BP31" i="3"/>
  <c r="BR31" i="3" s="1"/>
  <c r="P21" i="7"/>
  <c r="AB92" i="3"/>
  <c r="BL25" i="3"/>
  <c r="BN25" i="3" s="1"/>
  <c r="BP53" i="3"/>
  <c r="BR53" i="3" s="1"/>
  <c r="L25" i="3"/>
  <c r="N25" i="3" s="1"/>
  <c r="BG87" i="3"/>
  <c r="BK87" i="3" s="1"/>
  <c r="AA83" i="7" s="1"/>
  <c r="BI89" i="3"/>
  <c r="BC89" i="3"/>
  <c r="X83" i="7"/>
  <c r="AY89" i="3"/>
  <c r="W85" i="7" s="1"/>
  <c r="AP83" i="3"/>
  <c r="AM87" i="3"/>
  <c r="AL83" i="3"/>
  <c r="AI87" i="3"/>
  <c r="AH83" i="3"/>
  <c r="AE87" i="3"/>
  <c r="V83" i="3"/>
  <c r="S87" i="3"/>
  <c r="AB87" i="3" s="1"/>
  <c r="P83" i="7" s="1"/>
  <c r="O89" i="3"/>
  <c r="G89" i="3"/>
  <c r="C87" i="3"/>
  <c r="K87" i="3" s="1"/>
  <c r="K83" i="7" s="1"/>
  <c r="AX89" i="3" l="1"/>
  <c r="V85" i="7" s="1"/>
  <c r="BQ83" i="3"/>
  <c r="AC79" i="7"/>
  <c r="AC83" i="7"/>
  <c r="BE89" i="3"/>
  <c r="BF87" i="3"/>
  <c r="AC87" i="3"/>
  <c r="BQ87" i="3" s="1"/>
  <c r="Z87" i="3"/>
  <c r="Q79" i="7"/>
  <c r="AD83" i="3"/>
  <c r="R79" i="7" s="1"/>
  <c r="M89" i="3"/>
  <c r="U85" i="7"/>
  <c r="Y89" i="3"/>
  <c r="BO83" i="3"/>
  <c r="AU87" i="3"/>
  <c r="S83" i="7" s="1"/>
  <c r="D87" i="3"/>
  <c r="Y83" i="7"/>
  <c r="BA89" i="3"/>
  <c r="AA87" i="3"/>
  <c r="O83" i="7" s="1"/>
  <c r="N21" i="7"/>
  <c r="L21" i="7"/>
  <c r="AD21" i="7"/>
  <c r="AB21" i="7"/>
  <c r="P86" i="7"/>
  <c r="L83" i="3"/>
  <c r="N83" i="3" s="1"/>
  <c r="BL83" i="3"/>
  <c r="AB79" i="7" s="1"/>
  <c r="BP25" i="3"/>
  <c r="BR25" i="3" s="1"/>
  <c r="BL87" i="3"/>
  <c r="AB83" i="7" s="1"/>
  <c r="BG89" i="3"/>
  <c r="BK89" i="3" s="1"/>
  <c r="AA85" i="7" s="1"/>
  <c r="BD89" i="3"/>
  <c r="AZ89" i="3"/>
  <c r="Z83" i="7"/>
  <c r="AM89" i="3"/>
  <c r="AI89" i="3"/>
  <c r="AE89" i="3"/>
  <c r="S89" i="3"/>
  <c r="AA89" i="3" s="1"/>
  <c r="R89" i="3"/>
  <c r="R87" i="3"/>
  <c r="H89" i="3"/>
  <c r="J89" i="3" s="1"/>
  <c r="C89" i="3"/>
  <c r="K89" i="3" s="1"/>
  <c r="K85" i="7" s="1"/>
  <c r="BN87" i="3" l="1"/>
  <c r="AD83" i="7" s="1"/>
  <c r="L87" i="3"/>
  <c r="N87" i="3" s="1"/>
  <c r="N83" i="7" s="1"/>
  <c r="F87" i="3"/>
  <c r="BN83" i="3"/>
  <c r="AD79" i="7" s="1"/>
  <c r="BF89" i="3"/>
  <c r="BM89" i="3"/>
  <c r="Y85" i="7"/>
  <c r="BB89" i="3"/>
  <c r="Z85" i="7" s="1"/>
  <c r="Q83" i="7"/>
  <c r="AD87" i="3"/>
  <c r="R83" i="7" s="1"/>
  <c r="AC89" i="3"/>
  <c r="Z89" i="3"/>
  <c r="M85" i="7"/>
  <c r="BO87" i="3"/>
  <c r="AU89" i="3"/>
  <c r="S85" i="7" s="1"/>
  <c r="O85" i="7"/>
  <c r="X85" i="7"/>
  <c r="L83" i="7"/>
  <c r="N79" i="7"/>
  <c r="L79" i="7"/>
  <c r="BP83" i="3"/>
  <c r="BR83" i="3" s="1"/>
  <c r="BH89" i="3"/>
  <c r="BJ89" i="3" s="1"/>
  <c r="AP89" i="3"/>
  <c r="AP87" i="3"/>
  <c r="AL89" i="3"/>
  <c r="AL87" i="3"/>
  <c r="AH89" i="3"/>
  <c r="AH87" i="3"/>
  <c r="V87" i="3"/>
  <c r="D89" i="3"/>
  <c r="F89" i="3" s="1"/>
  <c r="BP87" i="3" l="1"/>
  <c r="BR87" i="3" s="1"/>
  <c r="BQ89" i="3"/>
  <c r="AC85" i="7"/>
  <c r="Q85" i="7"/>
  <c r="BO89" i="3"/>
  <c r="BL89" i="3"/>
  <c r="BN89" i="3" s="1"/>
  <c r="V89" i="3"/>
  <c r="AB89" i="3"/>
  <c r="AD89" i="3" s="1"/>
  <c r="L89" i="3"/>
  <c r="N89" i="3" s="1"/>
  <c r="P85" i="7" l="1"/>
  <c r="R85" i="7"/>
  <c r="N85" i="7"/>
  <c r="L85" i="7"/>
  <c r="AD85" i="7"/>
  <c r="AB85" i="7"/>
  <c r="BP89" i="3"/>
  <c r="BR89" i="3" s="1"/>
  <c r="EY88" i="2"/>
  <c r="G84" i="7" s="1"/>
  <c r="EY85" i="2"/>
  <c r="G81" i="7" s="1"/>
  <c r="EY84" i="2"/>
  <c r="G80" i="7" s="1"/>
  <c r="EY81" i="2"/>
  <c r="G77" i="7" s="1"/>
  <c r="EY80" i="2"/>
  <c r="G76" i="7" s="1"/>
  <c r="EY79" i="2"/>
  <c r="G75" i="7" s="1"/>
  <c r="EY78" i="2"/>
  <c r="G74" i="7" s="1"/>
  <c r="EY77" i="2"/>
  <c r="G73" i="7" s="1"/>
  <c r="EY76" i="2"/>
  <c r="G72" i="7" s="1"/>
  <c r="EY75" i="2"/>
  <c r="G71" i="7" s="1"/>
  <c r="EY73" i="2"/>
  <c r="G69" i="7" s="1"/>
  <c r="EY72" i="2"/>
  <c r="G68" i="7" s="1"/>
  <c r="EY71" i="2"/>
  <c r="G67" i="7" s="1"/>
  <c r="EY69" i="2"/>
  <c r="G65" i="7" s="1"/>
  <c r="EY68" i="2"/>
  <c r="G64" i="7" s="1"/>
  <c r="EY67" i="2"/>
  <c r="G63" i="7" s="1"/>
  <c r="EY66" i="2"/>
  <c r="G62" i="7" s="1"/>
  <c r="EY65" i="2"/>
  <c r="G61" i="7" s="1"/>
  <c r="EY64" i="2"/>
  <c r="G60" i="7" s="1"/>
  <c r="EY63" i="2"/>
  <c r="G59" i="7" s="1"/>
  <c r="EY62" i="2"/>
  <c r="G58" i="7" s="1"/>
  <c r="EY61" i="2"/>
  <c r="G57" i="7" s="1"/>
  <c r="EY60" i="2"/>
  <c r="G56" i="7" s="1"/>
  <c r="EY59" i="2"/>
  <c r="G55" i="7" s="1"/>
  <c r="EY58" i="2"/>
  <c r="G54" i="7" s="1"/>
  <c r="EY57" i="2"/>
  <c r="G53" i="7" s="1"/>
  <c r="EY56" i="2"/>
  <c r="G52" i="7" s="1"/>
  <c r="EY54" i="2"/>
  <c r="G50" i="7" s="1"/>
  <c r="EY52" i="2"/>
  <c r="G48" i="7" s="1"/>
  <c r="EY51" i="2"/>
  <c r="G47" i="7" s="1"/>
  <c r="EY50" i="2"/>
  <c r="G46" i="7" s="1"/>
  <c r="EY49" i="2"/>
  <c r="G45" i="7" s="1"/>
  <c r="EY47" i="2"/>
  <c r="G43" i="7" s="1"/>
  <c r="EY46" i="2"/>
  <c r="G42" i="7" s="1"/>
  <c r="EY45" i="2"/>
  <c r="G41" i="7" s="1"/>
  <c r="EY44" i="2"/>
  <c r="G40" i="7" s="1"/>
  <c r="G37" i="7"/>
  <c r="EY39" i="2"/>
  <c r="G35" i="7" s="1"/>
  <c r="EY38" i="2"/>
  <c r="G34" i="7" s="1"/>
  <c r="EY37" i="2"/>
  <c r="G33" i="7" s="1"/>
  <c r="EY36" i="2"/>
  <c r="G32" i="7" s="1"/>
  <c r="EY35" i="2"/>
  <c r="G31" i="7" s="1"/>
  <c r="EY34" i="2"/>
  <c r="G30" i="7" s="1"/>
  <c r="EY32" i="2"/>
  <c r="G28" i="7" s="1"/>
  <c r="EY30" i="2"/>
  <c r="G26" i="7" s="1"/>
  <c r="EY29" i="2"/>
  <c r="G25" i="7" s="1"/>
  <c r="EY28" i="2"/>
  <c r="G24" i="7" s="1"/>
  <c r="EY27" i="2"/>
  <c r="G23" i="7" s="1"/>
  <c r="EY26" i="2"/>
  <c r="G22" i="7" s="1"/>
  <c r="EY24" i="2"/>
  <c r="G20" i="7" s="1"/>
  <c r="CE20" i="7" s="1"/>
  <c r="EY22" i="2"/>
  <c r="G18" i="7" s="1"/>
  <c r="EY21" i="2"/>
  <c r="G17" i="7" s="1"/>
  <c r="EY20" i="2"/>
  <c r="G16" i="7" s="1"/>
  <c r="EY19" i="2"/>
  <c r="G15" i="7" s="1"/>
  <c r="EY18" i="2"/>
  <c r="G14" i="7" s="1"/>
  <c r="EY17" i="2"/>
  <c r="G13" i="7" s="1"/>
  <c r="EY16" i="2"/>
  <c r="G12" i="7" s="1"/>
  <c r="EY15" i="2"/>
  <c r="G11" i="7" s="1"/>
  <c r="EY14" i="2"/>
  <c r="G10" i="7" s="1"/>
  <c r="EY13" i="2"/>
  <c r="G9" i="7" s="1"/>
  <c r="EF29" i="2"/>
  <c r="EH29" i="2" s="1"/>
  <c r="CT85" i="2"/>
  <c r="BZ85" i="2"/>
  <c r="AE70" i="2" l="1"/>
  <c r="AE74" i="2"/>
  <c r="EV88" i="2" l="1"/>
  <c r="EX88" i="2" s="1"/>
  <c r="ER88" i="2"/>
  <c r="ET88" i="2" s="1"/>
  <c r="EN88" i="2"/>
  <c r="EP88" i="2" s="1"/>
  <c r="EJ88" i="2"/>
  <c r="EL88" i="2" s="1"/>
  <c r="EF88" i="2"/>
  <c r="EH88" i="2" s="1"/>
  <c r="EB88" i="2"/>
  <c r="ED88" i="2" s="1"/>
  <c r="DX88" i="2"/>
  <c r="DZ88" i="2" s="1"/>
  <c r="DT88" i="2"/>
  <c r="DV88" i="2" s="1"/>
  <c r="DP88" i="2"/>
  <c r="DR88" i="2" s="1"/>
  <c r="DL88" i="2"/>
  <c r="DN88" i="2" s="1"/>
  <c r="DH88" i="2"/>
  <c r="DJ88" i="2" s="1"/>
  <c r="DD88" i="2"/>
  <c r="DF88" i="2" s="1"/>
  <c r="CZ88" i="2"/>
  <c r="DB88" i="2" s="1"/>
  <c r="CV88" i="2"/>
  <c r="CX88" i="2" s="1"/>
  <c r="CR88" i="2"/>
  <c r="CT88" i="2" s="1"/>
  <c r="CN88" i="2"/>
  <c r="CP88" i="2" s="1"/>
  <c r="CJ88" i="2"/>
  <c r="CL88" i="2" s="1"/>
  <c r="CB88" i="2"/>
  <c r="CD88" i="2" s="1"/>
  <c r="BX88" i="2"/>
  <c r="BZ88" i="2" s="1"/>
  <c r="BT88" i="2"/>
  <c r="BV88" i="2" s="1"/>
  <c r="BP88" i="2"/>
  <c r="BR88" i="2" s="1"/>
  <c r="BL88" i="2"/>
  <c r="BN88" i="2" s="1"/>
  <c r="BH88" i="2"/>
  <c r="BJ88" i="2" s="1"/>
  <c r="BD88" i="2"/>
  <c r="BF88" i="2" s="1"/>
  <c r="AZ88" i="2"/>
  <c r="BB88" i="2" s="1"/>
  <c r="AV88" i="2"/>
  <c r="AX88" i="2" s="1"/>
  <c r="AR88" i="2"/>
  <c r="AT88" i="2" s="1"/>
  <c r="AN88" i="2"/>
  <c r="AP88" i="2" s="1"/>
  <c r="AJ88" i="2"/>
  <c r="AL88" i="2" s="1"/>
  <c r="AF88" i="2"/>
  <c r="AH88" i="2" s="1"/>
  <c r="AB88" i="2"/>
  <c r="AD88" i="2" s="1"/>
  <c r="X88" i="2"/>
  <c r="Z88" i="2" s="1"/>
  <c r="T88" i="2"/>
  <c r="V88" i="2" s="1"/>
  <c r="P88" i="2"/>
  <c r="R88" i="2" s="1"/>
  <c r="L88" i="2"/>
  <c r="N88" i="2" s="1"/>
  <c r="H88" i="2"/>
  <c r="J88" i="2" s="1"/>
  <c r="EU86" i="2"/>
  <c r="ES86" i="2"/>
  <c r="EQ86" i="2"/>
  <c r="ER86" i="2" s="1"/>
  <c r="ET86" i="2" s="1"/>
  <c r="EO86" i="2"/>
  <c r="EM86" i="2"/>
  <c r="EN86" i="2" s="1"/>
  <c r="EP86" i="2" s="1"/>
  <c r="EK86" i="2"/>
  <c r="EI86" i="2"/>
  <c r="EG86" i="2"/>
  <c r="EE86" i="2"/>
  <c r="EC86" i="2"/>
  <c r="EA86" i="2"/>
  <c r="EB86" i="2" s="1"/>
  <c r="ED86" i="2" s="1"/>
  <c r="DY86" i="2"/>
  <c r="DW86" i="2"/>
  <c r="DX86" i="2" s="1"/>
  <c r="DU86" i="2"/>
  <c r="DS86" i="2"/>
  <c r="DT86" i="2" s="1"/>
  <c r="DQ86" i="2"/>
  <c r="DO86" i="2"/>
  <c r="DM86" i="2"/>
  <c r="DK86" i="2"/>
  <c r="DL86" i="2" s="1"/>
  <c r="DN86" i="2" s="1"/>
  <c r="DI86" i="2"/>
  <c r="DG86" i="2"/>
  <c r="DH86" i="2" s="1"/>
  <c r="DE86" i="2"/>
  <c r="DC86" i="2"/>
  <c r="DD86" i="2" s="1"/>
  <c r="DF86" i="2" s="1"/>
  <c r="DA86" i="2"/>
  <c r="CY86" i="2"/>
  <c r="CW86" i="2"/>
  <c r="CU86" i="2"/>
  <c r="CV86" i="2" s="1"/>
  <c r="CS86" i="2"/>
  <c r="CQ86" i="2"/>
  <c r="CO86" i="2"/>
  <c r="CM86" i="2"/>
  <c r="CK86" i="2"/>
  <c r="CI86" i="2"/>
  <c r="CG86" i="2"/>
  <c r="CE86" i="2"/>
  <c r="CC86" i="2"/>
  <c r="CA86" i="2"/>
  <c r="BY86" i="2"/>
  <c r="BW86" i="2"/>
  <c r="BU86" i="2"/>
  <c r="BV86" i="2" s="1"/>
  <c r="BS86" i="2"/>
  <c r="BQ86" i="2"/>
  <c r="BO86" i="2"/>
  <c r="BP86" i="2" s="1"/>
  <c r="BM86" i="2"/>
  <c r="BK86" i="2"/>
  <c r="BI86" i="2"/>
  <c r="BG86" i="2"/>
  <c r="BE86" i="2"/>
  <c r="BC86" i="2"/>
  <c r="BD86" i="2" s="1"/>
  <c r="BF86" i="2" s="1"/>
  <c r="BA86" i="2"/>
  <c r="AY86" i="2"/>
  <c r="AZ86" i="2" s="1"/>
  <c r="BB86" i="2" s="1"/>
  <c r="AW86" i="2"/>
  <c r="AU86" i="2"/>
  <c r="AV86" i="2" s="1"/>
  <c r="AX86" i="2" s="1"/>
  <c r="AS86" i="2"/>
  <c r="AQ86" i="2"/>
  <c r="AR86" i="2" s="1"/>
  <c r="AT86" i="2" s="1"/>
  <c r="AO86" i="2"/>
  <c r="AM86" i="2"/>
  <c r="AN86" i="2" s="1"/>
  <c r="AP86" i="2" s="1"/>
  <c r="AK86" i="2"/>
  <c r="AI86" i="2"/>
  <c r="AJ86" i="2" s="1"/>
  <c r="AL86" i="2" s="1"/>
  <c r="AG86" i="2"/>
  <c r="AE86" i="2"/>
  <c r="AF86" i="2" s="1"/>
  <c r="AH86" i="2" s="1"/>
  <c r="AC86" i="2"/>
  <c r="AA86" i="2"/>
  <c r="AB86" i="2" s="1"/>
  <c r="AD86" i="2" s="1"/>
  <c r="Y86" i="2"/>
  <c r="W86" i="2"/>
  <c r="X86" i="2" s="1"/>
  <c r="Z86" i="2" s="1"/>
  <c r="U86" i="2"/>
  <c r="S86" i="2"/>
  <c r="T86" i="2" s="1"/>
  <c r="V86" i="2" s="1"/>
  <c r="Q86" i="2"/>
  <c r="O86" i="2"/>
  <c r="P86" i="2" s="1"/>
  <c r="R86" i="2" s="1"/>
  <c r="M86" i="2"/>
  <c r="K86" i="2"/>
  <c r="L86" i="2" s="1"/>
  <c r="I86" i="2"/>
  <c r="G86" i="2"/>
  <c r="H86" i="2" s="1"/>
  <c r="J86" i="2" s="1"/>
  <c r="EV85" i="2"/>
  <c r="EX85" i="2" s="1"/>
  <c r="ER85" i="2"/>
  <c r="ET85" i="2" s="1"/>
  <c r="EN85" i="2"/>
  <c r="EP85" i="2" s="1"/>
  <c r="EJ85" i="2"/>
  <c r="EL85" i="2" s="1"/>
  <c r="EF85" i="2"/>
  <c r="EH85" i="2" s="1"/>
  <c r="EB85" i="2"/>
  <c r="ED85" i="2" s="1"/>
  <c r="DX85" i="2"/>
  <c r="DZ85" i="2" s="1"/>
  <c r="DT85" i="2"/>
  <c r="DV85" i="2" s="1"/>
  <c r="DP85" i="2"/>
  <c r="DR85" i="2" s="1"/>
  <c r="DL85" i="2"/>
  <c r="DN85" i="2" s="1"/>
  <c r="DH85" i="2"/>
  <c r="DJ85" i="2" s="1"/>
  <c r="DD85" i="2"/>
  <c r="DF85" i="2" s="1"/>
  <c r="CZ85" i="2"/>
  <c r="DB85" i="2" s="1"/>
  <c r="CV85" i="2"/>
  <c r="CX85" i="2" s="1"/>
  <c r="CN85" i="2"/>
  <c r="CP85" i="2" s="1"/>
  <c r="CL85" i="2"/>
  <c r="CH85" i="2"/>
  <c r="CD85" i="2"/>
  <c r="BP85" i="2"/>
  <c r="BR85" i="2" s="1"/>
  <c r="BN85" i="2"/>
  <c r="BH85" i="2"/>
  <c r="BJ85" i="2" s="1"/>
  <c r="BD85" i="2"/>
  <c r="BF85" i="2" s="1"/>
  <c r="AZ85" i="2"/>
  <c r="BB85" i="2" s="1"/>
  <c r="AV85" i="2"/>
  <c r="AX85" i="2" s="1"/>
  <c r="AR85" i="2"/>
  <c r="AT85" i="2" s="1"/>
  <c r="AN85" i="2"/>
  <c r="AP85" i="2" s="1"/>
  <c r="AJ85" i="2"/>
  <c r="AL85" i="2" s="1"/>
  <c r="AF85" i="2"/>
  <c r="AH85" i="2" s="1"/>
  <c r="AB85" i="2"/>
  <c r="AD85" i="2" s="1"/>
  <c r="X85" i="2"/>
  <c r="Z85" i="2" s="1"/>
  <c r="T85" i="2"/>
  <c r="V85" i="2" s="1"/>
  <c r="P85" i="2"/>
  <c r="R85" i="2" s="1"/>
  <c r="L85" i="2"/>
  <c r="N85" i="2" s="1"/>
  <c r="H85" i="2"/>
  <c r="J85" i="2" s="1"/>
  <c r="EV84" i="2"/>
  <c r="EX84" i="2" s="1"/>
  <c r="ER84" i="2"/>
  <c r="ET84" i="2" s="1"/>
  <c r="EN84" i="2"/>
  <c r="EP84" i="2" s="1"/>
  <c r="EJ84" i="2"/>
  <c r="EL84" i="2" s="1"/>
  <c r="EF84" i="2"/>
  <c r="EH84" i="2" s="1"/>
  <c r="EB84" i="2"/>
  <c r="ED84" i="2" s="1"/>
  <c r="DX84" i="2"/>
  <c r="DZ84" i="2" s="1"/>
  <c r="DT84" i="2"/>
  <c r="DV84" i="2" s="1"/>
  <c r="DP84" i="2"/>
  <c r="DR84" i="2" s="1"/>
  <c r="DL84" i="2"/>
  <c r="DN84" i="2" s="1"/>
  <c r="DH84" i="2"/>
  <c r="DJ84" i="2" s="1"/>
  <c r="DD84" i="2"/>
  <c r="DF84" i="2" s="1"/>
  <c r="CZ84" i="2"/>
  <c r="DB84" i="2" s="1"/>
  <c r="CV84" i="2"/>
  <c r="CX84" i="2" s="1"/>
  <c r="CR84" i="2"/>
  <c r="CT84" i="2" s="1"/>
  <c r="CJ84" i="2"/>
  <c r="CL84" i="2" s="1"/>
  <c r="CF84" i="2"/>
  <c r="CH84" i="2" s="1"/>
  <c r="CB84" i="2"/>
  <c r="CD84" i="2" s="1"/>
  <c r="BX84" i="2"/>
  <c r="BZ84" i="2" s="1"/>
  <c r="BT84" i="2"/>
  <c r="BV84" i="2" s="1"/>
  <c r="BP84" i="2"/>
  <c r="BR84" i="2" s="1"/>
  <c r="BL84" i="2"/>
  <c r="BN84" i="2" s="1"/>
  <c r="BH84" i="2"/>
  <c r="BJ84" i="2" s="1"/>
  <c r="BD84" i="2"/>
  <c r="BF84" i="2" s="1"/>
  <c r="AZ84" i="2"/>
  <c r="BB84" i="2" s="1"/>
  <c r="AV84" i="2"/>
  <c r="AX84" i="2" s="1"/>
  <c r="AR84" i="2"/>
  <c r="AT84" i="2" s="1"/>
  <c r="AN84" i="2"/>
  <c r="AP84" i="2" s="1"/>
  <c r="AJ84" i="2"/>
  <c r="AL84" i="2" s="1"/>
  <c r="AF84" i="2"/>
  <c r="AH84" i="2" s="1"/>
  <c r="AB84" i="2"/>
  <c r="AD84" i="2" s="1"/>
  <c r="X84" i="2"/>
  <c r="Z84" i="2" s="1"/>
  <c r="T84" i="2"/>
  <c r="V84" i="2" s="1"/>
  <c r="P84" i="2"/>
  <c r="R84" i="2" s="1"/>
  <c r="L84" i="2"/>
  <c r="N84" i="2" s="1"/>
  <c r="H84" i="2"/>
  <c r="J84" i="2" s="1"/>
  <c r="EV81" i="2"/>
  <c r="EX81" i="2" s="1"/>
  <c r="ER81" i="2"/>
  <c r="ET81" i="2" s="1"/>
  <c r="EN81" i="2"/>
  <c r="EP81" i="2" s="1"/>
  <c r="EJ81" i="2"/>
  <c r="EL81" i="2" s="1"/>
  <c r="EF81" i="2"/>
  <c r="EH81" i="2" s="1"/>
  <c r="EB81" i="2"/>
  <c r="ED81" i="2" s="1"/>
  <c r="DX81" i="2"/>
  <c r="DZ81" i="2" s="1"/>
  <c r="DT81" i="2"/>
  <c r="DV81" i="2" s="1"/>
  <c r="DP81" i="2"/>
  <c r="DR81" i="2" s="1"/>
  <c r="DL81" i="2"/>
  <c r="DN81" i="2" s="1"/>
  <c r="DH81" i="2"/>
  <c r="DJ81" i="2" s="1"/>
  <c r="DD81" i="2"/>
  <c r="DF81" i="2" s="1"/>
  <c r="CZ81" i="2"/>
  <c r="DB81" i="2" s="1"/>
  <c r="CV81" i="2"/>
  <c r="CX81" i="2" s="1"/>
  <c r="CR81" i="2"/>
  <c r="CT81" i="2" s="1"/>
  <c r="CN81" i="2"/>
  <c r="CP81" i="2" s="1"/>
  <c r="CJ81" i="2"/>
  <c r="CL81" i="2" s="1"/>
  <c r="CF81" i="2"/>
  <c r="CH81" i="2" s="1"/>
  <c r="CB81" i="2"/>
  <c r="CD81" i="2" s="1"/>
  <c r="BX81" i="2"/>
  <c r="BZ81" i="2" s="1"/>
  <c r="BT81" i="2"/>
  <c r="BV81" i="2" s="1"/>
  <c r="BP81" i="2"/>
  <c r="BR81" i="2" s="1"/>
  <c r="BL81" i="2"/>
  <c r="BN81" i="2" s="1"/>
  <c r="BH81" i="2"/>
  <c r="BJ81" i="2" s="1"/>
  <c r="BD81" i="2"/>
  <c r="BF81" i="2" s="1"/>
  <c r="AZ81" i="2"/>
  <c r="BB81" i="2" s="1"/>
  <c r="AV81" i="2"/>
  <c r="AX81" i="2" s="1"/>
  <c r="AR81" i="2"/>
  <c r="AT81" i="2" s="1"/>
  <c r="AN81" i="2"/>
  <c r="AP81" i="2" s="1"/>
  <c r="AJ81" i="2"/>
  <c r="AL81" i="2" s="1"/>
  <c r="AF81" i="2"/>
  <c r="AH81" i="2" s="1"/>
  <c r="AB81" i="2"/>
  <c r="AD81" i="2" s="1"/>
  <c r="X81" i="2"/>
  <c r="Z81" i="2" s="1"/>
  <c r="T81" i="2"/>
  <c r="V81" i="2" s="1"/>
  <c r="P81" i="2"/>
  <c r="R81" i="2" s="1"/>
  <c r="L81" i="2"/>
  <c r="N81" i="2" s="1"/>
  <c r="H81" i="2"/>
  <c r="J81" i="2" s="1"/>
  <c r="EV80" i="2"/>
  <c r="EX80" i="2" s="1"/>
  <c r="ER80" i="2"/>
  <c r="ET80" i="2" s="1"/>
  <c r="EN80" i="2"/>
  <c r="EP80" i="2" s="1"/>
  <c r="EJ80" i="2"/>
  <c r="EL80" i="2" s="1"/>
  <c r="EF80" i="2"/>
  <c r="EH80" i="2" s="1"/>
  <c r="EB80" i="2"/>
  <c r="ED80" i="2" s="1"/>
  <c r="DX80" i="2"/>
  <c r="DZ80" i="2" s="1"/>
  <c r="DT80" i="2"/>
  <c r="DV80" i="2" s="1"/>
  <c r="DP80" i="2"/>
  <c r="DR80" i="2" s="1"/>
  <c r="DL80" i="2"/>
  <c r="DN80" i="2" s="1"/>
  <c r="DH80" i="2"/>
  <c r="DJ80" i="2" s="1"/>
  <c r="DD80" i="2"/>
  <c r="DF80" i="2" s="1"/>
  <c r="CZ80" i="2"/>
  <c r="DB80" i="2" s="1"/>
  <c r="CV80" i="2"/>
  <c r="CX80" i="2" s="1"/>
  <c r="CR80" i="2"/>
  <c r="CT80" i="2" s="1"/>
  <c r="CN80" i="2"/>
  <c r="CP80" i="2" s="1"/>
  <c r="CJ80" i="2"/>
  <c r="CL80" i="2" s="1"/>
  <c r="CF80" i="2"/>
  <c r="CH80" i="2" s="1"/>
  <c r="CB80" i="2"/>
  <c r="CD80" i="2" s="1"/>
  <c r="BX80" i="2"/>
  <c r="BZ80" i="2" s="1"/>
  <c r="BT80" i="2"/>
  <c r="BV80" i="2" s="1"/>
  <c r="BP80" i="2"/>
  <c r="BR80" i="2" s="1"/>
  <c r="BL80" i="2"/>
  <c r="BN80" i="2" s="1"/>
  <c r="BH80" i="2"/>
  <c r="BJ80" i="2" s="1"/>
  <c r="BD80" i="2"/>
  <c r="BF80" i="2" s="1"/>
  <c r="AZ80" i="2"/>
  <c r="BB80" i="2" s="1"/>
  <c r="AV80" i="2"/>
  <c r="AX80" i="2" s="1"/>
  <c r="AR80" i="2"/>
  <c r="AT80" i="2" s="1"/>
  <c r="AN80" i="2"/>
  <c r="AP80" i="2" s="1"/>
  <c r="AJ80" i="2"/>
  <c r="AL80" i="2" s="1"/>
  <c r="AF80" i="2"/>
  <c r="AH80" i="2" s="1"/>
  <c r="AB80" i="2"/>
  <c r="AD80" i="2" s="1"/>
  <c r="X80" i="2"/>
  <c r="Z80" i="2" s="1"/>
  <c r="T80" i="2"/>
  <c r="V80" i="2" s="1"/>
  <c r="P80" i="2"/>
  <c r="R80" i="2" s="1"/>
  <c r="L80" i="2"/>
  <c r="N80" i="2" s="1"/>
  <c r="H80" i="2"/>
  <c r="J80" i="2" s="1"/>
  <c r="EV79" i="2"/>
  <c r="EX79" i="2" s="1"/>
  <c r="ER79" i="2"/>
  <c r="ET79" i="2" s="1"/>
  <c r="EN79" i="2"/>
  <c r="EP79" i="2" s="1"/>
  <c r="EJ79" i="2"/>
  <c r="EL79" i="2" s="1"/>
  <c r="EF79" i="2"/>
  <c r="EH79" i="2" s="1"/>
  <c r="EB79" i="2"/>
  <c r="ED79" i="2" s="1"/>
  <c r="DX79" i="2"/>
  <c r="DZ79" i="2" s="1"/>
  <c r="DT79" i="2"/>
  <c r="DV79" i="2" s="1"/>
  <c r="DP79" i="2"/>
  <c r="DR79" i="2" s="1"/>
  <c r="DL79" i="2"/>
  <c r="DN79" i="2" s="1"/>
  <c r="DH79" i="2"/>
  <c r="DJ79" i="2" s="1"/>
  <c r="DD79" i="2"/>
  <c r="DF79" i="2" s="1"/>
  <c r="CZ79" i="2"/>
  <c r="DB79" i="2" s="1"/>
  <c r="CV79" i="2"/>
  <c r="CX79" i="2" s="1"/>
  <c r="CR79" i="2"/>
  <c r="CT79" i="2" s="1"/>
  <c r="CN79" i="2"/>
  <c r="CP79" i="2" s="1"/>
  <c r="CL79" i="2"/>
  <c r="CH79" i="2"/>
  <c r="CB79" i="2"/>
  <c r="CD79" i="2" s="1"/>
  <c r="BX79" i="2"/>
  <c r="BZ79" i="2" s="1"/>
  <c r="BT79" i="2"/>
  <c r="BV79" i="2" s="1"/>
  <c r="BP79" i="2"/>
  <c r="BR79" i="2" s="1"/>
  <c r="BL79" i="2"/>
  <c r="BN79" i="2" s="1"/>
  <c r="BH79" i="2"/>
  <c r="BJ79" i="2" s="1"/>
  <c r="BD79" i="2"/>
  <c r="BF79" i="2" s="1"/>
  <c r="AZ79" i="2"/>
  <c r="BB79" i="2" s="1"/>
  <c r="AV79" i="2"/>
  <c r="AX79" i="2" s="1"/>
  <c r="AR79" i="2"/>
  <c r="AT79" i="2" s="1"/>
  <c r="AN79" i="2"/>
  <c r="AP79" i="2" s="1"/>
  <c r="AJ79" i="2"/>
  <c r="AL79" i="2" s="1"/>
  <c r="AF79" i="2"/>
  <c r="AH79" i="2" s="1"/>
  <c r="AB79" i="2"/>
  <c r="AD79" i="2" s="1"/>
  <c r="X79" i="2"/>
  <c r="Z79" i="2" s="1"/>
  <c r="T79" i="2"/>
  <c r="V79" i="2" s="1"/>
  <c r="P79" i="2"/>
  <c r="R79" i="2" s="1"/>
  <c r="L79" i="2"/>
  <c r="N79" i="2" s="1"/>
  <c r="H79" i="2"/>
  <c r="J79" i="2" s="1"/>
  <c r="EV78" i="2"/>
  <c r="EX78" i="2" s="1"/>
  <c r="ER78" i="2"/>
  <c r="ET78" i="2" s="1"/>
  <c r="EN78" i="2"/>
  <c r="EP78" i="2" s="1"/>
  <c r="EJ78" i="2"/>
  <c r="EL78" i="2" s="1"/>
  <c r="EF78" i="2"/>
  <c r="EH78" i="2" s="1"/>
  <c r="EB78" i="2"/>
  <c r="ED78" i="2" s="1"/>
  <c r="DX78" i="2"/>
  <c r="DZ78" i="2" s="1"/>
  <c r="DT78" i="2"/>
  <c r="DV78" i="2" s="1"/>
  <c r="DP78" i="2"/>
  <c r="DR78" i="2" s="1"/>
  <c r="DL78" i="2"/>
  <c r="DN78" i="2" s="1"/>
  <c r="DH78" i="2"/>
  <c r="DJ78" i="2" s="1"/>
  <c r="DD78" i="2"/>
  <c r="DF78" i="2" s="1"/>
  <c r="CZ78" i="2"/>
  <c r="DB78" i="2" s="1"/>
  <c r="CV78" i="2"/>
  <c r="CX78" i="2" s="1"/>
  <c r="CR78" i="2"/>
  <c r="CT78" i="2" s="1"/>
  <c r="CN78" i="2"/>
  <c r="CP78" i="2" s="1"/>
  <c r="CL78" i="2"/>
  <c r="CH78" i="2"/>
  <c r="CB78" i="2"/>
  <c r="CD78" i="2" s="1"/>
  <c r="BX78" i="2"/>
  <c r="BZ78" i="2" s="1"/>
  <c r="BT78" i="2"/>
  <c r="BV78" i="2" s="1"/>
  <c r="BP78" i="2"/>
  <c r="BR78" i="2" s="1"/>
  <c r="BL78" i="2"/>
  <c r="BN78" i="2" s="1"/>
  <c r="BH78" i="2"/>
  <c r="BJ78" i="2" s="1"/>
  <c r="BD78" i="2"/>
  <c r="BF78" i="2" s="1"/>
  <c r="AZ78" i="2"/>
  <c r="BB78" i="2" s="1"/>
  <c r="AV78" i="2"/>
  <c r="AX78" i="2" s="1"/>
  <c r="AR78" i="2"/>
  <c r="AT78" i="2" s="1"/>
  <c r="AN78" i="2"/>
  <c r="AP78" i="2" s="1"/>
  <c r="AJ78" i="2"/>
  <c r="AL78" i="2" s="1"/>
  <c r="AF78" i="2"/>
  <c r="AH78" i="2" s="1"/>
  <c r="AB78" i="2"/>
  <c r="AD78" i="2" s="1"/>
  <c r="X78" i="2"/>
  <c r="Z78" i="2" s="1"/>
  <c r="T78" i="2"/>
  <c r="V78" i="2" s="1"/>
  <c r="P78" i="2"/>
  <c r="R78" i="2" s="1"/>
  <c r="L78" i="2"/>
  <c r="N78" i="2" s="1"/>
  <c r="H78" i="2"/>
  <c r="J78" i="2" s="1"/>
  <c r="EV77" i="2"/>
  <c r="EX77" i="2" s="1"/>
  <c r="ER77" i="2"/>
  <c r="ET77" i="2" s="1"/>
  <c r="EN77" i="2"/>
  <c r="EP77" i="2" s="1"/>
  <c r="EJ77" i="2"/>
  <c r="EL77" i="2" s="1"/>
  <c r="EF77" i="2"/>
  <c r="EH77" i="2" s="1"/>
  <c r="EB77" i="2"/>
  <c r="ED77" i="2" s="1"/>
  <c r="DX77" i="2"/>
  <c r="DZ77" i="2" s="1"/>
  <c r="DT77" i="2"/>
  <c r="DV77" i="2" s="1"/>
  <c r="DP77" i="2"/>
  <c r="DR77" i="2" s="1"/>
  <c r="DL77" i="2"/>
  <c r="DN77" i="2" s="1"/>
  <c r="DH77" i="2"/>
  <c r="DJ77" i="2" s="1"/>
  <c r="DD77" i="2"/>
  <c r="DF77" i="2" s="1"/>
  <c r="CZ77" i="2"/>
  <c r="DB77" i="2" s="1"/>
  <c r="CV77" i="2"/>
  <c r="CX77" i="2" s="1"/>
  <c r="CR77" i="2"/>
  <c r="CT77" i="2" s="1"/>
  <c r="CN77" i="2"/>
  <c r="CP77" i="2" s="1"/>
  <c r="CJ77" i="2"/>
  <c r="CL77" i="2" s="1"/>
  <c r="CF77" i="2"/>
  <c r="CH77" i="2" s="1"/>
  <c r="CB77" i="2"/>
  <c r="CD77" i="2" s="1"/>
  <c r="BX77" i="2"/>
  <c r="BZ77" i="2" s="1"/>
  <c r="BT77" i="2"/>
  <c r="BV77" i="2" s="1"/>
  <c r="BP77" i="2"/>
  <c r="BR77" i="2" s="1"/>
  <c r="BL77" i="2"/>
  <c r="BN77" i="2" s="1"/>
  <c r="BH77" i="2"/>
  <c r="BJ77" i="2" s="1"/>
  <c r="BD77" i="2"/>
  <c r="BF77" i="2" s="1"/>
  <c r="AZ77" i="2"/>
  <c r="BB77" i="2" s="1"/>
  <c r="AV77" i="2"/>
  <c r="AX77" i="2" s="1"/>
  <c r="AR77" i="2"/>
  <c r="AT77" i="2" s="1"/>
  <c r="AN77" i="2"/>
  <c r="AP77" i="2" s="1"/>
  <c r="AJ77" i="2"/>
  <c r="AL77" i="2" s="1"/>
  <c r="AF77" i="2"/>
  <c r="AH77" i="2" s="1"/>
  <c r="AB77" i="2"/>
  <c r="AD77" i="2" s="1"/>
  <c r="X77" i="2"/>
  <c r="Z77" i="2" s="1"/>
  <c r="T77" i="2"/>
  <c r="V77" i="2" s="1"/>
  <c r="P77" i="2"/>
  <c r="R77" i="2" s="1"/>
  <c r="L77" i="2"/>
  <c r="N77" i="2" s="1"/>
  <c r="H77" i="2"/>
  <c r="J77" i="2" s="1"/>
  <c r="EV76" i="2"/>
  <c r="EX76" i="2" s="1"/>
  <c r="ER76" i="2"/>
  <c r="ET76" i="2" s="1"/>
  <c r="EN76" i="2"/>
  <c r="EP76" i="2" s="1"/>
  <c r="EJ76" i="2"/>
  <c r="EL76" i="2" s="1"/>
  <c r="EF76" i="2"/>
  <c r="EH76" i="2" s="1"/>
  <c r="EB76" i="2"/>
  <c r="ED76" i="2" s="1"/>
  <c r="DX76" i="2"/>
  <c r="DZ76" i="2" s="1"/>
  <c r="DT76" i="2"/>
  <c r="DV76" i="2" s="1"/>
  <c r="DP76" i="2"/>
  <c r="DR76" i="2" s="1"/>
  <c r="DL76" i="2"/>
  <c r="DN76" i="2" s="1"/>
  <c r="DH76" i="2"/>
  <c r="DJ76" i="2" s="1"/>
  <c r="DD76" i="2"/>
  <c r="DF76" i="2" s="1"/>
  <c r="CZ76" i="2"/>
  <c r="DB76" i="2" s="1"/>
  <c r="CV76" i="2"/>
  <c r="CX76" i="2" s="1"/>
  <c r="CR76" i="2"/>
  <c r="CT76" i="2" s="1"/>
  <c r="CN76" i="2"/>
  <c r="CP76" i="2" s="1"/>
  <c r="CJ76" i="2"/>
  <c r="CL76" i="2" s="1"/>
  <c r="CF76" i="2"/>
  <c r="CH76" i="2" s="1"/>
  <c r="CB76" i="2"/>
  <c r="CD76" i="2" s="1"/>
  <c r="BX76" i="2"/>
  <c r="BZ76" i="2" s="1"/>
  <c r="BT76" i="2"/>
  <c r="BV76" i="2" s="1"/>
  <c r="BP76" i="2"/>
  <c r="BR76" i="2" s="1"/>
  <c r="BL76" i="2"/>
  <c r="BN76" i="2" s="1"/>
  <c r="BH76" i="2"/>
  <c r="BJ76" i="2" s="1"/>
  <c r="BD76" i="2"/>
  <c r="BF76" i="2" s="1"/>
  <c r="AZ76" i="2"/>
  <c r="BB76" i="2" s="1"/>
  <c r="AV76" i="2"/>
  <c r="AX76" i="2" s="1"/>
  <c r="AR76" i="2"/>
  <c r="AT76" i="2" s="1"/>
  <c r="AN76" i="2"/>
  <c r="AP76" i="2" s="1"/>
  <c r="AJ76" i="2"/>
  <c r="AL76" i="2" s="1"/>
  <c r="AF76" i="2"/>
  <c r="AH76" i="2" s="1"/>
  <c r="AB76" i="2"/>
  <c r="AD76" i="2" s="1"/>
  <c r="X76" i="2"/>
  <c r="Z76" i="2" s="1"/>
  <c r="T76" i="2"/>
  <c r="V76" i="2" s="1"/>
  <c r="P76" i="2"/>
  <c r="R76" i="2" s="1"/>
  <c r="L76" i="2"/>
  <c r="N76" i="2" s="1"/>
  <c r="H76" i="2"/>
  <c r="J76" i="2" s="1"/>
  <c r="EV75" i="2"/>
  <c r="EX75" i="2" s="1"/>
  <c r="ER75" i="2"/>
  <c r="ET75" i="2" s="1"/>
  <c r="EN75" i="2"/>
  <c r="EP75" i="2" s="1"/>
  <c r="EJ75" i="2"/>
  <c r="EL75" i="2" s="1"/>
  <c r="EF75" i="2"/>
  <c r="EH75" i="2" s="1"/>
  <c r="EB75" i="2"/>
  <c r="ED75" i="2" s="1"/>
  <c r="DX75" i="2"/>
  <c r="DZ75" i="2" s="1"/>
  <c r="DT75" i="2"/>
  <c r="DV75" i="2" s="1"/>
  <c r="DP75" i="2"/>
  <c r="DR75" i="2" s="1"/>
  <c r="DL75" i="2"/>
  <c r="DN75" i="2" s="1"/>
  <c r="DH75" i="2"/>
  <c r="DJ75" i="2" s="1"/>
  <c r="DD75" i="2"/>
  <c r="DF75" i="2" s="1"/>
  <c r="CZ75" i="2"/>
  <c r="DB75" i="2" s="1"/>
  <c r="CV75" i="2"/>
  <c r="CX75" i="2" s="1"/>
  <c r="CR75" i="2"/>
  <c r="CT75" i="2" s="1"/>
  <c r="CN75" i="2"/>
  <c r="CP75" i="2" s="1"/>
  <c r="CJ75" i="2"/>
  <c r="CL75" i="2" s="1"/>
  <c r="CF75" i="2"/>
  <c r="CH75" i="2" s="1"/>
  <c r="CB75" i="2"/>
  <c r="CD75" i="2" s="1"/>
  <c r="BX75" i="2"/>
  <c r="BZ75" i="2" s="1"/>
  <c r="BT75" i="2"/>
  <c r="BV75" i="2" s="1"/>
  <c r="BP75" i="2"/>
  <c r="BR75" i="2" s="1"/>
  <c r="BL75" i="2"/>
  <c r="BN75" i="2" s="1"/>
  <c r="BH75" i="2"/>
  <c r="BJ75" i="2" s="1"/>
  <c r="BD75" i="2"/>
  <c r="BF75" i="2" s="1"/>
  <c r="AZ75" i="2"/>
  <c r="BB75" i="2" s="1"/>
  <c r="AV75" i="2"/>
  <c r="AX75" i="2" s="1"/>
  <c r="AR75" i="2"/>
  <c r="AT75" i="2" s="1"/>
  <c r="AN75" i="2"/>
  <c r="AP75" i="2" s="1"/>
  <c r="AJ75" i="2"/>
  <c r="AL75" i="2" s="1"/>
  <c r="AF75" i="2"/>
  <c r="AH75" i="2" s="1"/>
  <c r="AB75" i="2"/>
  <c r="AD75" i="2" s="1"/>
  <c r="X75" i="2"/>
  <c r="Z75" i="2" s="1"/>
  <c r="T75" i="2"/>
  <c r="V75" i="2" s="1"/>
  <c r="P75" i="2"/>
  <c r="R75" i="2" s="1"/>
  <c r="L75" i="2"/>
  <c r="N75" i="2" s="1"/>
  <c r="H75" i="2"/>
  <c r="J75" i="2" s="1"/>
  <c r="EU74" i="2"/>
  <c r="EV74" i="2" s="1"/>
  <c r="EX74" i="2" s="1"/>
  <c r="ES74" i="2"/>
  <c r="EQ74" i="2"/>
  <c r="EO74" i="2"/>
  <c r="EM74" i="2"/>
  <c r="EN74" i="2" s="1"/>
  <c r="EP74" i="2" s="1"/>
  <c r="EK74" i="2"/>
  <c r="EI74" i="2"/>
  <c r="EJ74" i="2" s="1"/>
  <c r="EL74" i="2" s="1"/>
  <c r="EG74" i="2"/>
  <c r="EE74" i="2"/>
  <c r="EC74" i="2"/>
  <c r="EA74" i="2"/>
  <c r="EB74" i="2" s="1"/>
  <c r="ED74" i="2" s="1"/>
  <c r="DY74" i="2"/>
  <c r="DW74" i="2"/>
  <c r="DX74" i="2" s="1"/>
  <c r="DU74" i="2"/>
  <c r="DS74" i="2"/>
  <c r="DT74" i="2" s="1"/>
  <c r="DQ74" i="2"/>
  <c r="DO74" i="2"/>
  <c r="DM74" i="2"/>
  <c r="DK74" i="2"/>
  <c r="DI74" i="2"/>
  <c r="DG74" i="2"/>
  <c r="DH74" i="2" s="1"/>
  <c r="DE74" i="2"/>
  <c r="DC74" i="2"/>
  <c r="DD74" i="2" s="1"/>
  <c r="DF74" i="2" s="1"/>
  <c r="DA74" i="2"/>
  <c r="CY74" i="2"/>
  <c r="CZ74" i="2" s="1"/>
  <c r="DB74" i="2" s="1"/>
  <c r="CW74" i="2"/>
  <c r="CU74" i="2"/>
  <c r="CV74" i="2" s="1"/>
  <c r="CX74" i="2" s="1"/>
  <c r="CS74" i="2"/>
  <c r="CQ74" i="2"/>
  <c r="CR74" i="2" s="1"/>
  <c r="CT74" i="2" s="1"/>
  <c r="CO74" i="2"/>
  <c r="CM74" i="2"/>
  <c r="CN74" i="2" s="1"/>
  <c r="CP74" i="2" s="1"/>
  <c r="CK74" i="2"/>
  <c r="CI74" i="2"/>
  <c r="CJ74" i="2" s="1"/>
  <c r="CL74" i="2" s="1"/>
  <c r="CG74" i="2"/>
  <c r="CE74" i="2"/>
  <c r="CF74" i="2" s="1"/>
  <c r="CH74" i="2" s="1"/>
  <c r="CC74" i="2"/>
  <c r="CA74" i="2"/>
  <c r="CB74" i="2" s="1"/>
  <c r="CD74" i="2" s="1"/>
  <c r="BY74" i="2"/>
  <c r="BW74" i="2"/>
  <c r="BX74" i="2" s="1"/>
  <c r="BZ74" i="2" s="1"/>
  <c r="BU74" i="2"/>
  <c r="BS74" i="2"/>
  <c r="BT74" i="2" s="1"/>
  <c r="BV74" i="2" s="1"/>
  <c r="BQ74" i="2"/>
  <c r="BO74" i="2"/>
  <c r="BP74" i="2" s="1"/>
  <c r="BR74" i="2" s="1"/>
  <c r="BM74" i="2"/>
  <c r="BK74" i="2"/>
  <c r="BL74" i="2" s="1"/>
  <c r="BN74" i="2" s="1"/>
  <c r="BI74" i="2"/>
  <c r="BG74" i="2"/>
  <c r="BE74" i="2"/>
  <c r="BC74" i="2"/>
  <c r="BA74" i="2"/>
  <c r="AY74" i="2"/>
  <c r="AW74" i="2"/>
  <c r="AU74" i="2"/>
  <c r="AS74" i="2"/>
  <c r="AQ74" i="2"/>
  <c r="AR74" i="2" s="1"/>
  <c r="AT74" i="2" s="1"/>
  <c r="AO74" i="2"/>
  <c r="AM74" i="2"/>
  <c r="AN74" i="2" s="1"/>
  <c r="AK74" i="2"/>
  <c r="AI74" i="2"/>
  <c r="AJ74" i="2" s="1"/>
  <c r="AL74" i="2" s="1"/>
  <c r="AG74" i="2"/>
  <c r="AC74" i="2"/>
  <c r="AA74" i="2"/>
  <c r="Y74" i="2"/>
  <c r="W74" i="2"/>
  <c r="X74" i="2" s="1"/>
  <c r="Z74" i="2" s="1"/>
  <c r="U74" i="2"/>
  <c r="S74" i="2"/>
  <c r="T74" i="2" s="1"/>
  <c r="V74" i="2" s="1"/>
  <c r="Q74" i="2"/>
  <c r="O74" i="2"/>
  <c r="P74" i="2" s="1"/>
  <c r="R74" i="2" s="1"/>
  <c r="M74" i="2"/>
  <c r="K74" i="2"/>
  <c r="L74" i="2" s="1"/>
  <c r="I74" i="2"/>
  <c r="G74" i="2"/>
  <c r="H74" i="2" s="1"/>
  <c r="J74" i="2" s="1"/>
  <c r="EV73" i="2"/>
  <c r="EX73" i="2" s="1"/>
  <c r="ER73" i="2"/>
  <c r="ET73" i="2" s="1"/>
  <c r="EN73" i="2"/>
  <c r="EP73" i="2" s="1"/>
  <c r="EJ73" i="2"/>
  <c r="EL73" i="2" s="1"/>
  <c r="EF73" i="2"/>
  <c r="EH73" i="2" s="1"/>
  <c r="EB73" i="2"/>
  <c r="ED73" i="2" s="1"/>
  <c r="DX73" i="2"/>
  <c r="DZ73" i="2" s="1"/>
  <c r="DT73" i="2"/>
  <c r="DV73" i="2" s="1"/>
  <c r="DP73" i="2"/>
  <c r="DR73" i="2" s="1"/>
  <c r="DL73" i="2"/>
  <c r="DN73" i="2" s="1"/>
  <c r="DH73" i="2"/>
  <c r="DJ73" i="2" s="1"/>
  <c r="DD73" i="2"/>
  <c r="DF73" i="2" s="1"/>
  <c r="CZ73" i="2"/>
  <c r="DB73" i="2" s="1"/>
  <c r="CV73" i="2"/>
  <c r="CX73" i="2" s="1"/>
  <c r="CR73" i="2"/>
  <c r="CT73" i="2" s="1"/>
  <c r="CN73" i="2"/>
  <c r="CP73" i="2" s="1"/>
  <c r="CJ73" i="2"/>
  <c r="CL73" i="2" s="1"/>
  <c r="CF73" i="2"/>
  <c r="CH73" i="2" s="1"/>
  <c r="CB73" i="2"/>
  <c r="CD73" i="2" s="1"/>
  <c r="BX73" i="2"/>
  <c r="BZ73" i="2" s="1"/>
  <c r="BT73" i="2"/>
  <c r="BV73" i="2" s="1"/>
  <c r="BP73" i="2"/>
  <c r="BR73" i="2" s="1"/>
  <c r="BL73" i="2"/>
  <c r="BN73" i="2" s="1"/>
  <c r="BH73" i="2"/>
  <c r="BJ73" i="2" s="1"/>
  <c r="BD73" i="2"/>
  <c r="BF73" i="2" s="1"/>
  <c r="AZ73" i="2"/>
  <c r="BB73" i="2" s="1"/>
  <c r="AV73" i="2"/>
  <c r="AX73" i="2" s="1"/>
  <c r="AR73" i="2"/>
  <c r="AT73" i="2" s="1"/>
  <c r="AN73" i="2"/>
  <c r="AP73" i="2" s="1"/>
  <c r="AJ73" i="2"/>
  <c r="AL73" i="2" s="1"/>
  <c r="AF73" i="2"/>
  <c r="AH73" i="2" s="1"/>
  <c r="AB73" i="2"/>
  <c r="AD73" i="2" s="1"/>
  <c r="X73" i="2"/>
  <c r="Z73" i="2" s="1"/>
  <c r="T73" i="2"/>
  <c r="V73" i="2" s="1"/>
  <c r="P73" i="2"/>
  <c r="R73" i="2" s="1"/>
  <c r="L73" i="2"/>
  <c r="N73" i="2" s="1"/>
  <c r="H73" i="2"/>
  <c r="J73" i="2" s="1"/>
  <c r="EV72" i="2"/>
  <c r="EX72" i="2" s="1"/>
  <c r="ER72" i="2"/>
  <c r="ET72" i="2" s="1"/>
  <c r="EN72" i="2"/>
  <c r="EP72" i="2" s="1"/>
  <c r="EJ72" i="2"/>
  <c r="EL72" i="2" s="1"/>
  <c r="EF72" i="2"/>
  <c r="EH72" i="2" s="1"/>
  <c r="EB72" i="2"/>
  <c r="ED72" i="2" s="1"/>
  <c r="DX72" i="2"/>
  <c r="DZ72" i="2" s="1"/>
  <c r="DT72" i="2"/>
  <c r="DV72" i="2" s="1"/>
  <c r="DP72" i="2"/>
  <c r="DR72" i="2" s="1"/>
  <c r="DL72" i="2"/>
  <c r="DN72" i="2" s="1"/>
  <c r="DH72" i="2"/>
  <c r="DJ72" i="2" s="1"/>
  <c r="DD72" i="2"/>
  <c r="DF72" i="2" s="1"/>
  <c r="CZ72" i="2"/>
  <c r="DB72" i="2" s="1"/>
  <c r="CV72" i="2"/>
  <c r="CX72" i="2" s="1"/>
  <c r="CR72" i="2"/>
  <c r="CT72" i="2" s="1"/>
  <c r="CN72" i="2"/>
  <c r="CP72" i="2" s="1"/>
  <c r="CJ72" i="2"/>
  <c r="CL72" i="2" s="1"/>
  <c r="CF72" i="2"/>
  <c r="CH72" i="2" s="1"/>
  <c r="CB72" i="2"/>
  <c r="CD72" i="2" s="1"/>
  <c r="BX72" i="2"/>
  <c r="BZ72" i="2" s="1"/>
  <c r="BT72" i="2"/>
  <c r="BV72" i="2" s="1"/>
  <c r="BP72" i="2"/>
  <c r="BR72" i="2" s="1"/>
  <c r="BL72" i="2"/>
  <c r="BN72" i="2" s="1"/>
  <c r="BH72" i="2"/>
  <c r="BJ72" i="2" s="1"/>
  <c r="BD72" i="2"/>
  <c r="BF72" i="2" s="1"/>
  <c r="AZ72" i="2"/>
  <c r="BB72" i="2" s="1"/>
  <c r="AV72" i="2"/>
  <c r="AX72" i="2" s="1"/>
  <c r="AR72" i="2"/>
  <c r="AT72" i="2" s="1"/>
  <c r="AN72" i="2"/>
  <c r="AP72" i="2" s="1"/>
  <c r="AJ72" i="2"/>
  <c r="AL72" i="2" s="1"/>
  <c r="AF72" i="2"/>
  <c r="AH72" i="2" s="1"/>
  <c r="AB72" i="2"/>
  <c r="AD72" i="2" s="1"/>
  <c r="X72" i="2"/>
  <c r="Z72" i="2" s="1"/>
  <c r="T72" i="2"/>
  <c r="V72" i="2" s="1"/>
  <c r="P72" i="2"/>
  <c r="R72" i="2" s="1"/>
  <c r="L72" i="2"/>
  <c r="N72" i="2" s="1"/>
  <c r="H72" i="2"/>
  <c r="J72" i="2" s="1"/>
  <c r="EV71" i="2"/>
  <c r="EX71" i="2" s="1"/>
  <c r="ER71" i="2"/>
  <c r="ET71" i="2" s="1"/>
  <c r="EN71" i="2"/>
  <c r="EP71" i="2" s="1"/>
  <c r="EJ71" i="2"/>
  <c r="EL71" i="2" s="1"/>
  <c r="EF71" i="2"/>
  <c r="EH71" i="2" s="1"/>
  <c r="EB71" i="2"/>
  <c r="ED71" i="2" s="1"/>
  <c r="DX71" i="2"/>
  <c r="DZ71" i="2" s="1"/>
  <c r="DT71" i="2"/>
  <c r="DV71" i="2" s="1"/>
  <c r="DP71" i="2"/>
  <c r="DR71" i="2" s="1"/>
  <c r="DL71" i="2"/>
  <c r="DN71" i="2" s="1"/>
  <c r="DH71" i="2"/>
  <c r="DJ71" i="2" s="1"/>
  <c r="DD71" i="2"/>
  <c r="DF71" i="2" s="1"/>
  <c r="CZ71" i="2"/>
  <c r="DB71" i="2" s="1"/>
  <c r="CV71" i="2"/>
  <c r="CX71" i="2" s="1"/>
  <c r="CR71" i="2"/>
  <c r="CT71" i="2" s="1"/>
  <c r="CN71" i="2"/>
  <c r="CP71" i="2" s="1"/>
  <c r="CJ71" i="2"/>
  <c r="CL71" i="2" s="1"/>
  <c r="CF71" i="2"/>
  <c r="CH71" i="2" s="1"/>
  <c r="CB71" i="2"/>
  <c r="CD71" i="2" s="1"/>
  <c r="BX71" i="2"/>
  <c r="BZ71" i="2" s="1"/>
  <c r="BT71" i="2"/>
  <c r="BV71" i="2" s="1"/>
  <c r="BP71" i="2"/>
  <c r="BR71" i="2" s="1"/>
  <c r="BL71" i="2"/>
  <c r="BN71" i="2" s="1"/>
  <c r="BH71" i="2"/>
  <c r="BJ71" i="2" s="1"/>
  <c r="BD71" i="2"/>
  <c r="BF71" i="2" s="1"/>
  <c r="AZ71" i="2"/>
  <c r="BB71" i="2" s="1"/>
  <c r="AV71" i="2"/>
  <c r="AX71" i="2" s="1"/>
  <c r="AR71" i="2"/>
  <c r="AT71" i="2" s="1"/>
  <c r="AN71" i="2"/>
  <c r="AP71" i="2" s="1"/>
  <c r="AJ71" i="2"/>
  <c r="AL71" i="2" s="1"/>
  <c r="AF71" i="2"/>
  <c r="AH71" i="2" s="1"/>
  <c r="AB71" i="2"/>
  <c r="AD71" i="2" s="1"/>
  <c r="X71" i="2"/>
  <c r="Z71" i="2" s="1"/>
  <c r="T71" i="2"/>
  <c r="V71" i="2" s="1"/>
  <c r="P71" i="2"/>
  <c r="R71" i="2" s="1"/>
  <c r="L71" i="2"/>
  <c r="N71" i="2" s="1"/>
  <c r="H71" i="2"/>
  <c r="J71" i="2" s="1"/>
  <c r="EU70" i="2"/>
  <c r="EV70" i="2" s="1"/>
  <c r="EX70" i="2" s="1"/>
  <c r="ES70" i="2"/>
  <c r="EQ70" i="2"/>
  <c r="EO70" i="2"/>
  <c r="EM70" i="2"/>
  <c r="EN70" i="2" s="1"/>
  <c r="EP70" i="2" s="1"/>
  <c r="EK70" i="2"/>
  <c r="EI70" i="2"/>
  <c r="EJ70" i="2" s="1"/>
  <c r="EL70" i="2" s="1"/>
  <c r="EG70" i="2"/>
  <c r="EE70" i="2"/>
  <c r="EC70" i="2"/>
  <c r="EA70" i="2"/>
  <c r="EB70" i="2" s="1"/>
  <c r="ED70" i="2" s="1"/>
  <c r="DY70" i="2"/>
  <c r="DW70" i="2"/>
  <c r="DX70" i="2" s="1"/>
  <c r="DU70" i="2"/>
  <c r="DS70" i="2"/>
  <c r="DT70" i="2" s="1"/>
  <c r="DQ70" i="2"/>
  <c r="DM70" i="2"/>
  <c r="DK70" i="2"/>
  <c r="DI70" i="2"/>
  <c r="DG70" i="2"/>
  <c r="DH70" i="2" s="1"/>
  <c r="DE70" i="2"/>
  <c r="DC70" i="2"/>
  <c r="DD70" i="2" s="1"/>
  <c r="DF70" i="2" s="1"/>
  <c r="DA70" i="2"/>
  <c r="CY70" i="2"/>
  <c r="CZ70" i="2" s="1"/>
  <c r="DB70" i="2" s="1"/>
  <c r="CW70" i="2"/>
  <c r="CU70" i="2"/>
  <c r="CV70" i="2" s="1"/>
  <c r="CX70" i="2" s="1"/>
  <c r="CS70" i="2"/>
  <c r="CQ70" i="2"/>
  <c r="CR70" i="2" s="1"/>
  <c r="CT70" i="2" s="1"/>
  <c r="CO70" i="2"/>
  <c r="CM70" i="2"/>
  <c r="CN70" i="2" s="1"/>
  <c r="CP70" i="2" s="1"/>
  <c r="CK70" i="2"/>
  <c r="CI70" i="2"/>
  <c r="CJ70" i="2" s="1"/>
  <c r="CL70" i="2" s="1"/>
  <c r="CG70" i="2"/>
  <c r="CE70" i="2"/>
  <c r="CF70" i="2" s="1"/>
  <c r="CH70" i="2" s="1"/>
  <c r="CC70" i="2"/>
  <c r="CA70" i="2"/>
  <c r="CB70" i="2" s="1"/>
  <c r="CD70" i="2" s="1"/>
  <c r="BY70" i="2"/>
  <c r="BW70" i="2"/>
  <c r="BX70" i="2" s="1"/>
  <c r="BZ70" i="2" s="1"/>
  <c r="BU70" i="2"/>
  <c r="BS70" i="2"/>
  <c r="BT70" i="2" s="1"/>
  <c r="BV70" i="2" s="1"/>
  <c r="BQ70" i="2"/>
  <c r="BO70" i="2"/>
  <c r="BP70" i="2" s="1"/>
  <c r="BR70" i="2" s="1"/>
  <c r="BM70" i="2"/>
  <c r="BK70" i="2"/>
  <c r="BL70" i="2" s="1"/>
  <c r="BN70" i="2" s="1"/>
  <c r="BI70" i="2"/>
  <c r="BG70" i="2"/>
  <c r="BE70" i="2"/>
  <c r="BC70" i="2"/>
  <c r="BA70" i="2"/>
  <c r="AY70" i="2"/>
  <c r="AW70" i="2"/>
  <c r="AU70" i="2"/>
  <c r="AS70" i="2"/>
  <c r="AQ70" i="2"/>
  <c r="AR70" i="2" s="1"/>
  <c r="AT70" i="2" s="1"/>
  <c r="AO70" i="2"/>
  <c r="AM70" i="2"/>
  <c r="AK70" i="2"/>
  <c r="AI70" i="2"/>
  <c r="AJ70" i="2" s="1"/>
  <c r="AL70" i="2" s="1"/>
  <c r="AG70" i="2"/>
  <c r="AC70" i="2"/>
  <c r="AA70" i="2"/>
  <c r="Y70" i="2"/>
  <c r="W70" i="2"/>
  <c r="X70" i="2" s="1"/>
  <c r="Z70" i="2" s="1"/>
  <c r="U70" i="2"/>
  <c r="S70" i="2"/>
  <c r="T70" i="2" s="1"/>
  <c r="V70" i="2" s="1"/>
  <c r="Q70" i="2"/>
  <c r="O70" i="2"/>
  <c r="P70" i="2" s="1"/>
  <c r="R70" i="2" s="1"/>
  <c r="M70" i="2"/>
  <c r="K70" i="2"/>
  <c r="L70" i="2" s="1"/>
  <c r="I70" i="2"/>
  <c r="G70" i="2"/>
  <c r="H70" i="2" s="1"/>
  <c r="J70" i="2" s="1"/>
  <c r="EV69" i="2"/>
  <c r="EX69" i="2" s="1"/>
  <c r="ER69" i="2"/>
  <c r="ET69" i="2" s="1"/>
  <c r="EN69" i="2"/>
  <c r="EP69" i="2" s="1"/>
  <c r="EJ69" i="2"/>
  <c r="EL69" i="2" s="1"/>
  <c r="EF69" i="2"/>
  <c r="EH69" i="2" s="1"/>
  <c r="EB69" i="2"/>
  <c r="ED69" i="2" s="1"/>
  <c r="DX69" i="2"/>
  <c r="DZ69" i="2" s="1"/>
  <c r="DT69" i="2"/>
  <c r="DV69" i="2" s="1"/>
  <c r="DR69" i="2"/>
  <c r="DL69" i="2"/>
  <c r="DN69" i="2" s="1"/>
  <c r="DH69" i="2"/>
  <c r="DJ69" i="2" s="1"/>
  <c r="DD69" i="2"/>
  <c r="DF69" i="2" s="1"/>
  <c r="CZ69" i="2"/>
  <c r="DB69" i="2" s="1"/>
  <c r="CV69" i="2"/>
  <c r="CX69" i="2" s="1"/>
  <c r="CR69" i="2"/>
  <c r="CT69" i="2" s="1"/>
  <c r="CN69" i="2"/>
  <c r="CP69" i="2" s="1"/>
  <c r="CJ69" i="2"/>
  <c r="CL69" i="2" s="1"/>
  <c r="CF69" i="2"/>
  <c r="CH69" i="2" s="1"/>
  <c r="CB69" i="2"/>
  <c r="CD69" i="2" s="1"/>
  <c r="BX69" i="2"/>
  <c r="BZ69" i="2" s="1"/>
  <c r="BT69" i="2"/>
  <c r="BV69" i="2" s="1"/>
  <c r="BP69" i="2"/>
  <c r="BR69" i="2" s="1"/>
  <c r="BL69" i="2"/>
  <c r="BN69" i="2" s="1"/>
  <c r="BJ69" i="2"/>
  <c r="BF69" i="2"/>
  <c r="BB69" i="2"/>
  <c r="AX69" i="2"/>
  <c r="AR69" i="2"/>
  <c r="AT69" i="2" s="1"/>
  <c r="AN69" i="2"/>
  <c r="AP69" i="2" s="1"/>
  <c r="AJ69" i="2"/>
  <c r="AL69" i="2" s="1"/>
  <c r="AF69" i="2"/>
  <c r="AH69" i="2" s="1"/>
  <c r="AB69" i="2"/>
  <c r="AD69" i="2" s="1"/>
  <c r="X69" i="2"/>
  <c r="Z69" i="2" s="1"/>
  <c r="T69" i="2"/>
  <c r="V69" i="2" s="1"/>
  <c r="P69" i="2"/>
  <c r="R69" i="2" s="1"/>
  <c r="L69" i="2"/>
  <c r="N69" i="2" s="1"/>
  <c r="H69" i="2"/>
  <c r="J69" i="2" s="1"/>
  <c r="EV68" i="2"/>
  <c r="EX68" i="2" s="1"/>
  <c r="ER68" i="2"/>
  <c r="ET68" i="2" s="1"/>
  <c r="EN68" i="2"/>
  <c r="EP68" i="2" s="1"/>
  <c r="EJ68" i="2"/>
  <c r="EL68" i="2" s="1"/>
  <c r="EF68" i="2"/>
  <c r="EH68" i="2" s="1"/>
  <c r="EB68" i="2"/>
  <c r="ED68" i="2" s="1"/>
  <c r="DX68" i="2"/>
  <c r="DZ68" i="2" s="1"/>
  <c r="DT68" i="2"/>
  <c r="DV68" i="2" s="1"/>
  <c r="DR68" i="2"/>
  <c r="DL68" i="2"/>
  <c r="DN68" i="2" s="1"/>
  <c r="DH68" i="2"/>
  <c r="DJ68" i="2" s="1"/>
  <c r="DD68" i="2"/>
  <c r="DF68" i="2" s="1"/>
  <c r="CZ68" i="2"/>
  <c r="DB68" i="2" s="1"/>
  <c r="CV68" i="2"/>
  <c r="CX68" i="2" s="1"/>
  <c r="CR68" i="2"/>
  <c r="CT68" i="2" s="1"/>
  <c r="CN68" i="2"/>
  <c r="CP68" i="2" s="1"/>
  <c r="CJ68" i="2"/>
  <c r="CL68" i="2" s="1"/>
  <c r="CF68" i="2"/>
  <c r="CH68" i="2" s="1"/>
  <c r="CB68" i="2"/>
  <c r="CD68" i="2" s="1"/>
  <c r="BX68" i="2"/>
  <c r="BZ68" i="2" s="1"/>
  <c r="BT68" i="2"/>
  <c r="BV68" i="2" s="1"/>
  <c r="BP68" i="2"/>
  <c r="BR68" i="2" s="1"/>
  <c r="BL68" i="2"/>
  <c r="BN68" i="2" s="1"/>
  <c r="BJ68" i="2"/>
  <c r="BF68" i="2"/>
  <c r="BB68" i="2"/>
  <c r="AX68" i="2"/>
  <c r="AR68" i="2"/>
  <c r="AT68" i="2" s="1"/>
  <c r="AN68" i="2"/>
  <c r="AP68" i="2" s="1"/>
  <c r="AJ68" i="2"/>
  <c r="AL68" i="2" s="1"/>
  <c r="AF68" i="2"/>
  <c r="AH68" i="2" s="1"/>
  <c r="AB68" i="2"/>
  <c r="AD68" i="2" s="1"/>
  <c r="X68" i="2"/>
  <c r="Z68" i="2" s="1"/>
  <c r="T68" i="2"/>
  <c r="V68" i="2" s="1"/>
  <c r="P68" i="2"/>
  <c r="R68" i="2" s="1"/>
  <c r="L68" i="2"/>
  <c r="N68" i="2" s="1"/>
  <c r="H68" i="2"/>
  <c r="J68" i="2" s="1"/>
  <c r="EV67" i="2"/>
  <c r="EX67" i="2" s="1"/>
  <c r="ER67" i="2"/>
  <c r="ET67" i="2" s="1"/>
  <c r="EN67" i="2"/>
  <c r="EP67" i="2" s="1"/>
  <c r="EJ67" i="2"/>
  <c r="EL67" i="2" s="1"/>
  <c r="EF67" i="2"/>
  <c r="EH67" i="2" s="1"/>
  <c r="EB67" i="2"/>
  <c r="ED67" i="2" s="1"/>
  <c r="DX67" i="2"/>
  <c r="DZ67" i="2" s="1"/>
  <c r="DT67" i="2"/>
  <c r="DV67" i="2" s="1"/>
  <c r="DR67" i="2"/>
  <c r="DL67" i="2"/>
  <c r="DN67" i="2" s="1"/>
  <c r="DH67" i="2"/>
  <c r="DJ67" i="2" s="1"/>
  <c r="DD67" i="2"/>
  <c r="DF67" i="2" s="1"/>
  <c r="CZ67" i="2"/>
  <c r="DB67" i="2" s="1"/>
  <c r="CV67" i="2"/>
  <c r="CX67" i="2" s="1"/>
  <c r="CR67" i="2"/>
  <c r="CT67" i="2" s="1"/>
  <c r="CN67" i="2"/>
  <c r="CP67" i="2" s="1"/>
  <c r="CJ67" i="2"/>
  <c r="CL67" i="2" s="1"/>
  <c r="CF67" i="2"/>
  <c r="CH67" i="2" s="1"/>
  <c r="CB67" i="2"/>
  <c r="CD67" i="2" s="1"/>
  <c r="BX67" i="2"/>
  <c r="BZ67" i="2" s="1"/>
  <c r="BT67" i="2"/>
  <c r="BV67" i="2" s="1"/>
  <c r="BP67" i="2"/>
  <c r="BR67" i="2" s="1"/>
  <c r="BL67" i="2"/>
  <c r="BN67" i="2" s="1"/>
  <c r="BJ67" i="2"/>
  <c r="BF67" i="2"/>
  <c r="BB67" i="2"/>
  <c r="AX67" i="2"/>
  <c r="AR67" i="2"/>
  <c r="AT67" i="2" s="1"/>
  <c r="AN67" i="2"/>
  <c r="AP67" i="2" s="1"/>
  <c r="AJ67" i="2"/>
  <c r="AL67" i="2" s="1"/>
  <c r="AF67" i="2"/>
  <c r="AH67" i="2" s="1"/>
  <c r="AB67" i="2"/>
  <c r="AD67" i="2" s="1"/>
  <c r="X67" i="2"/>
  <c r="Z67" i="2" s="1"/>
  <c r="T67" i="2"/>
  <c r="V67" i="2" s="1"/>
  <c r="P67" i="2"/>
  <c r="R67" i="2" s="1"/>
  <c r="L67" i="2"/>
  <c r="N67" i="2" s="1"/>
  <c r="H67" i="2"/>
  <c r="J67" i="2" s="1"/>
  <c r="EV66" i="2"/>
  <c r="EX66" i="2" s="1"/>
  <c r="ER66" i="2"/>
  <c r="ET66" i="2" s="1"/>
  <c r="EN66" i="2"/>
  <c r="EP66" i="2" s="1"/>
  <c r="EJ66" i="2"/>
  <c r="EL66" i="2" s="1"/>
  <c r="EF66" i="2"/>
  <c r="EH66" i="2" s="1"/>
  <c r="EB66" i="2"/>
  <c r="ED66" i="2" s="1"/>
  <c r="DX66" i="2"/>
  <c r="DZ66" i="2" s="1"/>
  <c r="DT66" i="2"/>
  <c r="DV66" i="2" s="1"/>
  <c r="DR66" i="2"/>
  <c r="DL66" i="2"/>
  <c r="DN66" i="2" s="1"/>
  <c r="DH66" i="2"/>
  <c r="DJ66" i="2" s="1"/>
  <c r="DD66" i="2"/>
  <c r="DF66" i="2" s="1"/>
  <c r="CZ66" i="2"/>
  <c r="DB66" i="2" s="1"/>
  <c r="CV66" i="2"/>
  <c r="CX66" i="2" s="1"/>
  <c r="CR66" i="2"/>
  <c r="CT66" i="2" s="1"/>
  <c r="CN66" i="2"/>
  <c r="CP66" i="2" s="1"/>
  <c r="CJ66" i="2"/>
  <c r="CL66" i="2" s="1"/>
  <c r="CF66" i="2"/>
  <c r="CH66" i="2" s="1"/>
  <c r="CB66" i="2"/>
  <c r="CD66" i="2" s="1"/>
  <c r="BX66" i="2"/>
  <c r="BZ66" i="2" s="1"/>
  <c r="BT66" i="2"/>
  <c r="BV66" i="2" s="1"/>
  <c r="BP66" i="2"/>
  <c r="BR66" i="2" s="1"/>
  <c r="BL66" i="2"/>
  <c r="BN66" i="2" s="1"/>
  <c r="BJ66" i="2"/>
  <c r="BF66" i="2"/>
  <c r="BB66" i="2"/>
  <c r="AX66" i="2"/>
  <c r="AR66" i="2"/>
  <c r="AT66" i="2" s="1"/>
  <c r="AN66" i="2"/>
  <c r="AP66" i="2" s="1"/>
  <c r="AJ66" i="2"/>
  <c r="AL66" i="2" s="1"/>
  <c r="AF66" i="2"/>
  <c r="AH66" i="2" s="1"/>
  <c r="AB66" i="2"/>
  <c r="AD66" i="2" s="1"/>
  <c r="X66" i="2"/>
  <c r="Z66" i="2" s="1"/>
  <c r="T66" i="2"/>
  <c r="V66" i="2" s="1"/>
  <c r="P66" i="2"/>
  <c r="R66" i="2" s="1"/>
  <c r="L66" i="2"/>
  <c r="N66" i="2" s="1"/>
  <c r="H66" i="2"/>
  <c r="J66" i="2" s="1"/>
  <c r="EV65" i="2"/>
  <c r="EX65" i="2" s="1"/>
  <c r="ER65" i="2"/>
  <c r="ET65" i="2" s="1"/>
  <c r="EN65" i="2"/>
  <c r="EP65" i="2" s="1"/>
  <c r="EJ65" i="2"/>
  <c r="EL65" i="2" s="1"/>
  <c r="EF65" i="2"/>
  <c r="EH65" i="2" s="1"/>
  <c r="EB65" i="2"/>
  <c r="ED65" i="2" s="1"/>
  <c r="DX65" i="2"/>
  <c r="DZ65" i="2" s="1"/>
  <c r="DT65" i="2"/>
  <c r="DV65" i="2" s="1"/>
  <c r="DR65" i="2"/>
  <c r="DL65" i="2"/>
  <c r="DN65" i="2" s="1"/>
  <c r="DH65" i="2"/>
  <c r="DJ65" i="2" s="1"/>
  <c r="DD65" i="2"/>
  <c r="DF65" i="2" s="1"/>
  <c r="CZ65" i="2"/>
  <c r="DB65" i="2" s="1"/>
  <c r="CV65" i="2"/>
  <c r="CX65" i="2" s="1"/>
  <c r="CR65" i="2"/>
  <c r="CT65" i="2" s="1"/>
  <c r="CN65" i="2"/>
  <c r="CP65" i="2" s="1"/>
  <c r="CJ65" i="2"/>
  <c r="CL65" i="2" s="1"/>
  <c r="CF65" i="2"/>
  <c r="CH65" i="2" s="1"/>
  <c r="CB65" i="2"/>
  <c r="CD65" i="2" s="1"/>
  <c r="BX65" i="2"/>
  <c r="BZ65" i="2" s="1"/>
  <c r="BT65" i="2"/>
  <c r="BV65" i="2" s="1"/>
  <c r="BP65" i="2"/>
  <c r="BR65" i="2" s="1"/>
  <c r="BL65" i="2"/>
  <c r="BN65" i="2" s="1"/>
  <c r="BJ65" i="2"/>
  <c r="BF65" i="2"/>
  <c r="BB65" i="2"/>
  <c r="AX65" i="2"/>
  <c r="AR65" i="2"/>
  <c r="AT65" i="2" s="1"/>
  <c r="AN65" i="2"/>
  <c r="AP65" i="2" s="1"/>
  <c r="AJ65" i="2"/>
  <c r="AL65" i="2" s="1"/>
  <c r="AF65" i="2"/>
  <c r="AH65" i="2" s="1"/>
  <c r="AB65" i="2"/>
  <c r="AD65" i="2" s="1"/>
  <c r="X65" i="2"/>
  <c r="Z65" i="2" s="1"/>
  <c r="T65" i="2"/>
  <c r="V65" i="2" s="1"/>
  <c r="P65" i="2"/>
  <c r="R65" i="2" s="1"/>
  <c r="L65" i="2"/>
  <c r="N65" i="2" s="1"/>
  <c r="H65" i="2"/>
  <c r="J65" i="2" s="1"/>
  <c r="EV64" i="2"/>
  <c r="EX64" i="2" s="1"/>
  <c r="ER64" i="2"/>
  <c r="ET64" i="2" s="1"/>
  <c r="EN64" i="2"/>
  <c r="EP64" i="2" s="1"/>
  <c r="EJ64" i="2"/>
  <c r="EL64" i="2" s="1"/>
  <c r="EF64" i="2"/>
  <c r="EH64" i="2" s="1"/>
  <c r="EB64" i="2"/>
  <c r="ED64" i="2" s="1"/>
  <c r="DX64" i="2"/>
  <c r="DZ64" i="2" s="1"/>
  <c r="DT64" i="2"/>
  <c r="DV64" i="2" s="1"/>
  <c r="DR64" i="2"/>
  <c r="DL64" i="2"/>
  <c r="DN64" i="2" s="1"/>
  <c r="DH64" i="2"/>
  <c r="DJ64" i="2" s="1"/>
  <c r="DD64" i="2"/>
  <c r="DF64" i="2" s="1"/>
  <c r="CZ64" i="2"/>
  <c r="DB64" i="2" s="1"/>
  <c r="CV64" i="2"/>
  <c r="CX64" i="2" s="1"/>
  <c r="CR64" i="2"/>
  <c r="CT64" i="2" s="1"/>
  <c r="CN64" i="2"/>
  <c r="CP64" i="2" s="1"/>
  <c r="CJ64" i="2"/>
  <c r="CL64" i="2" s="1"/>
  <c r="CF64" i="2"/>
  <c r="CH64" i="2" s="1"/>
  <c r="CB64" i="2"/>
  <c r="CD64" i="2" s="1"/>
  <c r="BX64" i="2"/>
  <c r="BZ64" i="2" s="1"/>
  <c r="BT64" i="2"/>
  <c r="BV64" i="2" s="1"/>
  <c r="BP64" i="2"/>
  <c r="BR64" i="2" s="1"/>
  <c r="BL64" i="2"/>
  <c r="BN64" i="2" s="1"/>
  <c r="BJ64" i="2"/>
  <c r="BF64" i="2"/>
  <c r="BB64" i="2"/>
  <c r="AX64" i="2"/>
  <c r="AR64" i="2"/>
  <c r="AT64" i="2" s="1"/>
  <c r="AN64" i="2"/>
  <c r="AP64" i="2" s="1"/>
  <c r="AJ64" i="2"/>
  <c r="AL64" i="2" s="1"/>
  <c r="AF64" i="2"/>
  <c r="AH64" i="2" s="1"/>
  <c r="AB64" i="2"/>
  <c r="AD64" i="2" s="1"/>
  <c r="X64" i="2"/>
  <c r="Z64" i="2" s="1"/>
  <c r="T64" i="2"/>
  <c r="V64" i="2" s="1"/>
  <c r="P64" i="2"/>
  <c r="R64" i="2" s="1"/>
  <c r="L64" i="2"/>
  <c r="N64" i="2" s="1"/>
  <c r="H64" i="2"/>
  <c r="J64" i="2" s="1"/>
  <c r="EV63" i="2"/>
  <c r="EX63" i="2" s="1"/>
  <c r="ER63" i="2"/>
  <c r="ET63" i="2" s="1"/>
  <c r="EN63" i="2"/>
  <c r="EP63" i="2" s="1"/>
  <c r="EJ63" i="2"/>
  <c r="EL63" i="2" s="1"/>
  <c r="EF63" i="2"/>
  <c r="EH63" i="2" s="1"/>
  <c r="EB63" i="2"/>
  <c r="ED63" i="2" s="1"/>
  <c r="DX63" i="2"/>
  <c r="DZ63" i="2" s="1"/>
  <c r="DT63" i="2"/>
  <c r="DV63" i="2" s="1"/>
  <c r="DR63" i="2"/>
  <c r="DL63" i="2"/>
  <c r="DN63" i="2" s="1"/>
  <c r="DH63" i="2"/>
  <c r="DJ63" i="2" s="1"/>
  <c r="DD63" i="2"/>
  <c r="DF63" i="2" s="1"/>
  <c r="CZ63" i="2"/>
  <c r="DB63" i="2" s="1"/>
  <c r="CV63" i="2"/>
  <c r="CX63" i="2" s="1"/>
  <c r="CR63" i="2"/>
  <c r="CT63" i="2" s="1"/>
  <c r="CN63" i="2"/>
  <c r="CP63" i="2" s="1"/>
  <c r="CJ63" i="2"/>
  <c r="CL63" i="2" s="1"/>
  <c r="CF63" i="2"/>
  <c r="CH63" i="2" s="1"/>
  <c r="CB63" i="2"/>
  <c r="CD63" i="2" s="1"/>
  <c r="BX63" i="2"/>
  <c r="BZ63" i="2" s="1"/>
  <c r="BT63" i="2"/>
  <c r="BV63" i="2" s="1"/>
  <c r="BP63" i="2"/>
  <c r="BR63" i="2" s="1"/>
  <c r="BL63" i="2"/>
  <c r="BN63" i="2" s="1"/>
  <c r="BJ63" i="2"/>
  <c r="BF63" i="2"/>
  <c r="BB63" i="2"/>
  <c r="AX63" i="2"/>
  <c r="AR63" i="2"/>
  <c r="AT63" i="2" s="1"/>
  <c r="AN63" i="2"/>
  <c r="AP63" i="2" s="1"/>
  <c r="AJ63" i="2"/>
  <c r="AL63" i="2" s="1"/>
  <c r="AF63" i="2"/>
  <c r="AH63" i="2" s="1"/>
  <c r="AB63" i="2"/>
  <c r="AD63" i="2" s="1"/>
  <c r="X63" i="2"/>
  <c r="Z63" i="2" s="1"/>
  <c r="T63" i="2"/>
  <c r="V63" i="2" s="1"/>
  <c r="P63" i="2"/>
  <c r="R63" i="2" s="1"/>
  <c r="L63" i="2"/>
  <c r="N63" i="2" s="1"/>
  <c r="H63" i="2"/>
  <c r="J63" i="2" s="1"/>
  <c r="EV62" i="2"/>
  <c r="EX62" i="2" s="1"/>
  <c r="ER62" i="2"/>
  <c r="ET62" i="2" s="1"/>
  <c r="EN62" i="2"/>
  <c r="EP62" i="2" s="1"/>
  <c r="EJ62" i="2"/>
  <c r="EL62" i="2" s="1"/>
  <c r="EF62" i="2"/>
  <c r="EB62" i="2"/>
  <c r="ED62" i="2" s="1"/>
  <c r="DX62" i="2"/>
  <c r="DZ62" i="2" s="1"/>
  <c r="DT62" i="2"/>
  <c r="DV62" i="2" s="1"/>
  <c r="DR62" i="2"/>
  <c r="DL62" i="2"/>
  <c r="DN62" i="2" s="1"/>
  <c r="DH62" i="2"/>
  <c r="DJ62" i="2" s="1"/>
  <c r="DD62" i="2"/>
  <c r="DF62" i="2" s="1"/>
  <c r="CZ62" i="2"/>
  <c r="DB62" i="2" s="1"/>
  <c r="CV62" i="2"/>
  <c r="CX62" i="2" s="1"/>
  <c r="CR62" i="2"/>
  <c r="CT62" i="2" s="1"/>
  <c r="CN62" i="2"/>
  <c r="CP62" i="2" s="1"/>
  <c r="CJ62" i="2"/>
  <c r="CL62" i="2" s="1"/>
  <c r="CF62" i="2"/>
  <c r="CH62" i="2" s="1"/>
  <c r="CB62" i="2"/>
  <c r="CD62" i="2" s="1"/>
  <c r="BX62" i="2"/>
  <c r="BZ62" i="2" s="1"/>
  <c r="BT62" i="2"/>
  <c r="BV62" i="2" s="1"/>
  <c r="BP62" i="2"/>
  <c r="BR62" i="2" s="1"/>
  <c r="BL62" i="2"/>
  <c r="BN62" i="2" s="1"/>
  <c r="BJ62" i="2"/>
  <c r="BF62" i="2"/>
  <c r="BB62" i="2"/>
  <c r="AX62" i="2"/>
  <c r="AR62" i="2"/>
  <c r="AT62" i="2" s="1"/>
  <c r="AN62" i="2"/>
  <c r="AP62" i="2" s="1"/>
  <c r="AJ62" i="2"/>
  <c r="AL62" i="2" s="1"/>
  <c r="AF62" i="2"/>
  <c r="AH62" i="2" s="1"/>
  <c r="AB62" i="2"/>
  <c r="AD62" i="2" s="1"/>
  <c r="X62" i="2"/>
  <c r="Z62" i="2" s="1"/>
  <c r="T62" i="2"/>
  <c r="V62" i="2" s="1"/>
  <c r="P62" i="2"/>
  <c r="R62" i="2" s="1"/>
  <c r="L62" i="2"/>
  <c r="N62" i="2" s="1"/>
  <c r="H62" i="2"/>
  <c r="J62" i="2" s="1"/>
  <c r="EV61" i="2"/>
  <c r="EX61" i="2" s="1"/>
  <c r="ER61" i="2"/>
  <c r="ET61" i="2" s="1"/>
  <c r="EN61" i="2"/>
  <c r="EP61" i="2" s="1"/>
  <c r="EJ61" i="2"/>
  <c r="EL61" i="2" s="1"/>
  <c r="EF61" i="2"/>
  <c r="EH61" i="2" s="1"/>
  <c r="EB61" i="2"/>
  <c r="ED61" i="2" s="1"/>
  <c r="DX61" i="2"/>
  <c r="DZ61" i="2" s="1"/>
  <c r="DT61" i="2"/>
  <c r="DV61" i="2" s="1"/>
  <c r="DR61" i="2"/>
  <c r="DL61" i="2"/>
  <c r="DN61" i="2" s="1"/>
  <c r="DH61" i="2"/>
  <c r="DJ61" i="2" s="1"/>
  <c r="DD61" i="2"/>
  <c r="DF61" i="2" s="1"/>
  <c r="CZ61" i="2"/>
  <c r="DB61" i="2" s="1"/>
  <c r="CV61" i="2"/>
  <c r="CX61" i="2" s="1"/>
  <c r="CR61" i="2"/>
  <c r="CT61" i="2" s="1"/>
  <c r="CN61" i="2"/>
  <c r="CP61" i="2" s="1"/>
  <c r="CJ61" i="2"/>
  <c r="CL61" i="2" s="1"/>
  <c r="CF61" i="2"/>
  <c r="CH61" i="2" s="1"/>
  <c r="CB61" i="2"/>
  <c r="CD61" i="2" s="1"/>
  <c r="BX61" i="2"/>
  <c r="BZ61" i="2" s="1"/>
  <c r="BT61" i="2"/>
  <c r="BV61" i="2" s="1"/>
  <c r="BP61" i="2"/>
  <c r="BR61" i="2" s="1"/>
  <c r="BL61" i="2"/>
  <c r="BN61" i="2" s="1"/>
  <c r="BJ61" i="2"/>
  <c r="BF61" i="2"/>
  <c r="BB61" i="2"/>
  <c r="AX61" i="2"/>
  <c r="AR61" i="2"/>
  <c r="AT61" i="2" s="1"/>
  <c r="AN61" i="2"/>
  <c r="AP61" i="2" s="1"/>
  <c r="AJ61" i="2"/>
  <c r="AL61" i="2" s="1"/>
  <c r="AF61" i="2"/>
  <c r="AH61" i="2" s="1"/>
  <c r="AB61" i="2"/>
  <c r="AD61" i="2" s="1"/>
  <c r="X61" i="2"/>
  <c r="Z61" i="2" s="1"/>
  <c r="T61" i="2"/>
  <c r="V61" i="2" s="1"/>
  <c r="P61" i="2"/>
  <c r="R61" i="2" s="1"/>
  <c r="L61" i="2"/>
  <c r="N61" i="2" s="1"/>
  <c r="H61" i="2"/>
  <c r="J61" i="2" s="1"/>
  <c r="EV60" i="2"/>
  <c r="EX60" i="2" s="1"/>
  <c r="ER60" i="2"/>
  <c r="ET60" i="2" s="1"/>
  <c r="EN60" i="2"/>
  <c r="EP60" i="2" s="1"/>
  <c r="EJ60" i="2"/>
  <c r="EL60" i="2" s="1"/>
  <c r="EF60" i="2"/>
  <c r="EH60" i="2" s="1"/>
  <c r="EB60" i="2"/>
  <c r="ED60" i="2" s="1"/>
  <c r="DX60" i="2"/>
  <c r="DZ60" i="2" s="1"/>
  <c r="DT60" i="2"/>
  <c r="DV60" i="2" s="1"/>
  <c r="DR60" i="2"/>
  <c r="DL60" i="2"/>
  <c r="DN60" i="2" s="1"/>
  <c r="DH60" i="2"/>
  <c r="DJ60" i="2" s="1"/>
  <c r="DD60" i="2"/>
  <c r="DF60" i="2" s="1"/>
  <c r="CZ60" i="2"/>
  <c r="DB60" i="2" s="1"/>
  <c r="CV60" i="2"/>
  <c r="CX60" i="2" s="1"/>
  <c r="CR60" i="2"/>
  <c r="CT60" i="2" s="1"/>
  <c r="CN60" i="2"/>
  <c r="CP60" i="2" s="1"/>
  <c r="CJ60" i="2"/>
  <c r="CL60" i="2" s="1"/>
  <c r="CF60" i="2"/>
  <c r="CH60" i="2" s="1"/>
  <c r="CB60" i="2"/>
  <c r="CD60" i="2" s="1"/>
  <c r="BX60" i="2"/>
  <c r="BZ60" i="2" s="1"/>
  <c r="BT60" i="2"/>
  <c r="BV60" i="2" s="1"/>
  <c r="BP60" i="2"/>
  <c r="BR60" i="2" s="1"/>
  <c r="BL60" i="2"/>
  <c r="BN60" i="2" s="1"/>
  <c r="BJ60" i="2"/>
  <c r="BF60" i="2"/>
  <c r="BB60" i="2"/>
  <c r="AX60" i="2"/>
  <c r="AR60" i="2"/>
  <c r="AT60" i="2" s="1"/>
  <c r="AN60" i="2"/>
  <c r="AP60" i="2" s="1"/>
  <c r="AJ60" i="2"/>
  <c r="AL60" i="2" s="1"/>
  <c r="AF60" i="2"/>
  <c r="AH60" i="2" s="1"/>
  <c r="AB60" i="2"/>
  <c r="AD60" i="2" s="1"/>
  <c r="X60" i="2"/>
  <c r="Z60" i="2" s="1"/>
  <c r="T60" i="2"/>
  <c r="V60" i="2" s="1"/>
  <c r="P60" i="2"/>
  <c r="R60" i="2" s="1"/>
  <c r="L60" i="2"/>
  <c r="N60" i="2" s="1"/>
  <c r="H60" i="2"/>
  <c r="J60" i="2" s="1"/>
  <c r="EV59" i="2"/>
  <c r="EX59" i="2" s="1"/>
  <c r="ER59" i="2"/>
  <c r="ET59" i="2" s="1"/>
  <c r="EN59" i="2"/>
  <c r="EP59" i="2" s="1"/>
  <c r="EJ59" i="2"/>
  <c r="EL59" i="2" s="1"/>
  <c r="EF59" i="2"/>
  <c r="EH59" i="2" s="1"/>
  <c r="EB59" i="2"/>
  <c r="ED59" i="2" s="1"/>
  <c r="DX59" i="2"/>
  <c r="DZ59" i="2" s="1"/>
  <c r="DT59" i="2"/>
  <c r="DV59" i="2" s="1"/>
  <c r="DR59" i="2"/>
  <c r="DL59" i="2"/>
  <c r="DN59" i="2" s="1"/>
  <c r="DH59" i="2"/>
  <c r="DJ59" i="2" s="1"/>
  <c r="DD59" i="2"/>
  <c r="DF59" i="2" s="1"/>
  <c r="CZ59" i="2"/>
  <c r="DB59" i="2" s="1"/>
  <c r="CV59" i="2"/>
  <c r="CX59" i="2" s="1"/>
  <c r="CR59" i="2"/>
  <c r="CT59" i="2" s="1"/>
  <c r="CN59" i="2"/>
  <c r="CP59" i="2" s="1"/>
  <c r="CJ59" i="2"/>
  <c r="CL59" i="2" s="1"/>
  <c r="CF59" i="2"/>
  <c r="CH59" i="2" s="1"/>
  <c r="CB59" i="2"/>
  <c r="CD59" i="2" s="1"/>
  <c r="BX59" i="2"/>
  <c r="BZ59" i="2" s="1"/>
  <c r="BT59" i="2"/>
  <c r="BV59" i="2" s="1"/>
  <c r="BP59" i="2"/>
  <c r="BR59" i="2" s="1"/>
  <c r="BL59" i="2"/>
  <c r="BN59" i="2" s="1"/>
  <c r="BJ59" i="2"/>
  <c r="BF59" i="2"/>
  <c r="BB59" i="2"/>
  <c r="AX59" i="2"/>
  <c r="AR59" i="2"/>
  <c r="AT59" i="2" s="1"/>
  <c r="AN59" i="2"/>
  <c r="AP59" i="2" s="1"/>
  <c r="AJ59" i="2"/>
  <c r="AL59" i="2" s="1"/>
  <c r="AF59" i="2"/>
  <c r="AH59" i="2" s="1"/>
  <c r="AB59" i="2"/>
  <c r="AD59" i="2" s="1"/>
  <c r="X59" i="2"/>
  <c r="Z59" i="2" s="1"/>
  <c r="T59" i="2"/>
  <c r="V59" i="2" s="1"/>
  <c r="P59" i="2"/>
  <c r="R59" i="2" s="1"/>
  <c r="L59" i="2"/>
  <c r="N59" i="2" s="1"/>
  <c r="H59" i="2"/>
  <c r="J59" i="2" s="1"/>
  <c r="EV58" i="2"/>
  <c r="EX58" i="2" s="1"/>
  <c r="ER58" i="2"/>
  <c r="ET58" i="2" s="1"/>
  <c r="EN58" i="2"/>
  <c r="EP58" i="2" s="1"/>
  <c r="EJ58" i="2"/>
  <c r="EL58" i="2" s="1"/>
  <c r="EF58" i="2"/>
  <c r="EH58" i="2" s="1"/>
  <c r="EB58" i="2"/>
  <c r="ED58" i="2" s="1"/>
  <c r="DX58" i="2"/>
  <c r="DZ58" i="2" s="1"/>
  <c r="DT58" i="2"/>
  <c r="DV58" i="2" s="1"/>
  <c r="DR58" i="2"/>
  <c r="DL58" i="2"/>
  <c r="DN58" i="2" s="1"/>
  <c r="DH58" i="2"/>
  <c r="DJ58" i="2" s="1"/>
  <c r="DD58" i="2"/>
  <c r="DF58" i="2" s="1"/>
  <c r="CZ58" i="2"/>
  <c r="DB58" i="2" s="1"/>
  <c r="CV58" i="2"/>
  <c r="CX58" i="2" s="1"/>
  <c r="CR58" i="2"/>
  <c r="CT58" i="2" s="1"/>
  <c r="CN58" i="2"/>
  <c r="CP58" i="2" s="1"/>
  <c r="CJ58" i="2"/>
  <c r="CL58" i="2" s="1"/>
  <c r="CF58" i="2"/>
  <c r="CH58" i="2" s="1"/>
  <c r="CB58" i="2"/>
  <c r="CD58" i="2" s="1"/>
  <c r="BX58" i="2"/>
  <c r="BZ58" i="2" s="1"/>
  <c r="BT58" i="2"/>
  <c r="BV58" i="2" s="1"/>
  <c r="BP58" i="2"/>
  <c r="BR58" i="2" s="1"/>
  <c r="BL58" i="2"/>
  <c r="BN58" i="2" s="1"/>
  <c r="BJ58" i="2"/>
  <c r="BF58" i="2"/>
  <c r="BB58" i="2"/>
  <c r="AX58" i="2"/>
  <c r="AR58" i="2"/>
  <c r="AT58" i="2" s="1"/>
  <c r="AN58" i="2"/>
  <c r="AP58" i="2" s="1"/>
  <c r="AJ58" i="2"/>
  <c r="AL58" i="2" s="1"/>
  <c r="AF58" i="2"/>
  <c r="AH58" i="2" s="1"/>
  <c r="AB58" i="2"/>
  <c r="AD58" i="2" s="1"/>
  <c r="X58" i="2"/>
  <c r="Z58" i="2" s="1"/>
  <c r="T58" i="2"/>
  <c r="V58" i="2" s="1"/>
  <c r="P58" i="2"/>
  <c r="R58" i="2" s="1"/>
  <c r="L58" i="2"/>
  <c r="N58" i="2" s="1"/>
  <c r="H58" i="2"/>
  <c r="J58" i="2" s="1"/>
  <c r="EV57" i="2"/>
  <c r="EX57" i="2" s="1"/>
  <c r="ER57" i="2"/>
  <c r="ET57" i="2" s="1"/>
  <c r="EN57" i="2"/>
  <c r="EP57" i="2" s="1"/>
  <c r="EJ57" i="2"/>
  <c r="EL57" i="2" s="1"/>
  <c r="EF57" i="2"/>
  <c r="EH57" i="2" s="1"/>
  <c r="EB57" i="2"/>
  <c r="ED57" i="2" s="1"/>
  <c r="DX57" i="2"/>
  <c r="DZ57" i="2" s="1"/>
  <c r="DT57" i="2"/>
  <c r="DV57" i="2" s="1"/>
  <c r="DR57" i="2"/>
  <c r="DL57" i="2"/>
  <c r="DN57" i="2" s="1"/>
  <c r="DH57" i="2"/>
  <c r="DJ57" i="2" s="1"/>
  <c r="DD57" i="2"/>
  <c r="DF57" i="2" s="1"/>
  <c r="CZ57" i="2"/>
  <c r="DB57" i="2" s="1"/>
  <c r="CV57" i="2"/>
  <c r="CX57" i="2" s="1"/>
  <c r="CR57" i="2"/>
  <c r="CT57" i="2" s="1"/>
  <c r="CN57" i="2"/>
  <c r="CP57" i="2" s="1"/>
  <c r="CJ57" i="2"/>
  <c r="CL57" i="2" s="1"/>
  <c r="CF57" i="2"/>
  <c r="CH57" i="2" s="1"/>
  <c r="CB57" i="2"/>
  <c r="CD57" i="2" s="1"/>
  <c r="BX57" i="2"/>
  <c r="BZ57" i="2" s="1"/>
  <c r="BT57" i="2"/>
  <c r="BV57" i="2" s="1"/>
  <c r="BP57" i="2"/>
  <c r="BR57" i="2" s="1"/>
  <c r="BL57" i="2"/>
  <c r="BN57" i="2" s="1"/>
  <c r="BJ57" i="2"/>
  <c r="BF57" i="2"/>
  <c r="BB57" i="2"/>
  <c r="AX57" i="2"/>
  <c r="AR57" i="2"/>
  <c r="AT57" i="2" s="1"/>
  <c r="AN57" i="2"/>
  <c r="AP57" i="2" s="1"/>
  <c r="AJ57" i="2"/>
  <c r="AL57" i="2" s="1"/>
  <c r="AF57" i="2"/>
  <c r="AH57" i="2" s="1"/>
  <c r="AB57" i="2"/>
  <c r="AD57" i="2" s="1"/>
  <c r="X57" i="2"/>
  <c r="Z57" i="2" s="1"/>
  <c r="T57" i="2"/>
  <c r="V57" i="2" s="1"/>
  <c r="P57" i="2"/>
  <c r="R57" i="2" s="1"/>
  <c r="L57" i="2"/>
  <c r="N57" i="2" s="1"/>
  <c r="H57" i="2"/>
  <c r="J57" i="2" s="1"/>
  <c r="EV56" i="2"/>
  <c r="EX56" i="2" s="1"/>
  <c r="ER56" i="2"/>
  <c r="ET56" i="2" s="1"/>
  <c r="EN56" i="2"/>
  <c r="EP56" i="2" s="1"/>
  <c r="EJ56" i="2"/>
  <c r="EL56" i="2" s="1"/>
  <c r="EF56" i="2"/>
  <c r="EH56" i="2" s="1"/>
  <c r="EB56" i="2"/>
  <c r="ED56" i="2" s="1"/>
  <c r="DX56" i="2"/>
  <c r="DZ56" i="2" s="1"/>
  <c r="DT56" i="2"/>
  <c r="DV56" i="2" s="1"/>
  <c r="DL56" i="2"/>
  <c r="DH56" i="2"/>
  <c r="DJ56" i="2" s="1"/>
  <c r="DD56" i="2"/>
  <c r="DF56" i="2" s="1"/>
  <c r="CZ56" i="2"/>
  <c r="DB56" i="2" s="1"/>
  <c r="CV56" i="2"/>
  <c r="CX56" i="2" s="1"/>
  <c r="CR56" i="2"/>
  <c r="CT56" i="2" s="1"/>
  <c r="CN56" i="2"/>
  <c r="CP56" i="2" s="1"/>
  <c r="CJ56" i="2"/>
  <c r="CL56" i="2" s="1"/>
  <c r="CF56" i="2"/>
  <c r="CH56" i="2" s="1"/>
  <c r="CB56" i="2"/>
  <c r="CD56" i="2" s="1"/>
  <c r="BX56" i="2"/>
  <c r="BZ56" i="2" s="1"/>
  <c r="BT56" i="2"/>
  <c r="BV56" i="2" s="1"/>
  <c r="BP56" i="2"/>
  <c r="BR56" i="2" s="1"/>
  <c r="BL56" i="2"/>
  <c r="BN56" i="2" s="1"/>
  <c r="AR56" i="2"/>
  <c r="AT56" i="2" s="1"/>
  <c r="AN56" i="2"/>
  <c r="AJ56" i="2"/>
  <c r="AL56" i="2" s="1"/>
  <c r="AF56" i="2"/>
  <c r="AB56" i="2"/>
  <c r="X56" i="2"/>
  <c r="Z56" i="2" s="1"/>
  <c r="T56" i="2"/>
  <c r="V56" i="2" s="1"/>
  <c r="P56" i="2"/>
  <c r="R56" i="2" s="1"/>
  <c r="L56" i="2"/>
  <c r="N56" i="2" s="1"/>
  <c r="H56" i="2"/>
  <c r="J56" i="2" s="1"/>
  <c r="EU55" i="2"/>
  <c r="ES55" i="2"/>
  <c r="ES53" i="2" s="1"/>
  <c r="EQ55" i="2"/>
  <c r="EO55" i="2"/>
  <c r="EM55" i="2"/>
  <c r="EN55" i="2" s="1"/>
  <c r="EK55" i="2"/>
  <c r="EI55" i="2"/>
  <c r="EJ55" i="2" s="1"/>
  <c r="EL55" i="2" s="1"/>
  <c r="EG55" i="2"/>
  <c r="EE55" i="2"/>
  <c r="EC55" i="2"/>
  <c r="EC53" i="2" s="1"/>
  <c r="DY55" i="2"/>
  <c r="DW55" i="2"/>
  <c r="DU55" i="2"/>
  <c r="DU53" i="2" s="1"/>
  <c r="DS55" i="2"/>
  <c r="DT55" i="2" s="1"/>
  <c r="DQ55" i="2"/>
  <c r="DO55" i="2"/>
  <c r="DM55" i="2"/>
  <c r="DK55" i="2"/>
  <c r="DI55" i="2"/>
  <c r="DG55" i="2"/>
  <c r="DH55" i="2" s="1"/>
  <c r="DE55" i="2"/>
  <c r="DE53" i="2" s="1"/>
  <c r="DC55" i="2"/>
  <c r="DD55" i="2" s="1"/>
  <c r="DF55" i="2" s="1"/>
  <c r="DA55" i="2"/>
  <c r="CY55" i="2"/>
  <c r="CZ55" i="2" s="1"/>
  <c r="DB55" i="2" s="1"/>
  <c r="CW55" i="2"/>
  <c r="CW53" i="2" s="1"/>
  <c r="CU55" i="2"/>
  <c r="CS55" i="2"/>
  <c r="CQ55" i="2"/>
  <c r="CR55" i="2" s="1"/>
  <c r="CT55" i="2" s="1"/>
  <c r="CO55" i="2"/>
  <c r="CM55" i="2"/>
  <c r="CK55" i="2"/>
  <c r="CI55" i="2"/>
  <c r="CG55" i="2"/>
  <c r="CE55" i="2"/>
  <c r="CC55" i="2"/>
  <c r="CA55" i="2"/>
  <c r="CB55" i="2" s="1"/>
  <c r="CD55" i="2" s="1"/>
  <c r="BY55" i="2"/>
  <c r="BW55" i="2"/>
  <c r="BX55" i="2" s="1"/>
  <c r="BZ55" i="2" s="1"/>
  <c r="BU55" i="2"/>
  <c r="BS55" i="2"/>
  <c r="BQ55" i="2"/>
  <c r="BQ53" i="2" s="1"/>
  <c r="BO55" i="2"/>
  <c r="BP55" i="2" s="1"/>
  <c r="BR55" i="2" s="1"/>
  <c r="BM55" i="2"/>
  <c r="BK55" i="2"/>
  <c r="BG55" i="2"/>
  <c r="BE55" i="2"/>
  <c r="BC55" i="2"/>
  <c r="BA55" i="2"/>
  <c r="AY55" i="2"/>
  <c r="AW55" i="2"/>
  <c r="AU55" i="2"/>
  <c r="AS55" i="2"/>
  <c r="AS53" i="2" s="1"/>
  <c r="AQ55" i="2"/>
  <c r="AO55" i="2"/>
  <c r="AO53" i="2" s="1"/>
  <c r="AM55" i="2"/>
  <c r="AK55" i="2"/>
  <c r="AI55" i="2"/>
  <c r="AJ55" i="2" s="1"/>
  <c r="AG55" i="2"/>
  <c r="AE55" i="2"/>
  <c r="AC55" i="2"/>
  <c r="AA55" i="2"/>
  <c r="Y55" i="2"/>
  <c r="Y53" i="2" s="1"/>
  <c r="W55" i="2"/>
  <c r="U55" i="2"/>
  <c r="U53" i="2" s="1"/>
  <c r="S55" i="2"/>
  <c r="Q55" i="2"/>
  <c r="Q53" i="2" s="1"/>
  <c r="O55" i="2"/>
  <c r="M55" i="2"/>
  <c r="M53" i="2" s="1"/>
  <c r="K55" i="2"/>
  <c r="I55" i="2"/>
  <c r="I53" i="2" s="1"/>
  <c r="G55" i="2"/>
  <c r="EV54" i="2"/>
  <c r="EX54" i="2" s="1"/>
  <c r="ER54" i="2"/>
  <c r="ET54" i="2" s="1"/>
  <c r="DX54" i="2"/>
  <c r="DZ54" i="2" s="1"/>
  <c r="DT54" i="2"/>
  <c r="DV54" i="2" s="1"/>
  <c r="DP54" i="2"/>
  <c r="DR54" i="2" s="1"/>
  <c r="DL54" i="2"/>
  <c r="DN54" i="2" s="1"/>
  <c r="DH54" i="2"/>
  <c r="DJ54" i="2" s="1"/>
  <c r="DD54" i="2"/>
  <c r="DF54" i="2" s="1"/>
  <c r="CV54" i="2"/>
  <c r="CX54" i="2" s="1"/>
  <c r="CR54" i="2"/>
  <c r="CT54" i="2" s="1"/>
  <c r="CN54" i="2"/>
  <c r="CP54" i="2" s="1"/>
  <c r="CJ54" i="2"/>
  <c r="CL54" i="2" s="1"/>
  <c r="CF54" i="2"/>
  <c r="CH54" i="2" s="1"/>
  <c r="CB54" i="2"/>
  <c r="CD54" i="2" s="1"/>
  <c r="BX54" i="2"/>
  <c r="BZ54" i="2" s="1"/>
  <c r="BT54" i="2"/>
  <c r="BV54" i="2" s="1"/>
  <c r="BP54" i="2"/>
  <c r="BR54" i="2" s="1"/>
  <c r="BL54" i="2"/>
  <c r="BN54" i="2" s="1"/>
  <c r="BH54" i="2"/>
  <c r="BJ54" i="2" s="1"/>
  <c r="BD54" i="2"/>
  <c r="BF54" i="2" s="1"/>
  <c r="AZ54" i="2"/>
  <c r="BB54" i="2" s="1"/>
  <c r="AV54" i="2"/>
  <c r="AX54" i="2" s="1"/>
  <c r="L54" i="2"/>
  <c r="N54" i="2" s="1"/>
  <c r="EV52" i="2"/>
  <c r="EX52" i="2" s="1"/>
  <c r="ER52" i="2"/>
  <c r="ET52" i="2" s="1"/>
  <c r="EN52" i="2"/>
  <c r="EP52" i="2" s="1"/>
  <c r="EJ52" i="2"/>
  <c r="EL52" i="2" s="1"/>
  <c r="EB52" i="2"/>
  <c r="ED52" i="2" s="1"/>
  <c r="DX52" i="2"/>
  <c r="DZ52" i="2" s="1"/>
  <c r="DT52" i="2"/>
  <c r="DV52" i="2" s="1"/>
  <c r="DH52" i="2"/>
  <c r="DJ52" i="2" s="1"/>
  <c r="DD52" i="2"/>
  <c r="DF52" i="2" s="1"/>
  <c r="CZ52" i="2"/>
  <c r="DB52" i="2" s="1"/>
  <c r="CV52" i="2"/>
  <c r="CX52" i="2" s="1"/>
  <c r="CR52" i="2"/>
  <c r="CT52" i="2" s="1"/>
  <c r="CN52" i="2"/>
  <c r="CP52" i="2" s="1"/>
  <c r="CJ52" i="2"/>
  <c r="CL52" i="2" s="1"/>
  <c r="CF52" i="2"/>
  <c r="CH52" i="2" s="1"/>
  <c r="CB52" i="2"/>
  <c r="CD52" i="2" s="1"/>
  <c r="BX52" i="2"/>
  <c r="BZ52" i="2" s="1"/>
  <c r="BT52" i="2"/>
  <c r="BV52" i="2" s="1"/>
  <c r="BP52" i="2"/>
  <c r="BR52" i="2" s="1"/>
  <c r="BL52" i="2"/>
  <c r="BN52" i="2" s="1"/>
  <c r="AR52" i="2"/>
  <c r="AT52" i="2" s="1"/>
  <c r="AJ52" i="2"/>
  <c r="AL52" i="2" s="1"/>
  <c r="X52" i="2"/>
  <c r="Z52" i="2" s="1"/>
  <c r="T52" i="2"/>
  <c r="V52" i="2" s="1"/>
  <c r="P52" i="2"/>
  <c r="R52" i="2" s="1"/>
  <c r="L52" i="2"/>
  <c r="N52" i="2" s="1"/>
  <c r="H52" i="2"/>
  <c r="J52" i="2" s="1"/>
  <c r="EV51" i="2"/>
  <c r="EX51" i="2" s="1"/>
  <c r="ER51" i="2"/>
  <c r="ET51" i="2" s="1"/>
  <c r="EN51" i="2"/>
  <c r="EP51" i="2" s="1"/>
  <c r="EJ51" i="2"/>
  <c r="EL51" i="2" s="1"/>
  <c r="EB51" i="2"/>
  <c r="ED51" i="2" s="1"/>
  <c r="DX51" i="2"/>
  <c r="DZ51" i="2" s="1"/>
  <c r="DT51" i="2"/>
  <c r="DV51" i="2" s="1"/>
  <c r="DH51" i="2"/>
  <c r="DJ51" i="2" s="1"/>
  <c r="DD51" i="2"/>
  <c r="DF51" i="2" s="1"/>
  <c r="CZ51" i="2"/>
  <c r="DB51" i="2" s="1"/>
  <c r="CV51" i="2"/>
  <c r="CX51" i="2" s="1"/>
  <c r="CR51" i="2"/>
  <c r="CT51" i="2" s="1"/>
  <c r="CN51" i="2"/>
  <c r="CP51" i="2" s="1"/>
  <c r="CJ51" i="2"/>
  <c r="CL51" i="2" s="1"/>
  <c r="CF51" i="2"/>
  <c r="CH51" i="2" s="1"/>
  <c r="CB51" i="2"/>
  <c r="CD51" i="2" s="1"/>
  <c r="BX51" i="2"/>
  <c r="BZ51" i="2" s="1"/>
  <c r="BT51" i="2"/>
  <c r="BV51" i="2" s="1"/>
  <c r="BP51" i="2"/>
  <c r="BR51" i="2" s="1"/>
  <c r="BL51" i="2"/>
  <c r="BN51" i="2" s="1"/>
  <c r="AR51" i="2"/>
  <c r="AT51" i="2" s="1"/>
  <c r="AJ51" i="2"/>
  <c r="AL51" i="2" s="1"/>
  <c r="X51" i="2"/>
  <c r="Z51" i="2" s="1"/>
  <c r="T51" i="2"/>
  <c r="V51" i="2" s="1"/>
  <c r="P51" i="2"/>
  <c r="R51" i="2" s="1"/>
  <c r="L51" i="2"/>
  <c r="N51" i="2" s="1"/>
  <c r="H51" i="2"/>
  <c r="J51" i="2" s="1"/>
  <c r="EV50" i="2"/>
  <c r="EX50" i="2" s="1"/>
  <c r="ER50" i="2"/>
  <c r="ET50" i="2" s="1"/>
  <c r="EN50" i="2"/>
  <c r="EP50" i="2" s="1"/>
  <c r="EJ50" i="2"/>
  <c r="EL50" i="2" s="1"/>
  <c r="EB50" i="2"/>
  <c r="ED50" i="2" s="1"/>
  <c r="DX50" i="2"/>
  <c r="DZ50" i="2" s="1"/>
  <c r="DT50" i="2"/>
  <c r="DV50" i="2" s="1"/>
  <c r="DH50" i="2"/>
  <c r="DJ50" i="2" s="1"/>
  <c r="DD50" i="2"/>
  <c r="DF50" i="2" s="1"/>
  <c r="CZ50" i="2"/>
  <c r="DB50" i="2" s="1"/>
  <c r="CV50" i="2"/>
  <c r="CX50" i="2" s="1"/>
  <c r="CR50" i="2"/>
  <c r="CT50" i="2" s="1"/>
  <c r="CN50" i="2"/>
  <c r="CP50" i="2" s="1"/>
  <c r="CJ50" i="2"/>
  <c r="CL50" i="2" s="1"/>
  <c r="CF50" i="2"/>
  <c r="CH50" i="2" s="1"/>
  <c r="CB50" i="2"/>
  <c r="CD50" i="2" s="1"/>
  <c r="BX50" i="2"/>
  <c r="BZ50" i="2" s="1"/>
  <c r="BT50" i="2"/>
  <c r="BV50" i="2" s="1"/>
  <c r="BP50" i="2"/>
  <c r="BR50" i="2" s="1"/>
  <c r="BL50" i="2"/>
  <c r="BN50" i="2" s="1"/>
  <c r="AR50" i="2"/>
  <c r="AT50" i="2" s="1"/>
  <c r="AJ50" i="2"/>
  <c r="AL50" i="2" s="1"/>
  <c r="X50" i="2"/>
  <c r="Z50" i="2" s="1"/>
  <c r="T50" i="2"/>
  <c r="V50" i="2" s="1"/>
  <c r="P50" i="2"/>
  <c r="R50" i="2" s="1"/>
  <c r="L50" i="2"/>
  <c r="N50" i="2" s="1"/>
  <c r="H50" i="2"/>
  <c r="J50" i="2" s="1"/>
  <c r="EV49" i="2"/>
  <c r="EX49" i="2" s="1"/>
  <c r="ER49" i="2"/>
  <c r="ET49" i="2" s="1"/>
  <c r="EN49" i="2"/>
  <c r="EP49" i="2" s="1"/>
  <c r="EJ49" i="2"/>
  <c r="EL49" i="2" s="1"/>
  <c r="EB49" i="2"/>
  <c r="ED49" i="2" s="1"/>
  <c r="DX49" i="2"/>
  <c r="DZ49" i="2" s="1"/>
  <c r="DT49" i="2"/>
  <c r="DV49" i="2" s="1"/>
  <c r="DL49" i="2"/>
  <c r="DN49" i="2" s="1"/>
  <c r="DH49" i="2"/>
  <c r="DJ49" i="2" s="1"/>
  <c r="DD49" i="2"/>
  <c r="DF49" i="2" s="1"/>
  <c r="CZ49" i="2"/>
  <c r="DB49" i="2" s="1"/>
  <c r="CV49" i="2"/>
  <c r="CX49" i="2" s="1"/>
  <c r="CR49" i="2"/>
  <c r="CT49" i="2" s="1"/>
  <c r="CN49" i="2"/>
  <c r="CP49" i="2" s="1"/>
  <c r="CJ49" i="2"/>
  <c r="CL49" i="2" s="1"/>
  <c r="CF49" i="2"/>
  <c r="CH49" i="2" s="1"/>
  <c r="CB49" i="2"/>
  <c r="CD49" i="2" s="1"/>
  <c r="BX49" i="2"/>
  <c r="BZ49" i="2" s="1"/>
  <c r="BT49" i="2"/>
  <c r="BV49" i="2" s="1"/>
  <c r="BP49" i="2"/>
  <c r="BR49" i="2" s="1"/>
  <c r="BL49" i="2"/>
  <c r="BN49" i="2" s="1"/>
  <c r="AR49" i="2"/>
  <c r="AT49" i="2" s="1"/>
  <c r="AN49" i="2"/>
  <c r="AP49" i="2" s="1"/>
  <c r="AJ49" i="2"/>
  <c r="AL49" i="2" s="1"/>
  <c r="X49" i="2"/>
  <c r="Z49" i="2" s="1"/>
  <c r="T49" i="2"/>
  <c r="V49" i="2" s="1"/>
  <c r="P49" i="2"/>
  <c r="R49" i="2" s="1"/>
  <c r="L49" i="2"/>
  <c r="N49" i="2" s="1"/>
  <c r="H49" i="2"/>
  <c r="J49" i="2" s="1"/>
  <c r="EU48" i="2"/>
  <c r="EV48" i="2" s="1"/>
  <c r="EX48" i="2" s="1"/>
  <c r="ES48" i="2"/>
  <c r="EQ48" i="2"/>
  <c r="ER48" i="2" s="1"/>
  <c r="ET48" i="2" s="1"/>
  <c r="EO48" i="2"/>
  <c r="EM48" i="2"/>
  <c r="EN48" i="2" s="1"/>
  <c r="EP48" i="2" s="1"/>
  <c r="EK48" i="2"/>
  <c r="EI48" i="2"/>
  <c r="EJ48" i="2" s="1"/>
  <c r="EL48" i="2" s="1"/>
  <c r="EG48" i="2"/>
  <c r="EE48" i="2"/>
  <c r="EC48" i="2"/>
  <c r="EA48" i="2"/>
  <c r="EB48" i="2" s="1"/>
  <c r="ED48" i="2" s="1"/>
  <c r="DY48" i="2"/>
  <c r="DW48" i="2"/>
  <c r="DX48" i="2" s="1"/>
  <c r="DU48" i="2"/>
  <c r="DS48" i="2"/>
  <c r="DT48" i="2" s="1"/>
  <c r="DQ48" i="2"/>
  <c r="DR48" i="2" s="1"/>
  <c r="DO48" i="2"/>
  <c r="DM48" i="2"/>
  <c r="DK48" i="2"/>
  <c r="DI48" i="2"/>
  <c r="DG48" i="2"/>
  <c r="DH48" i="2" s="1"/>
  <c r="DE48" i="2"/>
  <c r="DC48" i="2"/>
  <c r="DD48" i="2" s="1"/>
  <c r="DF48" i="2" s="1"/>
  <c r="DA48" i="2"/>
  <c r="CY48" i="2"/>
  <c r="CZ48" i="2" s="1"/>
  <c r="DB48" i="2" s="1"/>
  <c r="CW48" i="2"/>
  <c r="CU48" i="2"/>
  <c r="CV48" i="2" s="1"/>
  <c r="CX48" i="2" s="1"/>
  <c r="CS48" i="2"/>
  <c r="CQ48" i="2"/>
  <c r="CR48" i="2" s="1"/>
  <c r="CT48" i="2" s="1"/>
  <c r="CO48" i="2"/>
  <c r="CM48" i="2"/>
  <c r="CN48" i="2" s="1"/>
  <c r="CP48" i="2" s="1"/>
  <c r="CK48" i="2"/>
  <c r="CI48" i="2"/>
  <c r="CJ48" i="2" s="1"/>
  <c r="CL48" i="2" s="1"/>
  <c r="CG48" i="2"/>
  <c r="CE48" i="2"/>
  <c r="CF48" i="2" s="1"/>
  <c r="CH48" i="2" s="1"/>
  <c r="CC48" i="2"/>
  <c r="CA48" i="2"/>
  <c r="CB48" i="2" s="1"/>
  <c r="CD48" i="2" s="1"/>
  <c r="BY48" i="2"/>
  <c r="BW48" i="2"/>
  <c r="BX48" i="2" s="1"/>
  <c r="BZ48" i="2" s="1"/>
  <c r="BU48" i="2"/>
  <c r="BS48" i="2"/>
  <c r="BT48" i="2" s="1"/>
  <c r="BV48" i="2" s="1"/>
  <c r="BQ48" i="2"/>
  <c r="BO48" i="2"/>
  <c r="BP48" i="2" s="1"/>
  <c r="BR48" i="2" s="1"/>
  <c r="BM48" i="2"/>
  <c r="BK48" i="2"/>
  <c r="BL48" i="2" s="1"/>
  <c r="BN48" i="2" s="1"/>
  <c r="BG48" i="2"/>
  <c r="BE48" i="2"/>
  <c r="BF48" i="2" s="1"/>
  <c r="BC48" i="2"/>
  <c r="BA48" i="2"/>
  <c r="AY48" i="2"/>
  <c r="AW48" i="2"/>
  <c r="AX48" i="2" s="1"/>
  <c r="AU48" i="2"/>
  <c r="AS48" i="2"/>
  <c r="AQ48" i="2"/>
  <c r="AR48" i="2" s="1"/>
  <c r="AT48" i="2" s="1"/>
  <c r="AO48" i="2"/>
  <c r="AM48" i="2"/>
  <c r="AK48" i="2"/>
  <c r="AI48" i="2"/>
  <c r="AJ48" i="2" s="1"/>
  <c r="AL48" i="2" s="1"/>
  <c r="AG48" i="2"/>
  <c r="AH48" i="2" s="1"/>
  <c r="AE48" i="2"/>
  <c r="AC48" i="2"/>
  <c r="AD48" i="2" s="1"/>
  <c r="AA48" i="2"/>
  <c r="Y48" i="2"/>
  <c r="Y31" i="2" s="1"/>
  <c r="W48" i="2"/>
  <c r="X48" i="2" s="1"/>
  <c r="Z48" i="2" s="1"/>
  <c r="U48" i="2"/>
  <c r="S48" i="2"/>
  <c r="T48" i="2" s="1"/>
  <c r="V48" i="2" s="1"/>
  <c r="Q48" i="2"/>
  <c r="O48" i="2"/>
  <c r="P48" i="2" s="1"/>
  <c r="R48" i="2" s="1"/>
  <c r="M48" i="2"/>
  <c r="K48" i="2"/>
  <c r="L48" i="2" s="1"/>
  <c r="I48" i="2"/>
  <c r="G48" i="2"/>
  <c r="H48" i="2" s="1"/>
  <c r="J48" i="2" s="1"/>
  <c r="EV47" i="2"/>
  <c r="EX47" i="2" s="1"/>
  <c r="ER47" i="2"/>
  <c r="ET47" i="2" s="1"/>
  <c r="EN47" i="2"/>
  <c r="EP47" i="2" s="1"/>
  <c r="EJ47" i="2"/>
  <c r="EL47" i="2" s="1"/>
  <c r="EF47" i="2"/>
  <c r="EH47" i="2" s="1"/>
  <c r="EB47" i="2"/>
  <c r="ED47" i="2" s="1"/>
  <c r="DX47" i="2"/>
  <c r="DZ47" i="2" s="1"/>
  <c r="DT47" i="2"/>
  <c r="DV47" i="2" s="1"/>
  <c r="DH47" i="2"/>
  <c r="DJ47" i="2" s="1"/>
  <c r="DD47" i="2"/>
  <c r="DF47" i="2" s="1"/>
  <c r="CZ47" i="2"/>
  <c r="DB47" i="2" s="1"/>
  <c r="CV47" i="2"/>
  <c r="CX47" i="2" s="1"/>
  <c r="CR47" i="2"/>
  <c r="CT47" i="2" s="1"/>
  <c r="CN47" i="2"/>
  <c r="CP47" i="2" s="1"/>
  <c r="CJ47" i="2"/>
  <c r="CL47" i="2" s="1"/>
  <c r="CF47" i="2"/>
  <c r="CH47" i="2" s="1"/>
  <c r="CB47" i="2"/>
  <c r="CD47" i="2" s="1"/>
  <c r="BX47" i="2"/>
  <c r="BZ47" i="2" s="1"/>
  <c r="BT47" i="2"/>
  <c r="BV47" i="2" s="1"/>
  <c r="BP47" i="2"/>
  <c r="BR47" i="2" s="1"/>
  <c r="BL47" i="2"/>
  <c r="BN47" i="2" s="1"/>
  <c r="AR47" i="2"/>
  <c r="AT47" i="2" s="1"/>
  <c r="AJ47" i="2"/>
  <c r="AL47" i="2" s="1"/>
  <c r="X47" i="2"/>
  <c r="Z47" i="2" s="1"/>
  <c r="T47" i="2"/>
  <c r="V47" i="2" s="1"/>
  <c r="P47" i="2"/>
  <c r="R47" i="2" s="1"/>
  <c r="L47" i="2"/>
  <c r="N47" i="2" s="1"/>
  <c r="H47" i="2"/>
  <c r="J47" i="2" s="1"/>
  <c r="EV46" i="2"/>
  <c r="EX46" i="2" s="1"/>
  <c r="ER46" i="2"/>
  <c r="ET46" i="2" s="1"/>
  <c r="EN46" i="2"/>
  <c r="EP46" i="2" s="1"/>
  <c r="EJ46" i="2"/>
  <c r="EL46" i="2" s="1"/>
  <c r="EF46" i="2"/>
  <c r="EH46" i="2" s="1"/>
  <c r="EB46" i="2"/>
  <c r="ED46" i="2" s="1"/>
  <c r="DX46" i="2"/>
  <c r="DZ46" i="2" s="1"/>
  <c r="DT46" i="2"/>
  <c r="DV46" i="2" s="1"/>
  <c r="DH46" i="2"/>
  <c r="DJ46" i="2" s="1"/>
  <c r="DD46" i="2"/>
  <c r="DF46" i="2" s="1"/>
  <c r="CZ46" i="2"/>
  <c r="DB46" i="2" s="1"/>
  <c r="CV46" i="2"/>
  <c r="CX46" i="2" s="1"/>
  <c r="CR46" i="2"/>
  <c r="CT46" i="2" s="1"/>
  <c r="CN46" i="2"/>
  <c r="CP46" i="2" s="1"/>
  <c r="CJ46" i="2"/>
  <c r="CL46" i="2" s="1"/>
  <c r="CF46" i="2"/>
  <c r="CH46" i="2" s="1"/>
  <c r="CB46" i="2"/>
  <c r="CD46" i="2" s="1"/>
  <c r="BX46" i="2"/>
  <c r="BZ46" i="2" s="1"/>
  <c r="BT46" i="2"/>
  <c r="BV46" i="2" s="1"/>
  <c r="BP46" i="2"/>
  <c r="BR46" i="2" s="1"/>
  <c r="BL46" i="2"/>
  <c r="BN46" i="2" s="1"/>
  <c r="AR46" i="2"/>
  <c r="AT46" i="2" s="1"/>
  <c r="AJ46" i="2"/>
  <c r="AL46" i="2" s="1"/>
  <c r="X46" i="2"/>
  <c r="Z46" i="2" s="1"/>
  <c r="T46" i="2"/>
  <c r="V46" i="2" s="1"/>
  <c r="P46" i="2"/>
  <c r="R46" i="2" s="1"/>
  <c r="L46" i="2"/>
  <c r="N46" i="2" s="1"/>
  <c r="H46" i="2"/>
  <c r="J46" i="2" s="1"/>
  <c r="EV45" i="2"/>
  <c r="EX45" i="2" s="1"/>
  <c r="ER45" i="2"/>
  <c r="ET45" i="2" s="1"/>
  <c r="EN45" i="2"/>
  <c r="EP45" i="2" s="1"/>
  <c r="EJ45" i="2"/>
  <c r="EL45" i="2" s="1"/>
  <c r="EF45" i="2"/>
  <c r="EH45" i="2" s="1"/>
  <c r="EB45" i="2"/>
  <c r="ED45" i="2" s="1"/>
  <c r="DX45" i="2"/>
  <c r="DZ45" i="2" s="1"/>
  <c r="DT45" i="2"/>
  <c r="DV45" i="2" s="1"/>
  <c r="DH45" i="2"/>
  <c r="DJ45" i="2" s="1"/>
  <c r="DD45" i="2"/>
  <c r="DF45" i="2" s="1"/>
  <c r="CZ45" i="2"/>
  <c r="DB45" i="2" s="1"/>
  <c r="CV45" i="2"/>
  <c r="CX45" i="2" s="1"/>
  <c r="CR45" i="2"/>
  <c r="CT45" i="2" s="1"/>
  <c r="CN45" i="2"/>
  <c r="CP45" i="2" s="1"/>
  <c r="CJ45" i="2"/>
  <c r="CL45" i="2" s="1"/>
  <c r="CF45" i="2"/>
  <c r="CH45" i="2" s="1"/>
  <c r="CB45" i="2"/>
  <c r="CD45" i="2" s="1"/>
  <c r="BX45" i="2"/>
  <c r="BZ45" i="2" s="1"/>
  <c r="BT45" i="2"/>
  <c r="BV45" i="2" s="1"/>
  <c r="BP45" i="2"/>
  <c r="BR45" i="2" s="1"/>
  <c r="BL45" i="2"/>
  <c r="BN45" i="2" s="1"/>
  <c r="AR45" i="2"/>
  <c r="AT45" i="2" s="1"/>
  <c r="AJ45" i="2"/>
  <c r="AL45" i="2" s="1"/>
  <c r="AB45" i="2"/>
  <c r="AD45" i="2" s="1"/>
  <c r="X45" i="2"/>
  <c r="Z45" i="2" s="1"/>
  <c r="T45" i="2"/>
  <c r="V45" i="2" s="1"/>
  <c r="P45" i="2"/>
  <c r="R45" i="2" s="1"/>
  <c r="L45" i="2"/>
  <c r="N45" i="2" s="1"/>
  <c r="H45" i="2"/>
  <c r="J45" i="2" s="1"/>
  <c r="EV44" i="2"/>
  <c r="EX44" i="2" s="1"/>
  <c r="ER44" i="2"/>
  <c r="ET44" i="2" s="1"/>
  <c r="EN44" i="2"/>
  <c r="EP44" i="2" s="1"/>
  <c r="EJ44" i="2"/>
  <c r="EL44" i="2" s="1"/>
  <c r="EF44" i="2"/>
  <c r="EH44" i="2" s="1"/>
  <c r="EB44" i="2"/>
  <c r="ED44" i="2" s="1"/>
  <c r="DX44" i="2"/>
  <c r="DZ44" i="2" s="1"/>
  <c r="DT44" i="2"/>
  <c r="DV44" i="2" s="1"/>
  <c r="DH44" i="2"/>
  <c r="DJ44" i="2" s="1"/>
  <c r="DD44" i="2"/>
  <c r="DF44" i="2" s="1"/>
  <c r="CZ44" i="2"/>
  <c r="DB44" i="2" s="1"/>
  <c r="CV44" i="2"/>
  <c r="CX44" i="2" s="1"/>
  <c r="CR44" i="2"/>
  <c r="CT44" i="2" s="1"/>
  <c r="CN44" i="2"/>
  <c r="CP44" i="2" s="1"/>
  <c r="CJ44" i="2"/>
  <c r="CL44" i="2" s="1"/>
  <c r="CF44" i="2"/>
  <c r="CH44" i="2" s="1"/>
  <c r="CB44" i="2"/>
  <c r="CD44" i="2" s="1"/>
  <c r="BX44" i="2"/>
  <c r="BZ44" i="2" s="1"/>
  <c r="BT44" i="2"/>
  <c r="BV44" i="2" s="1"/>
  <c r="BP44" i="2"/>
  <c r="BR44" i="2" s="1"/>
  <c r="BL44" i="2"/>
  <c r="BN44" i="2" s="1"/>
  <c r="AR44" i="2"/>
  <c r="AT44" i="2" s="1"/>
  <c r="AJ44" i="2"/>
  <c r="AL44" i="2" s="1"/>
  <c r="AB44" i="2"/>
  <c r="AD44" i="2" s="1"/>
  <c r="X44" i="2"/>
  <c r="Z44" i="2" s="1"/>
  <c r="T44" i="2"/>
  <c r="V44" i="2" s="1"/>
  <c r="P44" i="2"/>
  <c r="R44" i="2" s="1"/>
  <c r="L44" i="2"/>
  <c r="N44" i="2" s="1"/>
  <c r="H44" i="2"/>
  <c r="J44" i="2" s="1"/>
  <c r="EU43" i="2"/>
  <c r="EV43" i="2" s="1"/>
  <c r="EX43" i="2" s="1"/>
  <c r="ES43" i="2"/>
  <c r="EQ43" i="2"/>
  <c r="EO43" i="2"/>
  <c r="EM43" i="2"/>
  <c r="EN43" i="2" s="1"/>
  <c r="EP43" i="2" s="1"/>
  <c r="EK43" i="2"/>
  <c r="EI43" i="2"/>
  <c r="EJ43" i="2" s="1"/>
  <c r="EL43" i="2" s="1"/>
  <c r="EG43" i="2"/>
  <c r="EE43" i="2"/>
  <c r="EF43" i="2" s="1"/>
  <c r="EH43" i="2" s="1"/>
  <c r="EC43" i="2"/>
  <c r="EA43" i="2"/>
  <c r="EB43" i="2" s="1"/>
  <c r="ED43" i="2" s="1"/>
  <c r="DY43" i="2"/>
  <c r="DW43" i="2"/>
  <c r="DX43" i="2" s="1"/>
  <c r="DU43" i="2"/>
  <c r="DS43" i="2"/>
  <c r="DT43" i="2" s="1"/>
  <c r="DQ43" i="2"/>
  <c r="DO43" i="2"/>
  <c r="DM43" i="2"/>
  <c r="DN43" i="2" s="1"/>
  <c r="DK43" i="2"/>
  <c r="DI43" i="2"/>
  <c r="DG43" i="2"/>
  <c r="DH43" i="2" s="1"/>
  <c r="DE43" i="2"/>
  <c r="DC43" i="2"/>
  <c r="DA43" i="2"/>
  <c r="CY43" i="2"/>
  <c r="CZ43" i="2" s="1"/>
  <c r="DB43" i="2" s="1"/>
  <c r="CW43" i="2"/>
  <c r="CU43" i="2"/>
  <c r="CV43" i="2" s="1"/>
  <c r="CX43" i="2" s="1"/>
  <c r="CS43" i="2"/>
  <c r="CQ43" i="2"/>
  <c r="CR43" i="2" s="1"/>
  <c r="CT43" i="2" s="1"/>
  <c r="CO43" i="2"/>
  <c r="CM43" i="2"/>
  <c r="CN43" i="2" s="1"/>
  <c r="CP43" i="2" s="1"/>
  <c r="CK43" i="2"/>
  <c r="CI43" i="2"/>
  <c r="CJ43" i="2" s="1"/>
  <c r="CL43" i="2" s="1"/>
  <c r="CG43" i="2"/>
  <c r="CE43" i="2"/>
  <c r="CF43" i="2" s="1"/>
  <c r="CH43" i="2" s="1"/>
  <c r="CC43" i="2"/>
  <c r="CA43" i="2"/>
  <c r="CB43" i="2" s="1"/>
  <c r="CD43" i="2" s="1"/>
  <c r="BY43" i="2"/>
  <c r="BW43" i="2"/>
  <c r="BX43" i="2" s="1"/>
  <c r="BZ43" i="2" s="1"/>
  <c r="BU43" i="2"/>
  <c r="BS43" i="2"/>
  <c r="BT43" i="2" s="1"/>
  <c r="BV43" i="2" s="1"/>
  <c r="BQ43" i="2"/>
  <c r="BO43" i="2"/>
  <c r="BP43" i="2" s="1"/>
  <c r="BR43" i="2" s="1"/>
  <c r="BM43" i="2"/>
  <c r="BK43" i="2"/>
  <c r="BL43" i="2" s="1"/>
  <c r="BN43" i="2" s="1"/>
  <c r="BI43" i="2"/>
  <c r="BG43" i="2"/>
  <c r="BE43" i="2"/>
  <c r="BC43" i="2"/>
  <c r="BA43" i="2"/>
  <c r="BA31" i="2" s="1"/>
  <c r="AY43" i="2"/>
  <c r="AW43" i="2"/>
  <c r="AU43" i="2"/>
  <c r="AS43" i="2"/>
  <c r="AS31" i="2" s="1"/>
  <c r="AQ43" i="2"/>
  <c r="AR43" i="2" s="1"/>
  <c r="AT43" i="2" s="1"/>
  <c r="AO43" i="2"/>
  <c r="AO31" i="2" s="1"/>
  <c r="AM43" i="2"/>
  <c r="AK43" i="2"/>
  <c r="AK31" i="2" s="1"/>
  <c r="AI43" i="2"/>
  <c r="AJ43" i="2" s="1"/>
  <c r="AG43" i="2"/>
  <c r="AE43" i="2"/>
  <c r="AC43" i="2"/>
  <c r="AC31" i="2" s="1"/>
  <c r="AA43" i="2"/>
  <c r="X43" i="2"/>
  <c r="Z43" i="2" s="1"/>
  <c r="U43" i="2"/>
  <c r="S43" i="2"/>
  <c r="T43" i="2" s="1"/>
  <c r="V43" i="2" s="1"/>
  <c r="Q43" i="2"/>
  <c r="O43" i="2"/>
  <c r="M43" i="2"/>
  <c r="K43" i="2"/>
  <c r="L43" i="2" s="1"/>
  <c r="I43" i="2"/>
  <c r="G43" i="2"/>
  <c r="H43" i="2" s="1"/>
  <c r="J43" i="2" s="1"/>
  <c r="EV41" i="2"/>
  <c r="EX41" i="2" s="1"/>
  <c r="ER41" i="2"/>
  <c r="ET41" i="2" s="1"/>
  <c r="EP41" i="2"/>
  <c r="EL41" i="2"/>
  <c r="EH41" i="2"/>
  <c r="ED41" i="2"/>
  <c r="DX41" i="2"/>
  <c r="DZ41" i="2" s="1"/>
  <c r="DT41" i="2"/>
  <c r="DV41" i="2" s="1"/>
  <c r="DP41" i="2"/>
  <c r="DR41" i="2" s="1"/>
  <c r="DL41" i="2"/>
  <c r="DN41" i="2" s="1"/>
  <c r="DH41" i="2"/>
  <c r="DJ41" i="2" s="1"/>
  <c r="DD41" i="2"/>
  <c r="DF41" i="2" s="1"/>
  <c r="DB41" i="2"/>
  <c r="CV41" i="2"/>
  <c r="CX41" i="2" s="1"/>
  <c r="CR41" i="2"/>
  <c r="CT41" i="2" s="1"/>
  <c r="CN41" i="2"/>
  <c r="CP41" i="2" s="1"/>
  <c r="CJ41" i="2"/>
  <c r="CL41" i="2" s="1"/>
  <c r="CF41" i="2"/>
  <c r="CH41" i="2" s="1"/>
  <c r="CB41" i="2"/>
  <c r="CD41" i="2" s="1"/>
  <c r="BX41" i="2"/>
  <c r="BZ41" i="2" s="1"/>
  <c r="BT41" i="2"/>
  <c r="BV41" i="2" s="1"/>
  <c r="BP41" i="2"/>
  <c r="BR41" i="2" s="1"/>
  <c r="BL41" i="2"/>
  <c r="BN41" i="2" s="1"/>
  <c r="BH41" i="2"/>
  <c r="BJ41" i="2" s="1"/>
  <c r="BD41" i="2"/>
  <c r="BF41" i="2" s="1"/>
  <c r="AZ41" i="2"/>
  <c r="BB41" i="2" s="1"/>
  <c r="AV41" i="2"/>
  <c r="AX41" i="2" s="1"/>
  <c r="AP41" i="2"/>
  <c r="AL41" i="2"/>
  <c r="AH41" i="2"/>
  <c r="AD41" i="2"/>
  <c r="Z41" i="2"/>
  <c r="V41" i="2"/>
  <c r="R41" i="2"/>
  <c r="L41" i="2"/>
  <c r="N41" i="2" s="1"/>
  <c r="J41" i="2"/>
  <c r="EV39" i="2"/>
  <c r="EX39" i="2" s="1"/>
  <c r="ER39" i="2"/>
  <c r="ET39" i="2" s="1"/>
  <c r="DX39" i="2"/>
  <c r="DZ39" i="2" s="1"/>
  <c r="DT39" i="2"/>
  <c r="DV39" i="2" s="1"/>
  <c r="DP39" i="2"/>
  <c r="DR39" i="2" s="1"/>
  <c r="DL39" i="2"/>
  <c r="DN39" i="2" s="1"/>
  <c r="DH39" i="2"/>
  <c r="DJ39" i="2" s="1"/>
  <c r="DD39" i="2"/>
  <c r="DF39" i="2" s="1"/>
  <c r="CV39" i="2"/>
  <c r="CX39" i="2" s="1"/>
  <c r="CR39" i="2"/>
  <c r="CT39" i="2" s="1"/>
  <c r="CN39" i="2"/>
  <c r="CP39" i="2" s="1"/>
  <c r="CJ39" i="2"/>
  <c r="CL39" i="2" s="1"/>
  <c r="CF39" i="2"/>
  <c r="CH39" i="2" s="1"/>
  <c r="CB39" i="2"/>
  <c r="CD39" i="2" s="1"/>
  <c r="BX39" i="2"/>
  <c r="BZ39" i="2" s="1"/>
  <c r="BT39" i="2"/>
  <c r="BV39" i="2" s="1"/>
  <c r="BP39" i="2"/>
  <c r="BR39" i="2" s="1"/>
  <c r="BL39" i="2"/>
  <c r="BN39" i="2" s="1"/>
  <c r="BH39" i="2"/>
  <c r="BJ39" i="2" s="1"/>
  <c r="BD39" i="2"/>
  <c r="BF39" i="2" s="1"/>
  <c r="AZ39" i="2"/>
  <c r="BB39" i="2" s="1"/>
  <c r="AV39" i="2"/>
  <c r="AX39" i="2" s="1"/>
  <c r="L39" i="2"/>
  <c r="N39" i="2" s="1"/>
  <c r="EV38" i="2"/>
  <c r="EX38" i="2" s="1"/>
  <c r="ER38" i="2"/>
  <c r="ET38" i="2" s="1"/>
  <c r="DX38" i="2"/>
  <c r="DZ38" i="2" s="1"/>
  <c r="DT38" i="2"/>
  <c r="DV38" i="2" s="1"/>
  <c r="DP38" i="2"/>
  <c r="DR38" i="2" s="1"/>
  <c r="DL38" i="2"/>
  <c r="DN38" i="2" s="1"/>
  <c r="DH38" i="2"/>
  <c r="DJ38" i="2" s="1"/>
  <c r="DD38" i="2"/>
  <c r="DF38" i="2" s="1"/>
  <c r="CV38" i="2"/>
  <c r="CX38" i="2" s="1"/>
  <c r="CR38" i="2"/>
  <c r="CT38" i="2" s="1"/>
  <c r="CN38" i="2"/>
  <c r="CP38" i="2" s="1"/>
  <c r="CJ38" i="2"/>
  <c r="CL38" i="2" s="1"/>
  <c r="CF38" i="2"/>
  <c r="CH38" i="2" s="1"/>
  <c r="CB38" i="2"/>
  <c r="CD38" i="2" s="1"/>
  <c r="BX38" i="2"/>
  <c r="BZ38" i="2" s="1"/>
  <c r="BT38" i="2"/>
  <c r="BV38" i="2" s="1"/>
  <c r="BP38" i="2"/>
  <c r="BR38" i="2" s="1"/>
  <c r="BL38" i="2"/>
  <c r="BN38" i="2" s="1"/>
  <c r="BH38" i="2"/>
  <c r="BJ38" i="2" s="1"/>
  <c r="BD38" i="2"/>
  <c r="BF38" i="2" s="1"/>
  <c r="AZ38" i="2"/>
  <c r="BB38" i="2" s="1"/>
  <c r="AV38" i="2"/>
  <c r="AX38" i="2" s="1"/>
  <c r="L38" i="2"/>
  <c r="N38" i="2" s="1"/>
  <c r="EV37" i="2"/>
  <c r="EX37" i="2" s="1"/>
  <c r="ER37" i="2"/>
  <c r="ET37" i="2" s="1"/>
  <c r="DX37" i="2"/>
  <c r="DZ37" i="2" s="1"/>
  <c r="DT37" i="2"/>
  <c r="DV37" i="2" s="1"/>
  <c r="DP37" i="2"/>
  <c r="DR37" i="2" s="1"/>
  <c r="DL37" i="2"/>
  <c r="DN37" i="2" s="1"/>
  <c r="DH37" i="2"/>
  <c r="DJ37" i="2" s="1"/>
  <c r="DD37" i="2"/>
  <c r="DF37" i="2" s="1"/>
  <c r="CV37" i="2"/>
  <c r="CX37" i="2" s="1"/>
  <c r="CR37" i="2"/>
  <c r="CT37" i="2" s="1"/>
  <c r="CN37" i="2"/>
  <c r="CP37" i="2" s="1"/>
  <c r="CJ37" i="2"/>
  <c r="CL37" i="2" s="1"/>
  <c r="CF37" i="2"/>
  <c r="CH37" i="2" s="1"/>
  <c r="CB37" i="2"/>
  <c r="CD37" i="2" s="1"/>
  <c r="BX37" i="2"/>
  <c r="BZ37" i="2" s="1"/>
  <c r="BT37" i="2"/>
  <c r="BV37" i="2" s="1"/>
  <c r="BP37" i="2"/>
  <c r="BR37" i="2" s="1"/>
  <c r="BL37" i="2"/>
  <c r="BN37" i="2" s="1"/>
  <c r="BH37" i="2"/>
  <c r="BJ37" i="2" s="1"/>
  <c r="BD37" i="2"/>
  <c r="BF37" i="2" s="1"/>
  <c r="AZ37" i="2"/>
  <c r="BB37" i="2" s="1"/>
  <c r="AV37" i="2"/>
  <c r="AX37" i="2" s="1"/>
  <c r="L37" i="2"/>
  <c r="N37" i="2" s="1"/>
  <c r="EV36" i="2"/>
  <c r="EX36" i="2" s="1"/>
  <c r="ER36" i="2"/>
  <c r="ET36" i="2" s="1"/>
  <c r="DX36" i="2"/>
  <c r="DZ36" i="2" s="1"/>
  <c r="DT36" i="2"/>
  <c r="DV36" i="2" s="1"/>
  <c r="DP36" i="2"/>
  <c r="DR36" i="2" s="1"/>
  <c r="DL36" i="2"/>
  <c r="DN36" i="2" s="1"/>
  <c r="DH36" i="2"/>
  <c r="DJ36" i="2" s="1"/>
  <c r="DD36" i="2"/>
  <c r="DF36" i="2" s="1"/>
  <c r="CV36" i="2"/>
  <c r="CX36" i="2" s="1"/>
  <c r="CR36" i="2"/>
  <c r="CT36" i="2" s="1"/>
  <c r="CN36" i="2"/>
  <c r="CP36" i="2" s="1"/>
  <c r="CJ36" i="2"/>
  <c r="CL36" i="2" s="1"/>
  <c r="CF36" i="2"/>
  <c r="CH36" i="2" s="1"/>
  <c r="CB36" i="2"/>
  <c r="CD36" i="2" s="1"/>
  <c r="BX36" i="2"/>
  <c r="BZ36" i="2" s="1"/>
  <c r="BT36" i="2"/>
  <c r="BV36" i="2" s="1"/>
  <c r="BP36" i="2"/>
  <c r="BR36" i="2" s="1"/>
  <c r="BL36" i="2"/>
  <c r="BN36" i="2" s="1"/>
  <c r="BH36" i="2"/>
  <c r="BJ36" i="2" s="1"/>
  <c r="BD36" i="2"/>
  <c r="BF36" i="2" s="1"/>
  <c r="AZ36" i="2"/>
  <c r="BB36" i="2" s="1"/>
  <c r="AV36" i="2"/>
  <c r="AX36" i="2" s="1"/>
  <c r="L36" i="2"/>
  <c r="N36" i="2" s="1"/>
  <c r="EV35" i="2"/>
  <c r="EX35" i="2" s="1"/>
  <c r="ER35" i="2"/>
  <c r="ET35" i="2" s="1"/>
  <c r="DX35" i="2"/>
  <c r="DZ35" i="2" s="1"/>
  <c r="DT35" i="2"/>
  <c r="DV35" i="2" s="1"/>
  <c r="DP35" i="2"/>
  <c r="DR35" i="2" s="1"/>
  <c r="DL35" i="2"/>
  <c r="DN35" i="2" s="1"/>
  <c r="DH35" i="2"/>
  <c r="DJ35" i="2" s="1"/>
  <c r="DD35" i="2"/>
  <c r="DF35" i="2" s="1"/>
  <c r="CV35" i="2"/>
  <c r="CX35" i="2" s="1"/>
  <c r="CR35" i="2"/>
  <c r="CT35" i="2" s="1"/>
  <c r="CN35" i="2"/>
  <c r="CP35" i="2" s="1"/>
  <c r="CJ35" i="2"/>
  <c r="CL35" i="2" s="1"/>
  <c r="CF35" i="2"/>
  <c r="CH35" i="2" s="1"/>
  <c r="CB35" i="2"/>
  <c r="CD35" i="2" s="1"/>
  <c r="BX35" i="2"/>
  <c r="BZ35" i="2" s="1"/>
  <c r="BT35" i="2"/>
  <c r="BV35" i="2" s="1"/>
  <c r="BP35" i="2"/>
  <c r="BR35" i="2" s="1"/>
  <c r="BL35" i="2"/>
  <c r="BN35" i="2" s="1"/>
  <c r="BH35" i="2"/>
  <c r="BJ35" i="2" s="1"/>
  <c r="BD35" i="2"/>
  <c r="BF35" i="2" s="1"/>
  <c r="AZ35" i="2"/>
  <c r="BB35" i="2" s="1"/>
  <c r="AV35" i="2"/>
  <c r="AX35" i="2" s="1"/>
  <c r="L35" i="2"/>
  <c r="N35" i="2" s="1"/>
  <c r="EV34" i="2"/>
  <c r="EX34" i="2" s="1"/>
  <c r="ER34" i="2"/>
  <c r="ET34" i="2" s="1"/>
  <c r="DX34" i="2"/>
  <c r="DZ34" i="2" s="1"/>
  <c r="DT34" i="2"/>
  <c r="DV34" i="2" s="1"/>
  <c r="DP34" i="2"/>
  <c r="DR34" i="2" s="1"/>
  <c r="DL34" i="2"/>
  <c r="DN34" i="2" s="1"/>
  <c r="DH34" i="2"/>
  <c r="DJ34" i="2" s="1"/>
  <c r="DD34" i="2"/>
  <c r="DF34" i="2" s="1"/>
  <c r="CV34" i="2"/>
  <c r="CX34" i="2" s="1"/>
  <c r="CR34" i="2"/>
  <c r="CT34" i="2" s="1"/>
  <c r="CN34" i="2"/>
  <c r="CP34" i="2" s="1"/>
  <c r="CJ34" i="2"/>
  <c r="CL34" i="2" s="1"/>
  <c r="CF34" i="2"/>
  <c r="CH34" i="2" s="1"/>
  <c r="CB34" i="2"/>
  <c r="CD34" i="2" s="1"/>
  <c r="BX34" i="2"/>
  <c r="BZ34" i="2" s="1"/>
  <c r="BT34" i="2"/>
  <c r="BV34" i="2" s="1"/>
  <c r="BP34" i="2"/>
  <c r="BR34" i="2" s="1"/>
  <c r="BL34" i="2"/>
  <c r="BN34" i="2" s="1"/>
  <c r="BH34" i="2"/>
  <c r="BJ34" i="2" s="1"/>
  <c r="BD34" i="2"/>
  <c r="BF34" i="2" s="1"/>
  <c r="AZ34" i="2"/>
  <c r="BB34" i="2" s="1"/>
  <c r="AV34" i="2"/>
  <c r="AX34" i="2" s="1"/>
  <c r="L34" i="2"/>
  <c r="N34" i="2" s="1"/>
  <c r="EU33" i="2"/>
  <c r="EV33" i="2" s="1"/>
  <c r="EX33" i="2" s="1"/>
  <c r="EQ33" i="2"/>
  <c r="ER33" i="2" s="1"/>
  <c r="ET33" i="2" s="1"/>
  <c r="EM33" i="2"/>
  <c r="EI33" i="2"/>
  <c r="EI31" i="2" s="1"/>
  <c r="EE33" i="2"/>
  <c r="EA33" i="2"/>
  <c r="DY33" i="2"/>
  <c r="DY31" i="2" s="1"/>
  <c r="DW33" i="2"/>
  <c r="DX33" i="2" s="1"/>
  <c r="DU33" i="2"/>
  <c r="DS33" i="2"/>
  <c r="DT33" i="2" s="1"/>
  <c r="DO33" i="2"/>
  <c r="DK33" i="2"/>
  <c r="DK31" i="2" s="1"/>
  <c r="DI33" i="2"/>
  <c r="DG33" i="2"/>
  <c r="DH33" i="2" s="1"/>
  <c r="DC33" i="2"/>
  <c r="DD33" i="2" s="1"/>
  <c r="DF33" i="2" s="1"/>
  <c r="CY33" i="2"/>
  <c r="CU33" i="2"/>
  <c r="CQ33" i="2"/>
  <c r="CR33" i="2" s="1"/>
  <c r="CT33" i="2" s="1"/>
  <c r="CM33" i="2"/>
  <c r="CN33" i="2" s="1"/>
  <c r="CP33" i="2" s="1"/>
  <c r="CI33" i="2"/>
  <c r="CE33" i="2"/>
  <c r="CF33" i="2" s="1"/>
  <c r="CH33" i="2" s="1"/>
  <c r="CA33" i="2"/>
  <c r="CB33" i="2" s="1"/>
  <c r="CD33" i="2" s="1"/>
  <c r="BW33" i="2"/>
  <c r="BW31" i="2" s="1"/>
  <c r="BX31" i="2" s="1"/>
  <c r="BZ31" i="2" s="1"/>
  <c r="BS33" i="2"/>
  <c r="BO33" i="2"/>
  <c r="BP33" i="2" s="1"/>
  <c r="BR33" i="2" s="1"/>
  <c r="BK33" i="2"/>
  <c r="BL33" i="2" s="1"/>
  <c r="BN33" i="2" s="1"/>
  <c r="BG33" i="2"/>
  <c r="BC33" i="2"/>
  <c r="BD33" i="2" s="1"/>
  <c r="BF33" i="2" s="1"/>
  <c r="AY33" i="2"/>
  <c r="AZ33" i="2" s="1"/>
  <c r="BB33" i="2" s="1"/>
  <c r="AU33" i="2"/>
  <c r="AV33" i="2" s="1"/>
  <c r="AX33" i="2" s="1"/>
  <c r="AQ33" i="2"/>
  <c r="AM33" i="2"/>
  <c r="AI33" i="2"/>
  <c r="AE33" i="2"/>
  <c r="AA33" i="2"/>
  <c r="W33" i="2"/>
  <c r="W31" i="2" s="1"/>
  <c r="S33" i="2"/>
  <c r="O33" i="2"/>
  <c r="M33" i="2"/>
  <c r="K33" i="2"/>
  <c r="L33" i="2" s="1"/>
  <c r="G33" i="2"/>
  <c r="EV32" i="2"/>
  <c r="EX32" i="2" s="1"/>
  <c r="ER32" i="2"/>
  <c r="ET32" i="2" s="1"/>
  <c r="EN32" i="2"/>
  <c r="EP32" i="2" s="1"/>
  <c r="EJ32" i="2"/>
  <c r="EL32" i="2" s="1"/>
  <c r="EF32" i="2"/>
  <c r="EH32" i="2" s="1"/>
  <c r="EB32" i="2"/>
  <c r="ED32" i="2" s="1"/>
  <c r="DX32" i="2"/>
  <c r="DZ32" i="2" s="1"/>
  <c r="DT32" i="2"/>
  <c r="DV32" i="2" s="1"/>
  <c r="DP32" i="2"/>
  <c r="DR32" i="2" s="1"/>
  <c r="DL32" i="2"/>
  <c r="DN32" i="2" s="1"/>
  <c r="DH32" i="2"/>
  <c r="DJ32" i="2" s="1"/>
  <c r="DD32" i="2"/>
  <c r="DF32" i="2" s="1"/>
  <c r="CZ32" i="2"/>
  <c r="DB32" i="2" s="1"/>
  <c r="CV32" i="2"/>
  <c r="CX32" i="2" s="1"/>
  <c r="CR32" i="2"/>
  <c r="CT32" i="2" s="1"/>
  <c r="CN32" i="2"/>
  <c r="CP32" i="2" s="1"/>
  <c r="CJ32" i="2"/>
  <c r="CL32" i="2" s="1"/>
  <c r="CF32" i="2"/>
  <c r="CH32" i="2" s="1"/>
  <c r="CB32" i="2"/>
  <c r="CD32" i="2" s="1"/>
  <c r="BX32" i="2"/>
  <c r="BZ32" i="2" s="1"/>
  <c r="BT32" i="2"/>
  <c r="BV32" i="2" s="1"/>
  <c r="BP32" i="2"/>
  <c r="BR32" i="2" s="1"/>
  <c r="BL32" i="2"/>
  <c r="BN32" i="2" s="1"/>
  <c r="BH32" i="2"/>
  <c r="BJ32" i="2" s="1"/>
  <c r="BD32" i="2"/>
  <c r="BF32" i="2" s="1"/>
  <c r="AZ32" i="2"/>
  <c r="BB32" i="2" s="1"/>
  <c r="AV32" i="2"/>
  <c r="AX32" i="2" s="1"/>
  <c r="AR32" i="2"/>
  <c r="AT32" i="2" s="1"/>
  <c r="AN32" i="2"/>
  <c r="AP32" i="2" s="1"/>
  <c r="AF32" i="2"/>
  <c r="AH32" i="2" s="1"/>
  <c r="X32" i="2"/>
  <c r="Z32" i="2" s="1"/>
  <c r="T32" i="2"/>
  <c r="V32" i="2" s="1"/>
  <c r="P32" i="2"/>
  <c r="R32" i="2" s="1"/>
  <c r="L32" i="2"/>
  <c r="N32" i="2" s="1"/>
  <c r="H32" i="2"/>
  <c r="J32" i="2" s="1"/>
  <c r="EV30" i="2"/>
  <c r="EX30" i="2" s="1"/>
  <c r="ER30" i="2"/>
  <c r="ET30" i="2" s="1"/>
  <c r="EN30" i="2"/>
  <c r="EP30" i="2" s="1"/>
  <c r="EJ30" i="2"/>
  <c r="EL30" i="2" s="1"/>
  <c r="EF30" i="2"/>
  <c r="EH30" i="2" s="1"/>
  <c r="EB30" i="2"/>
  <c r="ED30" i="2" s="1"/>
  <c r="DX30" i="2"/>
  <c r="DZ30" i="2" s="1"/>
  <c r="DT30" i="2"/>
  <c r="DV30" i="2" s="1"/>
  <c r="DP30" i="2"/>
  <c r="DR30" i="2" s="1"/>
  <c r="DL30" i="2"/>
  <c r="DN30" i="2" s="1"/>
  <c r="DH30" i="2"/>
  <c r="DJ30" i="2" s="1"/>
  <c r="DD30" i="2"/>
  <c r="DF30" i="2" s="1"/>
  <c r="CZ30" i="2"/>
  <c r="DB30" i="2" s="1"/>
  <c r="CV30" i="2"/>
  <c r="CX30" i="2" s="1"/>
  <c r="CR30" i="2"/>
  <c r="CT30" i="2" s="1"/>
  <c r="CN30" i="2"/>
  <c r="CP30" i="2" s="1"/>
  <c r="CJ30" i="2"/>
  <c r="CL30" i="2" s="1"/>
  <c r="CF30" i="2"/>
  <c r="CH30" i="2" s="1"/>
  <c r="CB30" i="2"/>
  <c r="CD30" i="2" s="1"/>
  <c r="BX30" i="2"/>
  <c r="BZ30" i="2" s="1"/>
  <c r="BT30" i="2"/>
  <c r="BV30" i="2" s="1"/>
  <c r="BP30" i="2"/>
  <c r="BR30" i="2" s="1"/>
  <c r="BL30" i="2"/>
  <c r="BN30" i="2" s="1"/>
  <c r="BH30" i="2"/>
  <c r="BJ30" i="2" s="1"/>
  <c r="BD30" i="2"/>
  <c r="BF30" i="2" s="1"/>
  <c r="AZ30" i="2"/>
  <c r="BB30" i="2" s="1"/>
  <c r="AV30" i="2"/>
  <c r="AX30" i="2" s="1"/>
  <c r="AR30" i="2"/>
  <c r="AT30" i="2" s="1"/>
  <c r="AN30" i="2"/>
  <c r="AP30" i="2" s="1"/>
  <c r="AJ30" i="2"/>
  <c r="AL30" i="2" s="1"/>
  <c r="AF30" i="2"/>
  <c r="AH30" i="2" s="1"/>
  <c r="AB30" i="2"/>
  <c r="AD30" i="2" s="1"/>
  <c r="X30" i="2"/>
  <c r="Z30" i="2" s="1"/>
  <c r="T30" i="2"/>
  <c r="V30" i="2" s="1"/>
  <c r="P30" i="2"/>
  <c r="R30" i="2" s="1"/>
  <c r="L30" i="2"/>
  <c r="N30" i="2" s="1"/>
  <c r="H30" i="2"/>
  <c r="J30" i="2" s="1"/>
  <c r="EV29" i="2"/>
  <c r="EX29" i="2" s="1"/>
  <c r="ER29" i="2"/>
  <c r="ET29" i="2" s="1"/>
  <c r="EN29" i="2"/>
  <c r="EP29" i="2" s="1"/>
  <c r="EJ29" i="2"/>
  <c r="EL29" i="2" s="1"/>
  <c r="EB29" i="2"/>
  <c r="ED29" i="2" s="1"/>
  <c r="DX29" i="2"/>
  <c r="DZ29" i="2" s="1"/>
  <c r="DT29" i="2"/>
  <c r="DV29" i="2" s="1"/>
  <c r="DP29" i="2"/>
  <c r="DR29" i="2" s="1"/>
  <c r="DL29" i="2"/>
  <c r="DN29" i="2" s="1"/>
  <c r="DH29" i="2"/>
  <c r="DJ29" i="2" s="1"/>
  <c r="DD29" i="2"/>
  <c r="DF29" i="2" s="1"/>
  <c r="CZ29" i="2"/>
  <c r="DB29" i="2" s="1"/>
  <c r="CV29" i="2"/>
  <c r="CX29" i="2" s="1"/>
  <c r="CR29" i="2"/>
  <c r="CT29" i="2" s="1"/>
  <c r="CN29" i="2"/>
  <c r="CP29" i="2" s="1"/>
  <c r="CJ29" i="2"/>
  <c r="CL29" i="2" s="1"/>
  <c r="CF29" i="2"/>
  <c r="CH29" i="2" s="1"/>
  <c r="CB29" i="2"/>
  <c r="CD29" i="2" s="1"/>
  <c r="BX29" i="2"/>
  <c r="BZ29" i="2" s="1"/>
  <c r="BT29" i="2"/>
  <c r="BV29" i="2" s="1"/>
  <c r="BP29" i="2"/>
  <c r="BR29" i="2" s="1"/>
  <c r="BL29" i="2"/>
  <c r="BN29" i="2" s="1"/>
  <c r="BH29" i="2"/>
  <c r="BJ29" i="2" s="1"/>
  <c r="BD29" i="2"/>
  <c r="BF29" i="2" s="1"/>
  <c r="AZ29" i="2"/>
  <c r="BB29" i="2" s="1"/>
  <c r="AV29" i="2"/>
  <c r="AX29" i="2" s="1"/>
  <c r="AR29" i="2"/>
  <c r="AT29" i="2" s="1"/>
  <c r="AN29" i="2"/>
  <c r="AP29" i="2" s="1"/>
  <c r="AJ29" i="2"/>
  <c r="AL29" i="2" s="1"/>
  <c r="AF29" i="2"/>
  <c r="AH29" i="2" s="1"/>
  <c r="AB29" i="2"/>
  <c r="AD29" i="2" s="1"/>
  <c r="X29" i="2"/>
  <c r="Z29" i="2" s="1"/>
  <c r="T29" i="2"/>
  <c r="V29" i="2" s="1"/>
  <c r="P29" i="2"/>
  <c r="R29" i="2" s="1"/>
  <c r="L29" i="2"/>
  <c r="N29" i="2" s="1"/>
  <c r="H29" i="2"/>
  <c r="J29" i="2" s="1"/>
  <c r="EV28" i="2"/>
  <c r="EX28" i="2" s="1"/>
  <c r="ER28" i="2"/>
  <c r="ET28" i="2" s="1"/>
  <c r="EN28" i="2"/>
  <c r="EP28" i="2" s="1"/>
  <c r="EJ28" i="2"/>
  <c r="EL28" i="2" s="1"/>
  <c r="EF28" i="2"/>
  <c r="EH28" i="2" s="1"/>
  <c r="EB28" i="2"/>
  <c r="ED28" i="2" s="1"/>
  <c r="DX28" i="2"/>
  <c r="DZ28" i="2" s="1"/>
  <c r="DT28" i="2"/>
  <c r="DV28" i="2" s="1"/>
  <c r="DP28" i="2"/>
  <c r="DR28" i="2" s="1"/>
  <c r="DL28" i="2"/>
  <c r="DN28" i="2" s="1"/>
  <c r="DH28" i="2"/>
  <c r="DJ28" i="2" s="1"/>
  <c r="DD28" i="2"/>
  <c r="DF28" i="2" s="1"/>
  <c r="CZ28" i="2"/>
  <c r="DB28" i="2" s="1"/>
  <c r="CV28" i="2"/>
  <c r="CX28" i="2" s="1"/>
  <c r="CR28" i="2"/>
  <c r="CT28" i="2" s="1"/>
  <c r="CN28" i="2"/>
  <c r="CP28" i="2" s="1"/>
  <c r="CJ28" i="2"/>
  <c r="CL28" i="2" s="1"/>
  <c r="CF28" i="2"/>
  <c r="CH28" i="2" s="1"/>
  <c r="CB28" i="2"/>
  <c r="CD28" i="2" s="1"/>
  <c r="BX28" i="2"/>
  <c r="BZ28" i="2" s="1"/>
  <c r="BT28" i="2"/>
  <c r="BV28" i="2" s="1"/>
  <c r="BP28" i="2"/>
  <c r="BR28" i="2" s="1"/>
  <c r="BL28" i="2"/>
  <c r="BN28" i="2" s="1"/>
  <c r="BH28" i="2"/>
  <c r="BJ28" i="2" s="1"/>
  <c r="BD28" i="2"/>
  <c r="BF28" i="2" s="1"/>
  <c r="AZ28" i="2"/>
  <c r="BB28" i="2" s="1"/>
  <c r="AV28" i="2"/>
  <c r="AX28" i="2" s="1"/>
  <c r="AR28" i="2"/>
  <c r="AT28" i="2" s="1"/>
  <c r="AN28" i="2"/>
  <c r="AP28" i="2" s="1"/>
  <c r="AJ28" i="2"/>
  <c r="AF28" i="2"/>
  <c r="AH28" i="2" s="1"/>
  <c r="AB28" i="2"/>
  <c r="AD28" i="2" s="1"/>
  <c r="X28" i="2"/>
  <c r="Z28" i="2" s="1"/>
  <c r="T28" i="2"/>
  <c r="V28" i="2" s="1"/>
  <c r="P28" i="2"/>
  <c r="R28" i="2" s="1"/>
  <c r="L28" i="2"/>
  <c r="N28" i="2" s="1"/>
  <c r="H28" i="2"/>
  <c r="J28" i="2" s="1"/>
  <c r="EV27" i="2"/>
  <c r="EX27" i="2" s="1"/>
  <c r="ER27" i="2"/>
  <c r="ET27" i="2" s="1"/>
  <c r="EN27" i="2"/>
  <c r="EP27" i="2" s="1"/>
  <c r="EJ27" i="2"/>
  <c r="EL27" i="2" s="1"/>
  <c r="EF27" i="2"/>
  <c r="EH27" i="2" s="1"/>
  <c r="EB27" i="2"/>
  <c r="ED27" i="2" s="1"/>
  <c r="DX27" i="2"/>
  <c r="DT27" i="2"/>
  <c r="DP27" i="2"/>
  <c r="DR27" i="2" s="1"/>
  <c r="DL27" i="2"/>
  <c r="DN27" i="2" s="1"/>
  <c r="DH27" i="2"/>
  <c r="DD27" i="2"/>
  <c r="DF27" i="2" s="1"/>
  <c r="CZ27" i="2"/>
  <c r="DB27" i="2" s="1"/>
  <c r="CV27" i="2"/>
  <c r="CX27" i="2" s="1"/>
  <c r="CR27" i="2"/>
  <c r="CT27" i="2" s="1"/>
  <c r="CN27" i="2"/>
  <c r="CP27" i="2" s="1"/>
  <c r="CJ27" i="2"/>
  <c r="CL27" i="2" s="1"/>
  <c r="CF27" i="2"/>
  <c r="CH27" i="2" s="1"/>
  <c r="CB27" i="2"/>
  <c r="CD27" i="2" s="1"/>
  <c r="BX27" i="2"/>
  <c r="BZ27" i="2" s="1"/>
  <c r="BT27" i="2"/>
  <c r="BV27" i="2" s="1"/>
  <c r="BP27" i="2"/>
  <c r="BR27" i="2" s="1"/>
  <c r="BL27" i="2"/>
  <c r="BN27" i="2" s="1"/>
  <c r="BH27" i="2"/>
  <c r="BJ27" i="2" s="1"/>
  <c r="BD27" i="2"/>
  <c r="BF27" i="2" s="1"/>
  <c r="AZ27" i="2"/>
  <c r="BB27" i="2" s="1"/>
  <c r="AV27" i="2"/>
  <c r="AX27" i="2" s="1"/>
  <c r="AR27" i="2"/>
  <c r="AT27" i="2" s="1"/>
  <c r="AN27" i="2"/>
  <c r="AP27" i="2" s="1"/>
  <c r="AJ27" i="2"/>
  <c r="AL27" i="2" s="1"/>
  <c r="AF27" i="2"/>
  <c r="AH27" i="2" s="1"/>
  <c r="AB27" i="2"/>
  <c r="AD27" i="2" s="1"/>
  <c r="X27" i="2"/>
  <c r="Z27" i="2" s="1"/>
  <c r="T27" i="2"/>
  <c r="V27" i="2" s="1"/>
  <c r="P27" i="2"/>
  <c r="R27" i="2" s="1"/>
  <c r="L27" i="2"/>
  <c r="H27" i="2"/>
  <c r="J27" i="2" s="1"/>
  <c r="EV26" i="2"/>
  <c r="EX26" i="2" s="1"/>
  <c r="ER26" i="2"/>
  <c r="ET26" i="2" s="1"/>
  <c r="EN26" i="2"/>
  <c r="EP26" i="2" s="1"/>
  <c r="EJ26" i="2"/>
  <c r="EL26" i="2" s="1"/>
  <c r="EF26" i="2"/>
  <c r="EH26" i="2" s="1"/>
  <c r="EB26" i="2"/>
  <c r="ED26" i="2" s="1"/>
  <c r="DX26" i="2"/>
  <c r="DZ26" i="2" s="1"/>
  <c r="DT26" i="2"/>
  <c r="DV26" i="2" s="1"/>
  <c r="DP26" i="2"/>
  <c r="DR26" i="2" s="1"/>
  <c r="DL26" i="2"/>
  <c r="DN26" i="2" s="1"/>
  <c r="DH26" i="2"/>
  <c r="DJ26" i="2" s="1"/>
  <c r="DD26" i="2"/>
  <c r="DF26" i="2" s="1"/>
  <c r="CZ26" i="2"/>
  <c r="DB26" i="2" s="1"/>
  <c r="CV26" i="2"/>
  <c r="CX26" i="2" s="1"/>
  <c r="CR26" i="2"/>
  <c r="CT26" i="2" s="1"/>
  <c r="CN26" i="2"/>
  <c r="CP26" i="2" s="1"/>
  <c r="CJ26" i="2"/>
  <c r="CL26" i="2" s="1"/>
  <c r="CF26" i="2"/>
  <c r="CH26" i="2" s="1"/>
  <c r="CB26" i="2"/>
  <c r="CD26" i="2" s="1"/>
  <c r="BX26" i="2"/>
  <c r="BZ26" i="2" s="1"/>
  <c r="BT26" i="2"/>
  <c r="BV26" i="2" s="1"/>
  <c r="BP26" i="2"/>
  <c r="BR26" i="2" s="1"/>
  <c r="BL26" i="2"/>
  <c r="BN26" i="2" s="1"/>
  <c r="BH26" i="2"/>
  <c r="BJ26" i="2" s="1"/>
  <c r="BD26" i="2"/>
  <c r="BF26" i="2" s="1"/>
  <c r="AZ26" i="2"/>
  <c r="BB26" i="2" s="1"/>
  <c r="AV26" i="2"/>
  <c r="AX26" i="2" s="1"/>
  <c r="AR26" i="2"/>
  <c r="AT26" i="2" s="1"/>
  <c r="AN26" i="2"/>
  <c r="AP26" i="2" s="1"/>
  <c r="AJ26" i="2"/>
  <c r="AL26" i="2" s="1"/>
  <c r="AF26" i="2"/>
  <c r="AH26" i="2" s="1"/>
  <c r="AB26" i="2"/>
  <c r="AD26" i="2" s="1"/>
  <c r="X26" i="2"/>
  <c r="Z26" i="2" s="1"/>
  <c r="T26" i="2"/>
  <c r="V26" i="2" s="1"/>
  <c r="P26" i="2"/>
  <c r="R26" i="2" s="1"/>
  <c r="L26" i="2"/>
  <c r="N26" i="2" s="1"/>
  <c r="H26" i="2"/>
  <c r="J26" i="2" s="1"/>
  <c r="EV24" i="2"/>
  <c r="EX24" i="2" s="1"/>
  <c r="ER24" i="2"/>
  <c r="ET24" i="2" s="1"/>
  <c r="EN24" i="2"/>
  <c r="EP24" i="2" s="1"/>
  <c r="EJ24" i="2"/>
  <c r="EL24" i="2" s="1"/>
  <c r="EF24" i="2"/>
  <c r="EH24" i="2" s="1"/>
  <c r="EB24" i="2"/>
  <c r="ED24" i="2" s="1"/>
  <c r="DX24" i="2"/>
  <c r="DZ24" i="2" s="1"/>
  <c r="DT24" i="2"/>
  <c r="DV24" i="2" s="1"/>
  <c r="DP24" i="2"/>
  <c r="DR24" i="2" s="1"/>
  <c r="DL24" i="2"/>
  <c r="DN24" i="2" s="1"/>
  <c r="DH24" i="2"/>
  <c r="DJ24" i="2" s="1"/>
  <c r="DD24" i="2"/>
  <c r="DF24" i="2" s="1"/>
  <c r="CZ24" i="2"/>
  <c r="DB24" i="2" s="1"/>
  <c r="CV24" i="2"/>
  <c r="CX24" i="2" s="1"/>
  <c r="CR24" i="2"/>
  <c r="CT24" i="2" s="1"/>
  <c r="CN24" i="2"/>
  <c r="CP24" i="2" s="1"/>
  <c r="CJ24" i="2"/>
  <c r="CL24" i="2" s="1"/>
  <c r="CF24" i="2"/>
  <c r="CH24" i="2" s="1"/>
  <c r="CB24" i="2"/>
  <c r="CD24" i="2" s="1"/>
  <c r="BX24" i="2"/>
  <c r="BZ24" i="2" s="1"/>
  <c r="BT24" i="2"/>
  <c r="BV24" i="2" s="1"/>
  <c r="BP24" i="2"/>
  <c r="BR24" i="2" s="1"/>
  <c r="BL24" i="2"/>
  <c r="BN24" i="2" s="1"/>
  <c r="BH24" i="2"/>
  <c r="BJ24" i="2" s="1"/>
  <c r="BD24" i="2"/>
  <c r="BF24" i="2" s="1"/>
  <c r="AV24" i="2"/>
  <c r="AX24" i="2" s="1"/>
  <c r="AR24" i="2"/>
  <c r="AT24" i="2" s="1"/>
  <c r="AN24" i="2"/>
  <c r="AP24" i="2" s="1"/>
  <c r="AJ24" i="2"/>
  <c r="AL24" i="2" s="1"/>
  <c r="AF24" i="2"/>
  <c r="AH24" i="2" s="1"/>
  <c r="AB24" i="2"/>
  <c r="AD24" i="2" s="1"/>
  <c r="X24" i="2"/>
  <c r="Z24" i="2" s="1"/>
  <c r="T24" i="2"/>
  <c r="V24" i="2" s="1"/>
  <c r="P24" i="2"/>
  <c r="R24" i="2" s="1"/>
  <c r="L24" i="2"/>
  <c r="N24" i="2" s="1"/>
  <c r="H24" i="2"/>
  <c r="J24" i="2" s="1"/>
  <c r="EV22" i="2"/>
  <c r="EX22" i="2" s="1"/>
  <c r="ER22" i="2"/>
  <c r="ET22" i="2" s="1"/>
  <c r="EN22" i="2"/>
  <c r="EP22" i="2" s="1"/>
  <c r="EJ22" i="2"/>
  <c r="EL22" i="2" s="1"/>
  <c r="EF22" i="2"/>
  <c r="EH22" i="2" s="1"/>
  <c r="EB22" i="2"/>
  <c r="ED22" i="2" s="1"/>
  <c r="DX22" i="2"/>
  <c r="DZ22" i="2" s="1"/>
  <c r="DT22" i="2"/>
  <c r="DV22" i="2" s="1"/>
  <c r="DP22" i="2"/>
  <c r="DR22" i="2" s="1"/>
  <c r="DL22" i="2"/>
  <c r="DN22" i="2" s="1"/>
  <c r="DH22" i="2"/>
  <c r="DJ22" i="2" s="1"/>
  <c r="DD22" i="2"/>
  <c r="DF22" i="2" s="1"/>
  <c r="CZ22" i="2"/>
  <c r="DB22" i="2" s="1"/>
  <c r="CV22" i="2"/>
  <c r="CX22" i="2" s="1"/>
  <c r="CR22" i="2"/>
  <c r="CT22" i="2" s="1"/>
  <c r="CN22" i="2"/>
  <c r="CP22" i="2" s="1"/>
  <c r="CJ22" i="2"/>
  <c r="CL22" i="2" s="1"/>
  <c r="CF22" i="2"/>
  <c r="CH22" i="2" s="1"/>
  <c r="CB22" i="2"/>
  <c r="CD22" i="2" s="1"/>
  <c r="BX22" i="2"/>
  <c r="BZ22" i="2" s="1"/>
  <c r="BT22" i="2"/>
  <c r="BV22" i="2" s="1"/>
  <c r="BP22" i="2"/>
  <c r="BR22" i="2" s="1"/>
  <c r="BL22" i="2"/>
  <c r="BN22" i="2" s="1"/>
  <c r="BH22" i="2"/>
  <c r="BJ22" i="2" s="1"/>
  <c r="BD22" i="2"/>
  <c r="BF22" i="2" s="1"/>
  <c r="AZ22" i="2"/>
  <c r="BB22" i="2" s="1"/>
  <c r="AV22" i="2"/>
  <c r="AX22" i="2" s="1"/>
  <c r="AR22" i="2"/>
  <c r="AT22" i="2" s="1"/>
  <c r="AN22" i="2"/>
  <c r="AP22" i="2" s="1"/>
  <c r="AJ22" i="2"/>
  <c r="AL22" i="2" s="1"/>
  <c r="AF22" i="2"/>
  <c r="AH22" i="2" s="1"/>
  <c r="AB22" i="2"/>
  <c r="AD22" i="2" s="1"/>
  <c r="X22" i="2"/>
  <c r="Z22" i="2" s="1"/>
  <c r="T22" i="2"/>
  <c r="V22" i="2" s="1"/>
  <c r="P22" i="2"/>
  <c r="R22" i="2" s="1"/>
  <c r="L22" i="2"/>
  <c r="N22" i="2" s="1"/>
  <c r="H22" i="2"/>
  <c r="J22" i="2" s="1"/>
  <c r="EV21" i="2"/>
  <c r="EX21" i="2" s="1"/>
  <c r="ER21" i="2"/>
  <c r="ET21" i="2" s="1"/>
  <c r="EN21" i="2"/>
  <c r="EP21" i="2" s="1"/>
  <c r="EJ21" i="2"/>
  <c r="EL21" i="2" s="1"/>
  <c r="EF21" i="2"/>
  <c r="EH21" i="2" s="1"/>
  <c r="EB21" i="2"/>
  <c r="ED21" i="2" s="1"/>
  <c r="DX21" i="2"/>
  <c r="DZ21" i="2" s="1"/>
  <c r="DT21" i="2"/>
  <c r="DV21" i="2" s="1"/>
  <c r="DP21" i="2"/>
  <c r="DR21" i="2" s="1"/>
  <c r="DL21" i="2"/>
  <c r="DN21" i="2" s="1"/>
  <c r="DH21" i="2"/>
  <c r="DJ21" i="2" s="1"/>
  <c r="DD21" i="2"/>
  <c r="DF21" i="2" s="1"/>
  <c r="CZ21" i="2"/>
  <c r="DB21" i="2" s="1"/>
  <c r="CV21" i="2"/>
  <c r="CX21" i="2" s="1"/>
  <c r="CR21" i="2"/>
  <c r="CT21" i="2" s="1"/>
  <c r="CN21" i="2"/>
  <c r="CP21" i="2" s="1"/>
  <c r="CJ21" i="2"/>
  <c r="CL21" i="2" s="1"/>
  <c r="CF21" i="2"/>
  <c r="CH21" i="2" s="1"/>
  <c r="CB21" i="2"/>
  <c r="CD21" i="2" s="1"/>
  <c r="BX21" i="2"/>
  <c r="BZ21" i="2" s="1"/>
  <c r="BT21" i="2"/>
  <c r="BV21" i="2" s="1"/>
  <c r="BP21" i="2"/>
  <c r="BR21" i="2" s="1"/>
  <c r="BL21" i="2"/>
  <c r="BN21" i="2" s="1"/>
  <c r="BH21" i="2"/>
  <c r="BJ21" i="2" s="1"/>
  <c r="BF21" i="2"/>
  <c r="AZ21" i="2"/>
  <c r="BB21" i="2" s="1"/>
  <c r="AV21" i="2"/>
  <c r="AX21" i="2" s="1"/>
  <c r="AR21" i="2"/>
  <c r="AT21" i="2" s="1"/>
  <c r="AN21" i="2"/>
  <c r="AP21" i="2" s="1"/>
  <c r="AJ21" i="2"/>
  <c r="AL21" i="2" s="1"/>
  <c r="AF21" i="2"/>
  <c r="AH21" i="2" s="1"/>
  <c r="AB21" i="2"/>
  <c r="AD21" i="2" s="1"/>
  <c r="X21" i="2"/>
  <c r="Z21" i="2" s="1"/>
  <c r="T21" i="2"/>
  <c r="V21" i="2" s="1"/>
  <c r="P21" i="2"/>
  <c r="R21" i="2" s="1"/>
  <c r="L21" i="2"/>
  <c r="N21" i="2" s="1"/>
  <c r="H21" i="2"/>
  <c r="J21" i="2" s="1"/>
  <c r="EV20" i="2"/>
  <c r="EX20" i="2" s="1"/>
  <c r="ER20" i="2"/>
  <c r="ET20" i="2" s="1"/>
  <c r="EN20" i="2"/>
  <c r="EP20" i="2" s="1"/>
  <c r="EJ20" i="2"/>
  <c r="EL20" i="2" s="1"/>
  <c r="EF20" i="2"/>
  <c r="EH20" i="2" s="1"/>
  <c r="EB20" i="2"/>
  <c r="ED20" i="2" s="1"/>
  <c r="DX20" i="2"/>
  <c r="DZ20" i="2" s="1"/>
  <c r="DT20" i="2"/>
  <c r="DV20" i="2" s="1"/>
  <c r="DP20" i="2"/>
  <c r="DR20" i="2" s="1"/>
  <c r="DL20" i="2"/>
  <c r="DN20" i="2" s="1"/>
  <c r="DH20" i="2"/>
  <c r="DJ20" i="2" s="1"/>
  <c r="DD20" i="2"/>
  <c r="DF20" i="2" s="1"/>
  <c r="CZ20" i="2"/>
  <c r="DB20" i="2" s="1"/>
  <c r="CV20" i="2"/>
  <c r="CX20" i="2" s="1"/>
  <c r="CR20" i="2"/>
  <c r="CT20" i="2" s="1"/>
  <c r="CN20" i="2"/>
  <c r="CP20" i="2" s="1"/>
  <c r="CJ20" i="2"/>
  <c r="CL20" i="2" s="1"/>
  <c r="CF20" i="2"/>
  <c r="CH20" i="2" s="1"/>
  <c r="CB20" i="2"/>
  <c r="CD20" i="2" s="1"/>
  <c r="BX20" i="2"/>
  <c r="BZ20" i="2" s="1"/>
  <c r="BT20" i="2"/>
  <c r="BV20" i="2" s="1"/>
  <c r="BP20" i="2"/>
  <c r="BR20" i="2" s="1"/>
  <c r="BL20" i="2"/>
  <c r="BN20" i="2" s="1"/>
  <c r="BH20" i="2"/>
  <c r="BJ20" i="2" s="1"/>
  <c r="BD20" i="2"/>
  <c r="BF20" i="2" s="1"/>
  <c r="AZ20" i="2"/>
  <c r="BB20" i="2" s="1"/>
  <c r="AV20" i="2"/>
  <c r="AX20" i="2" s="1"/>
  <c r="AR20" i="2"/>
  <c r="AT20" i="2" s="1"/>
  <c r="AN20" i="2"/>
  <c r="AP20" i="2" s="1"/>
  <c r="AJ20" i="2"/>
  <c r="AL20" i="2" s="1"/>
  <c r="AF20" i="2"/>
  <c r="AH20" i="2" s="1"/>
  <c r="AB20" i="2"/>
  <c r="AD20" i="2" s="1"/>
  <c r="X20" i="2"/>
  <c r="Z20" i="2" s="1"/>
  <c r="T20" i="2"/>
  <c r="V20" i="2" s="1"/>
  <c r="P20" i="2"/>
  <c r="R20" i="2" s="1"/>
  <c r="L20" i="2"/>
  <c r="N20" i="2" s="1"/>
  <c r="H20" i="2"/>
  <c r="J20" i="2" s="1"/>
  <c r="EV19" i="2"/>
  <c r="EX19" i="2" s="1"/>
  <c r="ER19" i="2"/>
  <c r="ET19" i="2" s="1"/>
  <c r="EN19" i="2"/>
  <c r="EP19" i="2" s="1"/>
  <c r="EJ19" i="2"/>
  <c r="EL19" i="2" s="1"/>
  <c r="EF19" i="2"/>
  <c r="EH19" i="2" s="1"/>
  <c r="EB19" i="2"/>
  <c r="ED19" i="2" s="1"/>
  <c r="DX19" i="2"/>
  <c r="DZ19" i="2" s="1"/>
  <c r="DT19" i="2"/>
  <c r="DV19" i="2" s="1"/>
  <c r="DP19" i="2"/>
  <c r="DR19" i="2" s="1"/>
  <c r="DL19" i="2"/>
  <c r="DN19" i="2" s="1"/>
  <c r="DH19" i="2"/>
  <c r="DJ19" i="2" s="1"/>
  <c r="DD19" i="2"/>
  <c r="DF19" i="2" s="1"/>
  <c r="CZ19" i="2"/>
  <c r="DB19" i="2" s="1"/>
  <c r="CV19" i="2"/>
  <c r="CX19" i="2" s="1"/>
  <c r="CR19" i="2"/>
  <c r="CT19" i="2" s="1"/>
  <c r="CN19" i="2"/>
  <c r="CP19" i="2" s="1"/>
  <c r="CJ19" i="2"/>
  <c r="CL19" i="2" s="1"/>
  <c r="CF19" i="2"/>
  <c r="CH19" i="2" s="1"/>
  <c r="CB19" i="2"/>
  <c r="CD19" i="2" s="1"/>
  <c r="BX19" i="2"/>
  <c r="BZ19" i="2" s="1"/>
  <c r="BT19" i="2"/>
  <c r="BV19" i="2" s="1"/>
  <c r="BP19" i="2"/>
  <c r="BR19" i="2" s="1"/>
  <c r="BL19" i="2"/>
  <c r="BN19" i="2" s="1"/>
  <c r="BH19" i="2"/>
  <c r="BJ19" i="2" s="1"/>
  <c r="BD19" i="2"/>
  <c r="BF19" i="2" s="1"/>
  <c r="AZ19" i="2"/>
  <c r="BB19" i="2" s="1"/>
  <c r="AV19" i="2"/>
  <c r="AX19" i="2" s="1"/>
  <c r="AR19" i="2"/>
  <c r="AT19" i="2" s="1"/>
  <c r="AN19" i="2"/>
  <c r="AP19" i="2" s="1"/>
  <c r="AJ19" i="2"/>
  <c r="AL19" i="2" s="1"/>
  <c r="AF19" i="2"/>
  <c r="AH19" i="2" s="1"/>
  <c r="AB19" i="2"/>
  <c r="AD19" i="2" s="1"/>
  <c r="X19" i="2"/>
  <c r="Z19" i="2" s="1"/>
  <c r="T19" i="2"/>
  <c r="V19" i="2" s="1"/>
  <c r="P19" i="2"/>
  <c r="R19" i="2" s="1"/>
  <c r="L19" i="2"/>
  <c r="N19" i="2" s="1"/>
  <c r="H19" i="2"/>
  <c r="J19" i="2" s="1"/>
  <c r="EV18" i="2"/>
  <c r="EX18" i="2" s="1"/>
  <c r="ER18" i="2"/>
  <c r="ET18" i="2" s="1"/>
  <c r="EN18" i="2"/>
  <c r="EP18" i="2" s="1"/>
  <c r="EJ18" i="2"/>
  <c r="EL18" i="2" s="1"/>
  <c r="EF18" i="2"/>
  <c r="EH18" i="2" s="1"/>
  <c r="EB18" i="2"/>
  <c r="ED18" i="2" s="1"/>
  <c r="DX18" i="2"/>
  <c r="DZ18" i="2" s="1"/>
  <c r="DT18" i="2"/>
  <c r="DV18" i="2" s="1"/>
  <c r="DP18" i="2"/>
  <c r="DR18" i="2" s="1"/>
  <c r="DL18" i="2"/>
  <c r="DN18" i="2" s="1"/>
  <c r="DH18" i="2"/>
  <c r="DJ18" i="2" s="1"/>
  <c r="DD18" i="2"/>
  <c r="DF18" i="2" s="1"/>
  <c r="CZ18" i="2"/>
  <c r="DB18" i="2" s="1"/>
  <c r="CV18" i="2"/>
  <c r="CX18" i="2" s="1"/>
  <c r="CR18" i="2"/>
  <c r="CT18" i="2" s="1"/>
  <c r="CN18" i="2"/>
  <c r="CP18" i="2" s="1"/>
  <c r="CJ18" i="2"/>
  <c r="CL18" i="2" s="1"/>
  <c r="CF18" i="2"/>
  <c r="CH18" i="2" s="1"/>
  <c r="CB18" i="2"/>
  <c r="CD18" i="2" s="1"/>
  <c r="BX18" i="2"/>
  <c r="BZ18" i="2" s="1"/>
  <c r="BT18" i="2"/>
  <c r="BV18" i="2" s="1"/>
  <c r="BP18" i="2"/>
  <c r="BR18" i="2" s="1"/>
  <c r="BL18" i="2"/>
  <c r="BN18" i="2" s="1"/>
  <c r="BH18" i="2"/>
  <c r="BJ18" i="2" s="1"/>
  <c r="BF18" i="2"/>
  <c r="AZ18" i="2"/>
  <c r="BB18" i="2" s="1"/>
  <c r="AV18" i="2"/>
  <c r="AX18" i="2" s="1"/>
  <c r="AR18" i="2"/>
  <c r="AT18" i="2" s="1"/>
  <c r="AN18" i="2"/>
  <c r="AP18" i="2" s="1"/>
  <c r="AJ18" i="2"/>
  <c r="AL18" i="2" s="1"/>
  <c r="AF18" i="2"/>
  <c r="AH18" i="2" s="1"/>
  <c r="AB18" i="2"/>
  <c r="AD18" i="2" s="1"/>
  <c r="X18" i="2"/>
  <c r="Z18" i="2" s="1"/>
  <c r="T18" i="2"/>
  <c r="V18" i="2" s="1"/>
  <c r="P18" i="2"/>
  <c r="R18" i="2" s="1"/>
  <c r="L18" i="2"/>
  <c r="N18" i="2" s="1"/>
  <c r="H18" i="2"/>
  <c r="J18" i="2" s="1"/>
  <c r="EV17" i="2"/>
  <c r="EX17" i="2" s="1"/>
  <c r="ER17" i="2"/>
  <c r="ET17" i="2" s="1"/>
  <c r="EN17" i="2"/>
  <c r="EP17" i="2" s="1"/>
  <c r="EJ17" i="2"/>
  <c r="EL17" i="2" s="1"/>
  <c r="EF17" i="2"/>
  <c r="EH17" i="2" s="1"/>
  <c r="EB17" i="2"/>
  <c r="DX17" i="2"/>
  <c r="DZ17" i="2" s="1"/>
  <c r="DT17" i="2"/>
  <c r="DV17" i="2" s="1"/>
  <c r="DP17" i="2"/>
  <c r="DR17" i="2" s="1"/>
  <c r="DL17" i="2"/>
  <c r="DN17" i="2" s="1"/>
  <c r="DH17" i="2"/>
  <c r="DJ17" i="2" s="1"/>
  <c r="DD17" i="2"/>
  <c r="DF17" i="2" s="1"/>
  <c r="CZ17" i="2"/>
  <c r="DB17" i="2" s="1"/>
  <c r="CV17" i="2"/>
  <c r="CX17" i="2" s="1"/>
  <c r="CR17" i="2"/>
  <c r="CT17" i="2" s="1"/>
  <c r="CN17" i="2"/>
  <c r="CP17" i="2" s="1"/>
  <c r="CJ17" i="2"/>
  <c r="CL17" i="2" s="1"/>
  <c r="CF17" i="2"/>
  <c r="CH17" i="2" s="1"/>
  <c r="CB17" i="2"/>
  <c r="CD17" i="2" s="1"/>
  <c r="BX17" i="2"/>
  <c r="BZ17" i="2" s="1"/>
  <c r="BT17" i="2"/>
  <c r="BV17" i="2" s="1"/>
  <c r="BP17" i="2"/>
  <c r="BR17" i="2" s="1"/>
  <c r="BL17" i="2"/>
  <c r="BN17" i="2" s="1"/>
  <c r="BH17" i="2"/>
  <c r="BJ17" i="2" s="1"/>
  <c r="BF17" i="2"/>
  <c r="AZ17" i="2"/>
  <c r="BB17" i="2" s="1"/>
  <c r="AV17" i="2"/>
  <c r="AX17" i="2" s="1"/>
  <c r="AR17" i="2"/>
  <c r="AT17" i="2" s="1"/>
  <c r="AN17" i="2"/>
  <c r="AP17" i="2" s="1"/>
  <c r="AJ17" i="2"/>
  <c r="AL17" i="2" s="1"/>
  <c r="AF17" i="2"/>
  <c r="AH17" i="2" s="1"/>
  <c r="AB17" i="2"/>
  <c r="AD17" i="2" s="1"/>
  <c r="X17" i="2"/>
  <c r="Z17" i="2" s="1"/>
  <c r="V17" i="2"/>
  <c r="P17" i="2"/>
  <c r="R17" i="2" s="1"/>
  <c r="L17" i="2"/>
  <c r="N17" i="2" s="1"/>
  <c r="H17" i="2"/>
  <c r="J17" i="2" s="1"/>
  <c r="EV16" i="2"/>
  <c r="EX16" i="2" s="1"/>
  <c r="ER16" i="2"/>
  <c r="ET16" i="2" s="1"/>
  <c r="EN16" i="2"/>
  <c r="EP16" i="2" s="1"/>
  <c r="EJ16" i="2"/>
  <c r="EL16" i="2" s="1"/>
  <c r="EF16" i="2"/>
  <c r="EH16" i="2" s="1"/>
  <c r="EB16" i="2"/>
  <c r="DX16" i="2"/>
  <c r="DZ16" i="2" s="1"/>
  <c r="DT16" i="2"/>
  <c r="DV16" i="2" s="1"/>
  <c r="DP16" i="2"/>
  <c r="DR16" i="2" s="1"/>
  <c r="DL16" i="2"/>
  <c r="DN16" i="2" s="1"/>
  <c r="DH16" i="2"/>
  <c r="DJ16" i="2" s="1"/>
  <c r="DD16" i="2"/>
  <c r="DF16" i="2" s="1"/>
  <c r="CZ16" i="2"/>
  <c r="DB16" i="2" s="1"/>
  <c r="CV16" i="2"/>
  <c r="CX16" i="2" s="1"/>
  <c r="CR16" i="2"/>
  <c r="CT16" i="2" s="1"/>
  <c r="CN16" i="2"/>
  <c r="CP16" i="2" s="1"/>
  <c r="CJ16" i="2"/>
  <c r="CL16" i="2" s="1"/>
  <c r="CF16" i="2"/>
  <c r="CH16" i="2" s="1"/>
  <c r="CB16" i="2"/>
  <c r="CD16" i="2" s="1"/>
  <c r="BX16" i="2"/>
  <c r="BZ16" i="2" s="1"/>
  <c r="BT16" i="2"/>
  <c r="BV16" i="2" s="1"/>
  <c r="BP16" i="2"/>
  <c r="BR16" i="2" s="1"/>
  <c r="BL16" i="2"/>
  <c r="BN16" i="2" s="1"/>
  <c r="BH16" i="2"/>
  <c r="BJ16" i="2" s="1"/>
  <c r="BF16" i="2"/>
  <c r="AZ16" i="2"/>
  <c r="BB16" i="2" s="1"/>
  <c r="AV16" i="2"/>
  <c r="AX16" i="2" s="1"/>
  <c r="AR16" i="2"/>
  <c r="AT16" i="2" s="1"/>
  <c r="AN16" i="2"/>
  <c r="AP16" i="2" s="1"/>
  <c r="AJ16" i="2"/>
  <c r="AL16" i="2" s="1"/>
  <c r="AF16" i="2"/>
  <c r="AH16" i="2" s="1"/>
  <c r="AB16" i="2"/>
  <c r="AD16" i="2" s="1"/>
  <c r="X16" i="2"/>
  <c r="Z16" i="2" s="1"/>
  <c r="T16" i="2"/>
  <c r="V16" i="2" s="1"/>
  <c r="P16" i="2"/>
  <c r="R16" i="2" s="1"/>
  <c r="L16" i="2"/>
  <c r="N16" i="2" s="1"/>
  <c r="H16" i="2"/>
  <c r="J16" i="2" s="1"/>
  <c r="EV15" i="2"/>
  <c r="EX15" i="2" s="1"/>
  <c r="ER15" i="2"/>
  <c r="ET15" i="2" s="1"/>
  <c r="EN15" i="2"/>
  <c r="EP15" i="2" s="1"/>
  <c r="EJ15" i="2"/>
  <c r="EL15" i="2" s="1"/>
  <c r="EF15" i="2"/>
  <c r="EH15" i="2" s="1"/>
  <c r="EB15" i="2"/>
  <c r="DX15" i="2"/>
  <c r="DZ15" i="2" s="1"/>
  <c r="DT15" i="2"/>
  <c r="DV15" i="2" s="1"/>
  <c r="DP15" i="2"/>
  <c r="DR15" i="2" s="1"/>
  <c r="DL15" i="2"/>
  <c r="DN15" i="2" s="1"/>
  <c r="DH15" i="2"/>
  <c r="DJ15" i="2" s="1"/>
  <c r="DD15" i="2"/>
  <c r="DF15" i="2" s="1"/>
  <c r="CZ15" i="2"/>
  <c r="DB15" i="2" s="1"/>
  <c r="CV15" i="2"/>
  <c r="CX15" i="2" s="1"/>
  <c r="CR15" i="2"/>
  <c r="CT15" i="2" s="1"/>
  <c r="CN15" i="2"/>
  <c r="CP15" i="2" s="1"/>
  <c r="CJ15" i="2"/>
  <c r="CL15" i="2" s="1"/>
  <c r="CF15" i="2"/>
  <c r="CH15" i="2" s="1"/>
  <c r="CB15" i="2"/>
  <c r="CD15" i="2" s="1"/>
  <c r="BX15" i="2"/>
  <c r="BZ15" i="2" s="1"/>
  <c r="BT15" i="2"/>
  <c r="BV15" i="2" s="1"/>
  <c r="BP15" i="2"/>
  <c r="BR15" i="2" s="1"/>
  <c r="BL15" i="2"/>
  <c r="BN15" i="2" s="1"/>
  <c r="BH15" i="2"/>
  <c r="BJ15" i="2" s="1"/>
  <c r="BF15" i="2"/>
  <c r="AZ15" i="2"/>
  <c r="BB15" i="2" s="1"/>
  <c r="AV15" i="2"/>
  <c r="AX15" i="2" s="1"/>
  <c r="AR15" i="2"/>
  <c r="AT15" i="2" s="1"/>
  <c r="AN15" i="2"/>
  <c r="AP15" i="2" s="1"/>
  <c r="AJ15" i="2"/>
  <c r="AL15" i="2" s="1"/>
  <c r="AF15" i="2"/>
  <c r="AH15" i="2" s="1"/>
  <c r="AB15" i="2"/>
  <c r="AD15" i="2" s="1"/>
  <c r="X15" i="2"/>
  <c r="Z15" i="2" s="1"/>
  <c r="V15" i="2"/>
  <c r="P15" i="2"/>
  <c r="R15" i="2" s="1"/>
  <c r="L15" i="2"/>
  <c r="N15" i="2" s="1"/>
  <c r="H15" i="2"/>
  <c r="J15" i="2" s="1"/>
  <c r="EV14" i="2"/>
  <c r="EX14" i="2" s="1"/>
  <c r="ER14" i="2"/>
  <c r="ET14" i="2" s="1"/>
  <c r="EN14" i="2"/>
  <c r="EP14" i="2" s="1"/>
  <c r="EJ14" i="2"/>
  <c r="EL14" i="2" s="1"/>
  <c r="EF14" i="2"/>
  <c r="EH14" i="2" s="1"/>
  <c r="EB14" i="2"/>
  <c r="ED14" i="2" s="1"/>
  <c r="DX14" i="2"/>
  <c r="DZ14" i="2" s="1"/>
  <c r="DT14" i="2"/>
  <c r="DV14" i="2" s="1"/>
  <c r="DP14" i="2"/>
  <c r="DR14" i="2" s="1"/>
  <c r="DL14" i="2"/>
  <c r="DN14" i="2" s="1"/>
  <c r="DH14" i="2"/>
  <c r="DJ14" i="2" s="1"/>
  <c r="DD14" i="2"/>
  <c r="DF14" i="2" s="1"/>
  <c r="CZ14" i="2"/>
  <c r="DB14" i="2" s="1"/>
  <c r="CV14" i="2"/>
  <c r="CX14" i="2" s="1"/>
  <c r="CR14" i="2"/>
  <c r="CT14" i="2" s="1"/>
  <c r="CN14" i="2"/>
  <c r="CP14" i="2" s="1"/>
  <c r="CJ14" i="2"/>
  <c r="CL14" i="2" s="1"/>
  <c r="CF14" i="2"/>
  <c r="CH14" i="2" s="1"/>
  <c r="CB14" i="2"/>
  <c r="CD14" i="2" s="1"/>
  <c r="BX14" i="2"/>
  <c r="BZ14" i="2" s="1"/>
  <c r="BT14" i="2"/>
  <c r="BV14" i="2" s="1"/>
  <c r="BP14" i="2"/>
  <c r="BR14" i="2" s="1"/>
  <c r="BL14" i="2"/>
  <c r="BN14" i="2" s="1"/>
  <c r="BH14" i="2"/>
  <c r="BJ14" i="2" s="1"/>
  <c r="BD14" i="2"/>
  <c r="BF14" i="2" s="1"/>
  <c r="AZ14" i="2"/>
  <c r="BB14" i="2" s="1"/>
  <c r="AV14" i="2"/>
  <c r="AX14" i="2" s="1"/>
  <c r="AR14" i="2"/>
  <c r="AT14" i="2" s="1"/>
  <c r="AN14" i="2"/>
  <c r="AP14" i="2" s="1"/>
  <c r="AJ14" i="2"/>
  <c r="AL14" i="2" s="1"/>
  <c r="AF14" i="2"/>
  <c r="AH14" i="2" s="1"/>
  <c r="AB14" i="2"/>
  <c r="AD14" i="2" s="1"/>
  <c r="X14" i="2"/>
  <c r="Z14" i="2" s="1"/>
  <c r="T14" i="2"/>
  <c r="V14" i="2" s="1"/>
  <c r="P14" i="2"/>
  <c r="R14" i="2" s="1"/>
  <c r="L14" i="2"/>
  <c r="N14" i="2" s="1"/>
  <c r="H14" i="2"/>
  <c r="J14" i="2" s="1"/>
  <c r="EV13" i="2"/>
  <c r="EX13" i="2" s="1"/>
  <c r="ER13" i="2"/>
  <c r="ET13" i="2" s="1"/>
  <c r="EN13" i="2"/>
  <c r="EP13" i="2" s="1"/>
  <c r="EJ13" i="2"/>
  <c r="EL13" i="2" s="1"/>
  <c r="EF13" i="2"/>
  <c r="EH13" i="2" s="1"/>
  <c r="EB13" i="2"/>
  <c r="ED13" i="2" s="1"/>
  <c r="DX13" i="2"/>
  <c r="DZ13" i="2" s="1"/>
  <c r="DT13" i="2"/>
  <c r="DV13" i="2" s="1"/>
  <c r="DP13" i="2"/>
  <c r="DR13" i="2" s="1"/>
  <c r="DL13" i="2"/>
  <c r="DN13" i="2" s="1"/>
  <c r="DH13" i="2"/>
  <c r="DJ13" i="2" s="1"/>
  <c r="DD13" i="2"/>
  <c r="DF13" i="2" s="1"/>
  <c r="CZ13" i="2"/>
  <c r="DB13" i="2" s="1"/>
  <c r="CV13" i="2"/>
  <c r="CX13" i="2" s="1"/>
  <c r="CR13" i="2"/>
  <c r="CT13" i="2" s="1"/>
  <c r="CN13" i="2"/>
  <c r="CP13" i="2" s="1"/>
  <c r="CJ13" i="2"/>
  <c r="CL13" i="2" s="1"/>
  <c r="CF13" i="2"/>
  <c r="CH13" i="2" s="1"/>
  <c r="CB13" i="2"/>
  <c r="CD13" i="2" s="1"/>
  <c r="BX13" i="2"/>
  <c r="BZ13" i="2" s="1"/>
  <c r="BT13" i="2"/>
  <c r="BV13" i="2" s="1"/>
  <c r="BP13" i="2"/>
  <c r="BR13" i="2" s="1"/>
  <c r="BL13" i="2"/>
  <c r="BN13" i="2" s="1"/>
  <c r="BH13" i="2"/>
  <c r="BJ13" i="2" s="1"/>
  <c r="BD13" i="2"/>
  <c r="BF13" i="2" s="1"/>
  <c r="AZ13" i="2"/>
  <c r="BB13" i="2" s="1"/>
  <c r="AV13" i="2"/>
  <c r="AX13" i="2" s="1"/>
  <c r="AR13" i="2"/>
  <c r="AT13" i="2" s="1"/>
  <c r="AN13" i="2"/>
  <c r="AP13" i="2" s="1"/>
  <c r="AJ13" i="2"/>
  <c r="AL13" i="2" s="1"/>
  <c r="AF13" i="2"/>
  <c r="AH13" i="2" s="1"/>
  <c r="AB13" i="2"/>
  <c r="AD13" i="2" s="1"/>
  <c r="X13" i="2"/>
  <c r="Z13" i="2" s="1"/>
  <c r="T13" i="2"/>
  <c r="V13" i="2" s="1"/>
  <c r="P13" i="2"/>
  <c r="R13" i="2" s="1"/>
  <c r="L13" i="2"/>
  <c r="N13" i="2" s="1"/>
  <c r="H13" i="2"/>
  <c r="J13" i="2" s="1"/>
  <c r="EU12" i="2"/>
  <c r="EU23" i="2" s="1"/>
  <c r="EV23" i="2" s="1"/>
  <c r="EX23" i="2" s="1"/>
  <c r="ES12" i="2"/>
  <c r="ES23" i="2" s="1"/>
  <c r="EQ12" i="2"/>
  <c r="EQ23" i="2" s="1"/>
  <c r="ER23" i="2" s="1"/>
  <c r="ET23" i="2" s="1"/>
  <c r="EO12" i="2"/>
  <c r="EM12" i="2"/>
  <c r="EM23" i="2" s="1"/>
  <c r="EK12" i="2"/>
  <c r="EI12" i="2"/>
  <c r="EG12" i="2"/>
  <c r="EE12" i="2"/>
  <c r="EC12" i="2"/>
  <c r="EA12" i="2"/>
  <c r="EA23" i="2" s="1"/>
  <c r="DY12" i="2"/>
  <c r="DY23" i="2" s="1"/>
  <c r="DW12" i="2"/>
  <c r="DW23" i="2" s="1"/>
  <c r="DX23" i="2" s="1"/>
  <c r="DU12" i="2"/>
  <c r="DU23" i="2" s="1"/>
  <c r="DS12" i="2"/>
  <c r="DQ12" i="2"/>
  <c r="DO12" i="2"/>
  <c r="DO23" i="2" s="1"/>
  <c r="DM12" i="2"/>
  <c r="DK12" i="2"/>
  <c r="DK23" i="2" s="1"/>
  <c r="DI12" i="2"/>
  <c r="DI23" i="2" s="1"/>
  <c r="DG12" i="2"/>
  <c r="DG23" i="2" s="1"/>
  <c r="DH23" i="2" s="1"/>
  <c r="DE12" i="2"/>
  <c r="DE23" i="2" s="1"/>
  <c r="DC12" i="2"/>
  <c r="DA12" i="2"/>
  <c r="CY12" i="2"/>
  <c r="CY23" i="2" s="1"/>
  <c r="CW12" i="2"/>
  <c r="CW23" i="2" s="1"/>
  <c r="CU12" i="2"/>
  <c r="CU23" i="2" s="1"/>
  <c r="CV23" i="2" s="1"/>
  <c r="CX23" i="2" s="1"/>
  <c r="CS12" i="2"/>
  <c r="CS23" i="2" s="1"/>
  <c r="CQ12" i="2"/>
  <c r="CO12" i="2"/>
  <c r="CO23" i="2" s="1"/>
  <c r="CM12" i="2"/>
  <c r="CM23" i="2" s="1"/>
  <c r="CN23" i="2" s="1"/>
  <c r="CP23" i="2" s="1"/>
  <c r="CK12" i="2"/>
  <c r="CK23" i="2" s="1"/>
  <c r="CI12" i="2"/>
  <c r="CI23" i="2" s="1"/>
  <c r="CJ23" i="2" s="1"/>
  <c r="CL23" i="2" s="1"/>
  <c r="CG12" i="2"/>
  <c r="CG23" i="2" s="1"/>
  <c r="CE12" i="2"/>
  <c r="CE23" i="2" s="1"/>
  <c r="CF23" i="2" s="1"/>
  <c r="CH23" i="2" s="1"/>
  <c r="CC12" i="2"/>
  <c r="CC23" i="2" s="1"/>
  <c r="CA12" i="2"/>
  <c r="BY12" i="2"/>
  <c r="BY23" i="2" s="1"/>
  <c r="BW12" i="2"/>
  <c r="BW23" i="2" s="1"/>
  <c r="BX23" i="2" s="1"/>
  <c r="BZ23" i="2" s="1"/>
  <c r="BU12" i="2"/>
  <c r="BU23" i="2" s="1"/>
  <c r="BS12" i="2"/>
  <c r="BS23" i="2" s="1"/>
  <c r="BT23" i="2" s="1"/>
  <c r="BV23" i="2" s="1"/>
  <c r="BQ12" i="2"/>
  <c r="BQ23" i="2" s="1"/>
  <c r="BO12" i="2"/>
  <c r="BO23" i="2" s="1"/>
  <c r="BP23" i="2" s="1"/>
  <c r="BR23" i="2" s="1"/>
  <c r="BM12" i="2"/>
  <c r="BM23" i="2" s="1"/>
  <c r="BK12" i="2"/>
  <c r="BI12" i="2"/>
  <c r="BG12" i="2"/>
  <c r="BG23" i="2" s="1"/>
  <c r="BE12" i="2"/>
  <c r="BC12" i="2"/>
  <c r="BC23" i="2" s="1"/>
  <c r="BA12" i="2"/>
  <c r="AY12" i="2"/>
  <c r="AY23" i="2" s="1"/>
  <c r="AW12" i="2"/>
  <c r="AU12" i="2"/>
  <c r="AS12" i="2"/>
  <c r="AQ12" i="2"/>
  <c r="AQ23" i="2" s="1"/>
  <c r="AO12" i="2"/>
  <c r="AM12" i="2"/>
  <c r="AM23" i="2" s="1"/>
  <c r="AK12" i="2"/>
  <c r="AI12" i="2"/>
  <c r="AI23" i="2" s="1"/>
  <c r="AG12" i="2"/>
  <c r="AE12" i="2"/>
  <c r="AC12" i="2"/>
  <c r="AA12" i="2"/>
  <c r="AA23" i="2" s="1"/>
  <c r="Y12" i="2"/>
  <c r="W12" i="2"/>
  <c r="W23" i="2" s="1"/>
  <c r="U12" i="2"/>
  <c r="S12" i="2"/>
  <c r="S23" i="2" s="1"/>
  <c r="Q12" i="2"/>
  <c r="O12" i="2"/>
  <c r="M12" i="2"/>
  <c r="M23" i="2" s="1"/>
  <c r="K12" i="2"/>
  <c r="K23" i="2" s="1"/>
  <c r="L23" i="2" s="1"/>
  <c r="I12" i="2"/>
  <c r="G12" i="2"/>
  <c r="G23" i="2" s="1"/>
  <c r="AL43" i="2" l="1"/>
  <c r="AJ31" i="2"/>
  <c r="AL28" i="2"/>
  <c r="BS31" i="2"/>
  <c r="BT31" i="2" s="1"/>
  <c r="BV31" i="2" s="1"/>
  <c r="CI31" i="2"/>
  <c r="CJ31" i="2" s="1"/>
  <c r="CL31" i="2" s="1"/>
  <c r="BQ31" i="2"/>
  <c r="BQ25" i="2" s="1"/>
  <c r="BY31" i="2"/>
  <c r="CG31" i="2"/>
  <c r="CO31" i="2"/>
  <c r="CW31" i="2"/>
  <c r="DE31" i="2"/>
  <c r="EC31" i="2"/>
  <c r="EK31" i="2"/>
  <c r="ES31" i="2"/>
  <c r="CQ53" i="2"/>
  <c r="CR53" i="2" s="1"/>
  <c r="CT53" i="2" s="1"/>
  <c r="AA31" i="2"/>
  <c r="AQ31" i="2"/>
  <c r="BG31" i="2"/>
  <c r="DY53" i="2"/>
  <c r="EO53" i="2"/>
  <c r="DU31" i="2"/>
  <c r="EE31" i="2"/>
  <c r="G31" i="2"/>
  <c r="S31" i="2"/>
  <c r="DI31" i="2"/>
  <c r="I31" i="2"/>
  <c r="I25" i="2" s="1"/>
  <c r="Q31" i="2"/>
  <c r="Q25" i="2" s="1"/>
  <c r="EO31" i="2"/>
  <c r="DS53" i="2"/>
  <c r="DT53" i="2" s="1"/>
  <c r="BM53" i="2"/>
  <c r="BU53" i="2"/>
  <c r="CK53" i="2"/>
  <c r="DI53" i="2"/>
  <c r="M31" i="2"/>
  <c r="M25" i="2" s="1"/>
  <c r="DO31" i="2"/>
  <c r="U31" i="2"/>
  <c r="DC53" i="2"/>
  <c r="DD53" i="2" s="1"/>
  <c r="DF53" i="2" s="1"/>
  <c r="BM31" i="2"/>
  <c r="BM25" i="2" s="1"/>
  <c r="BU31" i="2"/>
  <c r="CC31" i="2"/>
  <c r="CK31" i="2"/>
  <c r="CS31" i="2"/>
  <c r="DA31" i="2"/>
  <c r="EG31" i="2"/>
  <c r="BO53" i="2"/>
  <c r="BP53" i="2" s="1"/>
  <c r="BR53" i="2" s="1"/>
  <c r="EM53" i="2"/>
  <c r="BW53" i="2"/>
  <c r="BX53" i="2" s="1"/>
  <c r="BZ53" i="2" s="1"/>
  <c r="DS31" i="2"/>
  <c r="BO31" i="2"/>
  <c r="BX33" i="2"/>
  <c r="BZ33" i="2" s="1"/>
  <c r="CJ33" i="2"/>
  <c r="CL33" i="2" s="1"/>
  <c r="BC31" i="2"/>
  <c r="AI53" i="2"/>
  <c r="K31" i="2"/>
  <c r="L31" i="2" s="1"/>
  <c r="N31" i="2" s="1"/>
  <c r="DG31" i="2"/>
  <c r="DH31" i="2" s="1"/>
  <c r="DJ31" i="2" s="1"/>
  <c r="EQ31" i="2"/>
  <c r="ER31" i="2" s="1"/>
  <c r="ET31" i="2" s="1"/>
  <c r="AD56" i="2"/>
  <c r="BJ56" i="2"/>
  <c r="BP12" i="2"/>
  <c r="BR12" i="2" s="1"/>
  <c r="BI31" i="2"/>
  <c r="BJ43" i="2"/>
  <c r="AH56" i="2"/>
  <c r="AX56" i="2"/>
  <c r="AG31" i="2"/>
  <c r="AH43" i="2"/>
  <c r="BB56" i="2"/>
  <c r="DN56" i="2"/>
  <c r="AY31" i="2"/>
  <c r="AW31" i="2"/>
  <c r="AX43" i="2"/>
  <c r="BE31" i="2"/>
  <c r="BF43" i="2"/>
  <c r="ER43" i="2"/>
  <c r="ET43" i="2" s="1"/>
  <c r="AP56" i="2"/>
  <c r="BF56" i="2"/>
  <c r="DR56" i="2"/>
  <c r="EH62" i="2"/>
  <c r="AP74" i="2"/>
  <c r="BN86" i="2"/>
  <c r="CD86" i="2"/>
  <c r="CL86" i="2"/>
  <c r="CT86" i="2"/>
  <c r="AJ53" i="2"/>
  <c r="AL55" i="2"/>
  <c r="BR86" i="2"/>
  <c r="BZ86" i="2"/>
  <c r="CH86" i="2"/>
  <c r="CX86" i="2"/>
  <c r="EN53" i="2"/>
  <c r="EP53" i="2" s="1"/>
  <c r="EP55" i="2"/>
  <c r="AL31" i="2"/>
  <c r="EO23" i="2"/>
  <c r="EK23" i="2"/>
  <c r="EG23" i="2"/>
  <c r="EC23" i="2"/>
  <c r="DR43" i="2"/>
  <c r="DQ31" i="2"/>
  <c r="DQ23" i="2"/>
  <c r="DM31" i="2"/>
  <c r="DM53" i="2"/>
  <c r="DM25" i="2" s="1"/>
  <c r="DM23" i="2"/>
  <c r="DA23" i="2"/>
  <c r="BI23" i="2"/>
  <c r="BE53" i="2"/>
  <c r="BE25" i="2" s="1"/>
  <c r="BE23" i="2"/>
  <c r="BA53" i="2"/>
  <c r="BA25" i="2" s="1"/>
  <c r="BA23" i="2"/>
  <c r="AW53" i="2"/>
  <c r="AW25" i="2" s="1"/>
  <c r="AW23" i="2"/>
  <c r="AS23" i="2"/>
  <c r="AO23" i="2"/>
  <c r="AK23" i="2"/>
  <c r="AG23" i="2"/>
  <c r="AC23" i="2"/>
  <c r="Y23" i="2"/>
  <c r="U23" i="2"/>
  <c r="Q23" i="2"/>
  <c r="BD31" i="2"/>
  <c r="BF31" i="2" s="1"/>
  <c r="AN48" i="2"/>
  <c r="AP48" i="2" s="1"/>
  <c r="AM31" i="2"/>
  <c r="CV12" i="2"/>
  <c r="CX12" i="2" s="1"/>
  <c r="CJ12" i="2"/>
  <c r="CL12" i="2" s="1"/>
  <c r="DV55" i="2"/>
  <c r="ER74" i="2"/>
  <c r="ET74" i="2" s="1"/>
  <c r="DH12" i="2"/>
  <c r="DJ12" i="2" s="1"/>
  <c r="EV12" i="2"/>
  <c r="EX12" i="2" s="1"/>
  <c r="ER70" i="2"/>
  <c r="ET70" i="2" s="1"/>
  <c r="AV31" i="2"/>
  <c r="AX31" i="2" s="1"/>
  <c r="EE23" i="2"/>
  <c r="AF31" i="2"/>
  <c r="EN31" i="2"/>
  <c r="P43" i="2"/>
  <c r="AB55" i="2"/>
  <c r="AD55" i="2" s="1"/>
  <c r="BH55" i="2"/>
  <c r="BJ55" i="2" s="1"/>
  <c r="AF70" i="2"/>
  <c r="AH70" i="2" s="1"/>
  <c r="AV70" i="2"/>
  <c r="AX70" i="2" s="1"/>
  <c r="AF74" i="2"/>
  <c r="AH74" i="2" s="1"/>
  <c r="AV74" i="2"/>
  <c r="AX74" i="2" s="1"/>
  <c r="AF55" i="2"/>
  <c r="AH55" i="2" s="1"/>
  <c r="AX55" i="2"/>
  <c r="AZ70" i="2"/>
  <c r="BB70" i="2" s="1"/>
  <c r="DL70" i="2"/>
  <c r="DN70" i="2" s="1"/>
  <c r="AZ74" i="2"/>
  <c r="BB74" i="2" s="1"/>
  <c r="DL74" i="2"/>
  <c r="DN74" i="2" s="1"/>
  <c r="CN86" i="2"/>
  <c r="CP86" i="2" s="1"/>
  <c r="EJ86" i="2"/>
  <c r="EL86" i="2" s="1"/>
  <c r="P12" i="2"/>
  <c r="R12" i="2" s="1"/>
  <c r="T12" i="2"/>
  <c r="V12" i="2" s="1"/>
  <c r="AZ12" i="2"/>
  <c r="AZ23" i="2" s="1"/>
  <c r="EB31" i="2"/>
  <c r="ED31" i="2" s="1"/>
  <c r="EF48" i="2"/>
  <c r="EF31" i="2" s="1"/>
  <c r="H12" i="2"/>
  <c r="J12" i="2" s="1"/>
  <c r="X12" i="2"/>
  <c r="X23" i="2" s="1"/>
  <c r="AN12" i="2"/>
  <c r="AN23" i="2" s="1"/>
  <c r="BD12" i="2"/>
  <c r="BF12" i="2" s="1"/>
  <c r="CZ12" i="2"/>
  <c r="CZ23" i="2" s="1"/>
  <c r="DP12" i="2"/>
  <c r="DP23" i="2" s="1"/>
  <c r="EF12" i="2"/>
  <c r="EF23" i="2" s="1"/>
  <c r="X31" i="2"/>
  <c r="Z31" i="2" s="1"/>
  <c r="CZ31" i="2"/>
  <c r="DB31" i="2" s="1"/>
  <c r="CZ53" i="2"/>
  <c r="AZ55" i="2"/>
  <c r="BB55" i="2" s="1"/>
  <c r="DL55" i="2"/>
  <c r="DN55" i="2" s="1"/>
  <c r="AN70" i="2"/>
  <c r="AP70" i="2" s="1"/>
  <c r="BD70" i="2"/>
  <c r="BF70" i="2" s="1"/>
  <c r="DP70" i="2"/>
  <c r="DR70" i="2" s="1"/>
  <c r="EF70" i="2"/>
  <c r="EH70" i="2" s="1"/>
  <c r="BD74" i="2"/>
  <c r="BF74" i="2" s="1"/>
  <c r="DP74" i="2"/>
  <c r="DR74" i="2" s="1"/>
  <c r="EF74" i="2"/>
  <c r="EH74" i="2" s="1"/>
  <c r="AF12" i="2"/>
  <c r="AF23" i="2" s="1"/>
  <c r="AJ12" i="2"/>
  <c r="AL12" i="2" s="1"/>
  <c r="DL12" i="2"/>
  <c r="DL23" i="2" s="1"/>
  <c r="EB12" i="2"/>
  <c r="EB23" i="2" s="1"/>
  <c r="T31" i="2"/>
  <c r="AB12" i="2"/>
  <c r="AD12" i="2" s="1"/>
  <c r="AR12" i="2"/>
  <c r="AT12" i="2" s="1"/>
  <c r="BH12" i="2"/>
  <c r="BJ12" i="2" s="1"/>
  <c r="EJ12" i="2"/>
  <c r="EL12" i="2" s="1"/>
  <c r="EJ31" i="2"/>
  <c r="EL31" i="2" s="1"/>
  <c r="AR31" i="2"/>
  <c r="AT31" i="2" s="1"/>
  <c r="EJ53" i="2"/>
  <c r="AN55" i="2"/>
  <c r="AP55" i="2" s="1"/>
  <c r="DP55" i="2"/>
  <c r="DR55" i="2" s="1"/>
  <c r="EF55" i="2"/>
  <c r="EH55" i="2" s="1"/>
  <c r="AB70" i="2"/>
  <c r="AD70" i="2" s="1"/>
  <c r="BH70" i="2"/>
  <c r="BJ70" i="2" s="1"/>
  <c r="AB74" i="2"/>
  <c r="AD74" i="2" s="1"/>
  <c r="BH74" i="2"/>
  <c r="BJ74" i="2" s="1"/>
  <c r="AV12" i="2"/>
  <c r="AV23" i="2" s="1"/>
  <c r="AZ48" i="2"/>
  <c r="BB48" i="2" s="1"/>
  <c r="DL48" i="2"/>
  <c r="DN48" i="2" s="1"/>
  <c r="AZ43" i="2"/>
  <c r="BB43" i="2" s="1"/>
  <c r="BD55" i="2"/>
  <c r="BF55" i="2" s="1"/>
  <c r="H33" i="2"/>
  <c r="DV70" i="2"/>
  <c r="AB43" i="2"/>
  <c r="AD43" i="2" s="1"/>
  <c r="AC53" i="2"/>
  <c r="I23" i="2"/>
  <c r="N23" i="2"/>
  <c r="EM31" i="2"/>
  <c r="DX12" i="2"/>
  <c r="DZ12" i="2" s="1"/>
  <c r="CY31" i="2"/>
  <c r="DL33" i="2"/>
  <c r="DN33" i="2" s="1"/>
  <c r="L12" i="2"/>
  <c r="N12" i="2" s="1"/>
  <c r="CN12" i="2"/>
  <c r="CP12" i="2" s="1"/>
  <c r="O31" i="2"/>
  <c r="AE31" i="2"/>
  <c r="CE31" i="2"/>
  <c r="CM31" i="2"/>
  <c r="DW31" i="2"/>
  <c r="DX31" i="2" s="1"/>
  <c r="DZ31" i="2" s="1"/>
  <c r="EU31" i="2"/>
  <c r="EV31" i="2" s="1"/>
  <c r="EX31" i="2" s="1"/>
  <c r="EA31" i="2"/>
  <c r="Y25" i="2"/>
  <c r="AU31" i="2"/>
  <c r="DG53" i="2"/>
  <c r="DH53" i="2" s="1"/>
  <c r="DJ53" i="2" s="1"/>
  <c r="CF55" i="2"/>
  <c r="CH55" i="2" s="1"/>
  <c r="CE53" i="2"/>
  <c r="CF53" i="2" s="1"/>
  <c r="CH53" i="2" s="1"/>
  <c r="CN55" i="2"/>
  <c r="CP55" i="2" s="1"/>
  <c r="CM53" i="2"/>
  <c r="CN53" i="2" s="1"/>
  <c r="CP53" i="2" s="1"/>
  <c r="CV55" i="2"/>
  <c r="CX55" i="2" s="1"/>
  <c r="CU53" i="2"/>
  <c r="CV53" i="2" s="1"/>
  <c r="CX53" i="2" s="1"/>
  <c r="BX12" i="2"/>
  <c r="BZ12" i="2" s="1"/>
  <c r="ER12" i="2"/>
  <c r="ET12" i="2" s="1"/>
  <c r="BW25" i="2"/>
  <c r="BX25" i="2" s="1"/>
  <c r="BZ25" i="2" s="1"/>
  <c r="EE53" i="2"/>
  <c r="DJ55" i="2"/>
  <c r="DV74" i="2"/>
  <c r="DJ74" i="2"/>
  <c r="N86" i="2"/>
  <c r="N74" i="2"/>
  <c r="BG53" i="2"/>
  <c r="AY53" i="2"/>
  <c r="DO53" i="2"/>
  <c r="AU23" i="2"/>
  <c r="DC23" i="2"/>
  <c r="DD23" i="2" s="1"/>
  <c r="DF23" i="2" s="1"/>
  <c r="DD12" i="2"/>
  <c r="DF12" i="2" s="1"/>
  <c r="AE23" i="2"/>
  <c r="BT12" i="2"/>
  <c r="BV12" i="2" s="1"/>
  <c r="CF12" i="2"/>
  <c r="CH12" i="2" s="1"/>
  <c r="CQ23" i="2"/>
  <c r="CR23" i="2" s="1"/>
  <c r="CT23" i="2" s="1"/>
  <c r="CR12" i="2"/>
  <c r="CT12" i="2" s="1"/>
  <c r="EN12" i="2"/>
  <c r="EP12" i="2" s="1"/>
  <c r="O23" i="2"/>
  <c r="CA23" i="2"/>
  <c r="CB23" i="2" s="1"/>
  <c r="CD23" i="2" s="1"/>
  <c r="CB12" i="2"/>
  <c r="CD12" i="2" s="1"/>
  <c r="EI23" i="2"/>
  <c r="BK23" i="2"/>
  <c r="BL23" i="2" s="1"/>
  <c r="BN23" i="2" s="1"/>
  <c r="BL12" i="2"/>
  <c r="BN12" i="2" s="1"/>
  <c r="DS23" i="2"/>
  <c r="DT23" i="2" s="1"/>
  <c r="DV23" i="2" s="1"/>
  <c r="DT12" i="2"/>
  <c r="DV12" i="2" s="1"/>
  <c r="DG25" i="2"/>
  <c r="DG83" i="2" s="1"/>
  <c r="DH83" i="2" s="1"/>
  <c r="BK31" i="2"/>
  <c r="CA31" i="2"/>
  <c r="CB31" i="2" s="1"/>
  <c r="CD31" i="2" s="1"/>
  <c r="CQ31" i="2"/>
  <c r="AO25" i="2"/>
  <c r="DD43" i="2"/>
  <c r="DF43" i="2" s="1"/>
  <c r="DC31" i="2"/>
  <c r="AI31" i="2"/>
  <c r="CV33" i="2"/>
  <c r="CX33" i="2" s="1"/>
  <c r="CU31" i="2"/>
  <c r="N33" i="2"/>
  <c r="BH33" i="2"/>
  <c r="BJ33" i="2" s="1"/>
  <c r="BT33" i="2"/>
  <c r="BV33" i="2" s="1"/>
  <c r="DP33" i="2"/>
  <c r="DR33" i="2" s="1"/>
  <c r="N43" i="2"/>
  <c r="DJ48" i="2"/>
  <c r="DZ48" i="2"/>
  <c r="CC53" i="2"/>
  <c r="BL55" i="2"/>
  <c r="BN55" i="2" s="1"/>
  <c r="BK53" i="2"/>
  <c r="BL53" i="2" s="1"/>
  <c r="BN53" i="2" s="1"/>
  <c r="DX55" i="2"/>
  <c r="DZ55" i="2" s="1"/>
  <c r="DW53" i="2"/>
  <c r="EV55" i="2"/>
  <c r="EX55" i="2" s="1"/>
  <c r="EU53" i="2"/>
  <c r="DV48" i="2"/>
  <c r="T55" i="2"/>
  <c r="V55" i="2" s="1"/>
  <c r="S53" i="2"/>
  <c r="CS53" i="2"/>
  <c r="DJ43" i="2"/>
  <c r="DZ43" i="2"/>
  <c r="N48" i="2"/>
  <c r="AK53" i="2"/>
  <c r="DV43" i="2"/>
  <c r="CG53" i="2"/>
  <c r="EK53" i="2"/>
  <c r="EK25" i="2" s="1"/>
  <c r="DZ74" i="2"/>
  <c r="DJ23" i="2"/>
  <c r="DZ23" i="2"/>
  <c r="U25" i="2"/>
  <c r="CW25" i="2"/>
  <c r="DI25" i="2"/>
  <c r="DY25" i="2"/>
  <c r="EO25" i="2"/>
  <c r="DV33" i="2"/>
  <c r="BW83" i="2"/>
  <c r="BX83" i="2" s="1"/>
  <c r="CC25" i="2"/>
  <c r="DE25" i="2"/>
  <c r="DU25" i="2"/>
  <c r="AS25" i="2"/>
  <c r="BU25" i="2"/>
  <c r="CK25" i="2"/>
  <c r="EC25" i="2"/>
  <c r="ES25" i="2"/>
  <c r="DJ33" i="2"/>
  <c r="DZ33" i="2"/>
  <c r="AG53" i="2"/>
  <c r="CA53" i="2"/>
  <c r="CY53" i="2"/>
  <c r="DV53" i="2"/>
  <c r="EI53" i="2"/>
  <c r="L55" i="2"/>
  <c r="N55" i="2" s="1"/>
  <c r="K53" i="2"/>
  <c r="X55" i="2"/>
  <c r="Z55" i="2" s="1"/>
  <c r="W53" i="2"/>
  <c r="AU53" i="2"/>
  <c r="CJ55" i="2"/>
  <c r="CL55" i="2" s="1"/>
  <c r="CI53" i="2"/>
  <c r="CO53" i="2"/>
  <c r="ER55" i="2"/>
  <c r="ET55" i="2" s="1"/>
  <c r="EQ53" i="2"/>
  <c r="H55" i="2"/>
  <c r="J55" i="2" s="1"/>
  <c r="G53" i="2"/>
  <c r="AE53" i="2"/>
  <c r="BT55" i="2"/>
  <c r="BV55" i="2" s="1"/>
  <c r="BS53" i="2"/>
  <c r="BY53" i="2"/>
  <c r="EB55" i="2"/>
  <c r="ED55" i="2" s="1"/>
  <c r="EA53" i="2"/>
  <c r="EG53" i="2"/>
  <c r="P55" i="2"/>
  <c r="R55" i="2" s="1"/>
  <c r="O53" i="2"/>
  <c r="AR55" i="2"/>
  <c r="AT55" i="2" s="1"/>
  <c r="AQ53" i="2"/>
  <c r="BC53" i="2"/>
  <c r="BI53" i="2"/>
  <c r="DK53" i="2"/>
  <c r="DQ53" i="2"/>
  <c r="AA53" i="2"/>
  <c r="AM53" i="2"/>
  <c r="DA53" i="2"/>
  <c r="DJ70" i="2"/>
  <c r="DZ70" i="2"/>
  <c r="N70" i="2"/>
  <c r="DV86" i="2"/>
  <c r="BH86" i="2"/>
  <c r="BJ86" i="2" s="1"/>
  <c r="CZ86" i="2"/>
  <c r="DB86" i="2" s="1"/>
  <c r="DJ86" i="2"/>
  <c r="DP86" i="2"/>
  <c r="DR86" i="2" s="1"/>
  <c r="DZ86" i="2"/>
  <c r="EF86" i="2"/>
  <c r="EH86" i="2" s="1"/>
  <c r="EV86" i="2"/>
  <c r="EX86" i="2" s="1"/>
  <c r="C12" i="2"/>
  <c r="D12" i="2" s="1"/>
  <c r="E12" i="2"/>
  <c r="FA12" i="2" s="1"/>
  <c r="D13" i="2"/>
  <c r="F13" i="2" s="1"/>
  <c r="D14" i="2"/>
  <c r="F14" i="2" s="1"/>
  <c r="D15" i="2"/>
  <c r="F15" i="2" s="1"/>
  <c r="D16" i="2"/>
  <c r="F16" i="2" s="1"/>
  <c r="D17" i="2"/>
  <c r="F17" i="2" s="1"/>
  <c r="D18" i="2"/>
  <c r="F18" i="2" s="1"/>
  <c r="D19" i="2"/>
  <c r="F19" i="2" s="1"/>
  <c r="D20" i="2"/>
  <c r="F20" i="2" s="1"/>
  <c r="D21" i="2"/>
  <c r="F21" i="2" s="1"/>
  <c r="D22" i="2"/>
  <c r="F22" i="2" s="1"/>
  <c r="D24" i="2"/>
  <c r="F24" i="2" s="1"/>
  <c r="D26" i="2"/>
  <c r="F26" i="2" s="1"/>
  <c r="D27" i="2"/>
  <c r="EZ27" i="2" s="1"/>
  <c r="FB27" i="2" s="1"/>
  <c r="D28" i="2"/>
  <c r="F28" i="2" s="1"/>
  <c r="D29" i="2"/>
  <c r="F29" i="2" s="1"/>
  <c r="D30" i="2"/>
  <c r="F30" i="2" s="1"/>
  <c r="D32" i="2"/>
  <c r="F32" i="2" s="1"/>
  <c r="C33" i="2"/>
  <c r="D33" i="2" s="1"/>
  <c r="E33" i="2"/>
  <c r="FA33" i="2" s="1"/>
  <c r="D34" i="2"/>
  <c r="F34" i="2" s="1"/>
  <c r="D35" i="2"/>
  <c r="F35" i="2" s="1"/>
  <c r="D36" i="2"/>
  <c r="F36" i="2" s="1"/>
  <c r="D37" i="2"/>
  <c r="F37" i="2" s="1"/>
  <c r="D38" i="2"/>
  <c r="F38" i="2" s="1"/>
  <c r="D39" i="2"/>
  <c r="EZ39" i="2" s="1"/>
  <c r="FB39" i="2" s="1"/>
  <c r="D41" i="2"/>
  <c r="F41" i="2" s="1"/>
  <c r="C43" i="2"/>
  <c r="D43" i="2" s="1"/>
  <c r="E43" i="2"/>
  <c r="FA43" i="2" s="1"/>
  <c r="D44" i="2"/>
  <c r="F44" i="2" s="1"/>
  <c r="D45" i="2"/>
  <c r="F45" i="2" s="1"/>
  <c r="D46" i="2"/>
  <c r="F46" i="2" s="1"/>
  <c r="D47" i="2"/>
  <c r="F47" i="2" s="1"/>
  <c r="C48" i="2"/>
  <c r="D48" i="2" s="1"/>
  <c r="E48" i="2"/>
  <c r="FA48" i="2" s="1"/>
  <c r="D49" i="2"/>
  <c r="F49" i="2" s="1"/>
  <c r="D50" i="2"/>
  <c r="F50" i="2" s="1"/>
  <c r="D51" i="2"/>
  <c r="F51" i="2" s="1"/>
  <c r="D52" i="2"/>
  <c r="F52" i="2" s="1"/>
  <c r="D54" i="2"/>
  <c r="F54" i="2" s="1"/>
  <c r="C55" i="2"/>
  <c r="EY55" i="2" s="1"/>
  <c r="G51" i="7" s="1"/>
  <c r="E55" i="2"/>
  <c r="FA55" i="2" s="1"/>
  <c r="D56" i="2"/>
  <c r="F56" i="2" s="1"/>
  <c r="D57" i="2"/>
  <c r="F57" i="2" s="1"/>
  <c r="D58" i="2"/>
  <c r="F58" i="2" s="1"/>
  <c r="D59" i="2"/>
  <c r="EZ59" i="2" s="1"/>
  <c r="FB59" i="2" s="1"/>
  <c r="D60" i="2"/>
  <c r="F60" i="2" s="1"/>
  <c r="D61" i="2"/>
  <c r="EZ61" i="2" s="1"/>
  <c r="FB61" i="2" s="1"/>
  <c r="D62" i="2"/>
  <c r="F62" i="2" s="1"/>
  <c r="D63" i="2"/>
  <c r="EZ63" i="2" s="1"/>
  <c r="FB63" i="2" s="1"/>
  <c r="D64" i="2"/>
  <c r="F64" i="2" s="1"/>
  <c r="D65" i="2"/>
  <c r="F65" i="2" s="1"/>
  <c r="D66" i="2"/>
  <c r="F66" i="2" s="1"/>
  <c r="D67" i="2"/>
  <c r="EZ67" i="2" s="1"/>
  <c r="FB67" i="2" s="1"/>
  <c r="D68" i="2"/>
  <c r="F68" i="2" s="1"/>
  <c r="D69" i="2"/>
  <c r="EZ69" i="2" s="1"/>
  <c r="FB69" i="2" s="1"/>
  <c r="C70" i="2"/>
  <c r="D70" i="2" s="1"/>
  <c r="E70" i="2"/>
  <c r="FA70" i="2" s="1"/>
  <c r="D71" i="2"/>
  <c r="F71" i="2" s="1"/>
  <c r="D72" i="2"/>
  <c r="F72" i="2" s="1"/>
  <c r="D73" i="2"/>
  <c r="F73" i="2" s="1"/>
  <c r="C74" i="2"/>
  <c r="D74" i="2" s="1"/>
  <c r="E74" i="2"/>
  <c r="D75" i="2"/>
  <c r="F75" i="2" s="1"/>
  <c r="D76" i="2"/>
  <c r="F76" i="2" s="1"/>
  <c r="D77" i="2"/>
  <c r="F77" i="2" s="1"/>
  <c r="D78" i="2"/>
  <c r="F78" i="2" s="1"/>
  <c r="D79" i="2"/>
  <c r="F79" i="2" s="1"/>
  <c r="D80" i="2"/>
  <c r="F80" i="2" s="1"/>
  <c r="D81" i="2"/>
  <c r="F81" i="2" s="1"/>
  <c r="D84" i="2"/>
  <c r="F84" i="2" s="1"/>
  <c r="D85" i="2"/>
  <c r="F85" i="2" s="1"/>
  <c r="C86" i="2"/>
  <c r="D86" i="2" s="1"/>
  <c r="E86" i="2"/>
  <c r="FA86" i="2" s="1"/>
  <c r="D88" i="2"/>
  <c r="F88" i="2" s="1"/>
  <c r="BU88" i="1"/>
  <c r="BU85" i="1"/>
  <c r="BU84" i="1"/>
  <c r="BU81" i="1"/>
  <c r="BU80" i="1"/>
  <c r="BU79" i="1"/>
  <c r="BU78" i="1"/>
  <c r="BU77" i="1"/>
  <c r="BU76" i="1"/>
  <c r="BU75" i="1"/>
  <c r="BU73" i="1"/>
  <c r="BU72" i="1"/>
  <c r="BU71" i="1"/>
  <c r="BU69" i="1"/>
  <c r="BU68" i="1"/>
  <c r="BU67" i="1"/>
  <c r="BU66" i="1"/>
  <c r="BU65" i="1"/>
  <c r="BU64" i="1"/>
  <c r="BU63" i="1"/>
  <c r="BU62" i="1"/>
  <c r="BU61" i="1"/>
  <c r="BU60" i="1"/>
  <c r="BU59" i="1"/>
  <c r="BU58" i="1"/>
  <c r="BU57" i="1"/>
  <c r="BU56" i="1"/>
  <c r="BU54" i="1"/>
  <c r="BU52" i="1"/>
  <c r="BU51" i="1"/>
  <c r="BU50" i="1"/>
  <c r="BU49" i="1"/>
  <c r="BU47" i="1"/>
  <c r="BU46" i="1"/>
  <c r="BU45" i="1"/>
  <c r="BU44" i="1"/>
  <c r="BU41" i="1"/>
  <c r="BU39" i="1"/>
  <c r="BU38" i="1"/>
  <c r="BU37" i="1"/>
  <c r="BU36" i="1"/>
  <c r="BU35" i="1"/>
  <c r="BU34" i="1"/>
  <c r="BU32" i="1"/>
  <c r="BU30" i="1"/>
  <c r="BU29" i="1"/>
  <c r="BU28" i="1"/>
  <c r="BU27" i="1"/>
  <c r="BU26" i="1"/>
  <c r="BU24" i="1"/>
  <c r="BU22" i="1"/>
  <c r="BU21" i="1"/>
  <c r="BU20" i="1"/>
  <c r="BU19" i="1"/>
  <c r="BU18" i="1"/>
  <c r="BU17" i="1"/>
  <c r="BU16" i="1"/>
  <c r="BU15" i="1"/>
  <c r="BU14" i="1"/>
  <c r="BU13" i="1"/>
  <c r="BS82" i="1"/>
  <c r="C78" i="7" s="1"/>
  <c r="CE78" i="7" s="1"/>
  <c r="AJ25" i="2" l="1"/>
  <c r="BZ83" i="2"/>
  <c r="BX87" i="2"/>
  <c r="CS25" i="2"/>
  <c r="AL53" i="2"/>
  <c r="V31" i="2"/>
  <c r="DT31" i="2"/>
  <c r="DV31" i="2" s="1"/>
  <c r="DS25" i="2"/>
  <c r="DB53" i="2"/>
  <c r="BP31" i="2"/>
  <c r="BR31" i="2" s="1"/>
  <c r="BO25" i="2"/>
  <c r="EH48" i="2"/>
  <c r="EY43" i="2"/>
  <c r="G39" i="7" s="1"/>
  <c r="DH25" i="2"/>
  <c r="EL53" i="2"/>
  <c r="AH31" i="2"/>
  <c r="H31" i="2"/>
  <c r="J31" i="2" s="1"/>
  <c r="J33" i="2"/>
  <c r="AJ83" i="2"/>
  <c r="AJ87" i="2" s="1"/>
  <c r="EH12" i="2"/>
  <c r="BB12" i="2"/>
  <c r="DB23" i="2"/>
  <c r="DN12" i="2"/>
  <c r="Z12" i="2"/>
  <c r="AH12" i="2"/>
  <c r="AP12" i="2"/>
  <c r="AX12" i="2"/>
  <c r="BB23" i="2"/>
  <c r="DN23" i="2"/>
  <c r="EH23" i="2"/>
  <c r="P31" i="2"/>
  <c r="R31" i="2" s="1"/>
  <c r="R43" i="2"/>
  <c r="Z23" i="2"/>
  <c r="AH23" i="2"/>
  <c r="AP23" i="2"/>
  <c r="AX23" i="2"/>
  <c r="DB12" i="2"/>
  <c r="DR12" i="2"/>
  <c r="ED12" i="2"/>
  <c r="EH31" i="2"/>
  <c r="EN25" i="2"/>
  <c r="EN83" i="2" s="1"/>
  <c r="EN87" i="2" s="1"/>
  <c r="EP31" i="2"/>
  <c r="DR23" i="2"/>
  <c r="ED23" i="2"/>
  <c r="ES83" i="2"/>
  <c r="I39" i="7"/>
  <c r="I44" i="7"/>
  <c r="I82" i="7"/>
  <c r="AG25" i="2"/>
  <c r="AG83" i="2" s="1"/>
  <c r="I66" i="7"/>
  <c r="I51" i="7"/>
  <c r="I29" i="7"/>
  <c r="I8" i="7"/>
  <c r="E81" i="7"/>
  <c r="CG81" i="7" s="1"/>
  <c r="AZ31" i="2"/>
  <c r="BB31" i="2" s="1"/>
  <c r="AN31" i="2"/>
  <c r="AP31" i="2" s="1"/>
  <c r="E53" i="2"/>
  <c r="E23" i="2"/>
  <c r="FA23" i="2" s="1"/>
  <c r="EY48" i="2"/>
  <c r="G44" i="7" s="1"/>
  <c r="EY86" i="2"/>
  <c r="G82" i="7" s="1"/>
  <c r="EY74" i="2"/>
  <c r="G70" i="7" s="1"/>
  <c r="EY33" i="2"/>
  <c r="G29" i="7" s="1"/>
  <c r="F70" i="2"/>
  <c r="EY12" i="2"/>
  <c r="G8" i="7" s="1"/>
  <c r="EY70" i="2"/>
  <c r="G66" i="7" s="1"/>
  <c r="FA74" i="2"/>
  <c r="BH53" i="2"/>
  <c r="BJ53" i="2" s="1"/>
  <c r="BD53" i="2"/>
  <c r="BD25" i="2" s="1"/>
  <c r="BD83" i="2" s="1"/>
  <c r="BD87" i="2" s="1"/>
  <c r="EF53" i="2"/>
  <c r="EF25" i="2" s="1"/>
  <c r="DL53" i="2"/>
  <c r="DN53" i="2" s="1"/>
  <c r="DP53" i="2"/>
  <c r="DR53" i="2" s="1"/>
  <c r="AB31" i="2"/>
  <c r="AD31" i="2" s="1"/>
  <c r="AZ53" i="2"/>
  <c r="BB53" i="2" s="1"/>
  <c r="EJ25" i="2"/>
  <c r="EJ83" i="2" s="1"/>
  <c r="EZ74" i="2"/>
  <c r="H70" i="7" s="1"/>
  <c r="DL31" i="2"/>
  <c r="DN31" i="2" s="1"/>
  <c r="DP31" i="2"/>
  <c r="DR31" i="2" s="1"/>
  <c r="BH31" i="2"/>
  <c r="BJ31" i="2" s="1"/>
  <c r="CZ25" i="2"/>
  <c r="CZ83" i="2" s="1"/>
  <c r="CZ87" i="2" s="1"/>
  <c r="EZ48" i="2"/>
  <c r="FB48" i="2" s="1"/>
  <c r="AR53" i="2"/>
  <c r="AF53" i="2"/>
  <c r="AF25" i="2" s="1"/>
  <c r="AF83" i="2" s="1"/>
  <c r="AF87" i="2" s="1"/>
  <c r="AB53" i="2"/>
  <c r="AD53" i="2" s="1"/>
  <c r="EB53" i="2"/>
  <c r="T53" i="2"/>
  <c r="V53" i="2" s="1"/>
  <c r="AN53" i="2"/>
  <c r="AP53" i="2" s="1"/>
  <c r="H53" i="2"/>
  <c r="X53" i="2"/>
  <c r="P53" i="2"/>
  <c r="AV53" i="2"/>
  <c r="AV25" i="2" s="1"/>
  <c r="AV83" i="2" s="1"/>
  <c r="AV87" i="2" s="1"/>
  <c r="AC25" i="2"/>
  <c r="F67" i="2"/>
  <c r="F63" i="2"/>
  <c r="J57" i="7"/>
  <c r="H57" i="7"/>
  <c r="J65" i="7"/>
  <c r="H65" i="7"/>
  <c r="J59" i="7"/>
  <c r="H59" i="7"/>
  <c r="F59" i="2"/>
  <c r="H23" i="2"/>
  <c r="J23" i="2" s="1"/>
  <c r="AB23" i="2"/>
  <c r="AD23" i="2" s="1"/>
  <c r="BD23" i="2"/>
  <c r="BF23" i="2" s="1"/>
  <c r="J55" i="7"/>
  <c r="H55" i="7"/>
  <c r="F39" i="2"/>
  <c r="P23" i="2"/>
  <c r="R23" i="2" s="1"/>
  <c r="EN23" i="2"/>
  <c r="EP23" i="2" s="1"/>
  <c r="J35" i="7"/>
  <c r="H35" i="7"/>
  <c r="J23" i="7"/>
  <c r="H23" i="7"/>
  <c r="AJ23" i="2"/>
  <c r="AL23" i="2" s="1"/>
  <c r="AR23" i="2"/>
  <c r="AT23" i="2" s="1"/>
  <c r="BH23" i="2"/>
  <c r="BJ23" i="2" s="1"/>
  <c r="J63" i="7"/>
  <c r="H63" i="7"/>
  <c r="EJ23" i="2"/>
  <c r="EL23" i="2" s="1"/>
  <c r="T23" i="2"/>
  <c r="V23" i="2" s="1"/>
  <c r="EZ12" i="2"/>
  <c r="FB12" i="2" s="1"/>
  <c r="E15" i="7"/>
  <c r="CG15" i="7" s="1"/>
  <c r="E20" i="7"/>
  <c r="CG20" i="7" s="1"/>
  <c r="E25" i="7"/>
  <c r="CG25" i="7" s="1"/>
  <c r="E31" i="7"/>
  <c r="CG31" i="7" s="1"/>
  <c r="E35" i="7"/>
  <c r="CG35" i="7" s="1"/>
  <c r="E42" i="7"/>
  <c r="CG42" i="7" s="1"/>
  <c r="E47" i="7"/>
  <c r="CG47" i="7" s="1"/>
  <c r="E53" i="7"/>
  <c r="CG53" i="7" s="1"/>
  <c r="E57" i="7"/>
  <c r="CG57" i="7" s="1"/>
  <c r="E61" i="7"/>
  <c r="CG61" i="7" s="1"/>
  <c r="E65" i="7"/>
  <c r="CG65" i="7" s="1"/>
  <c r="E71" i="7"/>
  <c r="CG71" i="7" s="1"/>
  <c r="E75" i="7"/>
  <c r="CG75" i="7" s="1"/>
  <c r="E12" i="7"/>
  <c r="CG12" i="7" s="1"/>
  <c r="E16" i="7"/>
  <c r="CG16" i="7" s="1"/>
  <c r="E22" i="7"/>
  <c r="CG22" i="7" s="1"/>
  <c r="E26" i="7"/>
  <c r="CG26" i="7" s="1"/>
  <c r="E32" i="7"/>
  <c r="CG32" i="7" s="1"/>
  <c r="E37" i="7"/>
  <c r="CG37" i="7" s="1"/>
  <c r="E43" i="7"/>
  <c r="CG43" i="7" s="1"/>
  <c r="E48" i="7"/>
  <c r="CG48" i="7" s="1"/>
  <c r="E54" i="7"/>
  <c r="CG54" i="7" s="1"/>
  <c r="E58" i="7"/>
  <c r="CG58" i="7" s="1"/>
  <c r="E62" i="7"/>
  <c r="CG62" i="7" s="1"/>
  <c r="E67" i="7"/>
  <c r="CG67" i="7" s="1"/>
  <c r="E72" i="7"/>
  <c r="CG72" i="7" s="1"/>
  <c r="E84" i="7"/>
  <c r="CG84" i="7" s="1"/>
  <c r="E11" i="7"/>
  <c r="CG11" i="7" s="1"/>
  <c r="E9" i="7"/>
  <c r="CG9" i="7" s="1"/>
  <c r="E13" i="7"/>
  <c r="CG13" i="7" s="1"/>
  <c r="E17" i="7"/>
  <c r="CG17" i="7" s="1"/>
  <c r="E28" i="7"/>
  <c r="CG28" i="7" s="1"/>
  <c r="E33" i="7"/>
  <c r="CG33" i="7" s="1"/>
  <c r="E40" i="7"/>
  <c r="CG40" i="7" s="1"/>
  <c r="E45" i="7"/>
  <c r="CG45" i="7" s="1"/>
  <c r="E50" i="7"/>
  <c r="CG50" i="7" s="1"/>
  <c r="E55" i="7"/>
  <c r="CG55" i="7" s="1"/>
  <c r="E59" i="7"/>
  <c r="CG59" i="7" s="1"/>
  <c r="E63" i="7"/>
  <c r="CG63" i="7" s="1"/>
  <c r="E68" i="7"/>
  <c r="CG68" i="7" s="1"/>
  <c r="E73" i="7"/>
  <c r="CG73" i="7" s="1"/>
  <c r="E10" i="7"/>
  <c r="CG10" i="7" s="1"/>
  <c r="E18" i="7"/>
  <c r="CG18" i="7" s="1"/>
  <c r="E24" i="7"/>
  <c r="CG24" i="7" s="1"/>
  <c r="E30" i="7"/>
  <c r="CG30" i="7" s="1"/>
  <c r="E34" i="7"/>
  <c r="CG34" i="7" s="1"/>
  <c r="E41" i="7"/>
  <c r="CG41" i="7" s="1"/>
  <c r="E46" i="7"/>
  <c r="CG46" i="7" s="1"/>
  <c r="E52" i="7"/>
  <c r="CG52" i="7" s="1"/>
  <c r="E56" i="7"/>
  <c r="CG56" i="7" s="1"/>
  <c r="E60" i="7"/>
  <c r="CG60" i="7" s="1"/>
  <c r="E64" i="7"/>
  <c r="CG64" i="7" s="1"/>
  <c r="E69" i="7"/>
  <c r="CG69" i="7" s="1"/>
  <c r="E74" i="7"/>
  <c r="CG74" i="7" s="1"/>
  <c r="E80" i="7"/>
  <c r="CG80" i="7" s="1"/>
  <c r="E23" i="7"/>
  <c r="CG23" i="7" s="1"/>
  <c r="E14" i="7"/>
  <c r="CG14" i="7" s="1"/>
  <c r="E78" i="7"/>
  <c r="CG78" i="7" s="1"/>
  <c r="AK25" i="2"/>
  <c r="FA53" i="2"/>
  <c r="E77" i="7"/>
  <c r="CG77" i="7" s="1"/>
  <c r="E76" i="7"/>
  <c r="CG76" i="7" s="1"/>
  <c r="F69" i="2"/>
  <c r="F61" i="2"/>
  <c r="EZ88" i="2"/>
  <c r="FB88" i="2" s="1"/>
  <c r="EZ71" i="2"/>
  <c r="FB71" i="2" s="1"/>
  <c r="EZ80" i="2"/>
  <c r="FB80" i="2" s="1"/>
  <c r="EZ56" i="2"/>
  <c r="FB56" i="2" s="1"/>
  <c r="EZ46" i="2"/>
  <c r="FB46" i="2" s="1"/>
  <c r="EZ18" i="2"/>
  <c r="FB18" i="2" s="1"/>
  <c r="EZ21" i="2"/>
  <c r="FB21" i="2" s="1"/>
  <c r="EZ13" i="2"/>
  <c r="FB13" i="2" s="1"/>
  <c r="EZ78" i="2"/>
  <c r="FB78" i="2" s="1"/>
  <c r="EZ73" i="2"/>
  <c r="FB73" i="2" s="1"/>
  <c r="EZ68" i="2"/>
  <c r="FB68" i="2" s="1"/>
  <c r="EZ57" i="2"/>
  <c r="FB57" i="2" s="1"/>
  <c r="EZ79" i="2"/>
  <c r="FB79" i="2" s="1"/>
  <c r="EZ64" i="2"/>
  <c r="FB64" i="2" s="1"/>
  <c r="EZ62" i="2"/>
  <c r="FB62" i="2" s="1"/>
  <c r="EZ52" i="2"/>
  <c r="FB52" i="2" s="1"/>
  <c r="EZ49" i="2"/>
  <c r="FB49" i="2" s="1"/>
  <c r="EZ32" i="2"/>
  <c r="FB32" i="2" s="1"/>
  <c r="EZ19" i="2"/>
  <c r="FB19" i="2" s="1"/>
  <c r="EZ16" i="2"/>
  <c r="FB16" i="2" s="1"/>
  <c r="EZ38" i="2"/>
  <c r="FB38" i="2" s="1"/>
  <c r="EZ28" i="2"/>
  <c r="FB28" i="2" s="1"/>
  <c r="EZ85" i="2"/>
  <c r="FB85" i="2" s="1"/>
  <c r="EZ76" i="2"/>
  <c r="FB76" i="2" s="1"/>
  <c r="EZ65" i="2"/>
  <c r="FB65" i="2" s="1"/>
  <c r="EZ58" i="2"/>
  <c r="FB58" i="2" s="1"/>
  <c r="EZ44" i="2"/>
  <c r="FB44" i="2" s="1"/>
  <c r="EZ35" i="2"/>
  <c r="FB35" i="2" s="1"/>
  <c r="EZ29" i="2"/>
  <c r="FB29" i="2" s="1"/>
  <c r="EZ14" i="2"/>
  <c r="FB14" i="2" s="1"/>
  <c r="EZ41" i="2"/>
  <c r="FB41" i="2" s="1"/>
  <c r="EZ70" i="2"/>
  <c r="FB70" i="2" s="1"/>
  <c r="EZ51" i="2"/>
  <c r="FB51" i="2" s="1"/>
  <c r="EZ43" i="2"/>
  <c r="FB43" i="2" s="1"/>
  <c r="EZ72" i="2"/>
  <c r="FB72" i="2" s="1"/>
  <c r="EZ81" i="2"/>
  <c r="FB81" i="2" s="1"/>
  <c r="EZ77" i="2"/>
  <c r="FB77" i="2" s="1"/>
  <c r="EZ86" i="2"/>
  <c r="FB86" i="2" s="1"/>
  <c r="EZ66" i="2"/>
  <c r="FB66" i="2" s="1"/>
  <c r="EZ50" i="2"/>
  <c r="FB50" i="2" s="1"/>
  <c r="EZ45" i="2"/>
  <c r="FB45" i="2" s="1"/>
  <c r="EZ30" i="2"/>
  <c r="FB30" i="2" s="1"/>
  <c r="EZ20" i="2"/>
  <c r="FB20" i="2" s="1"/>
  <c r="EZ17" i="2"/>
  <c r="FB17" i="2" s="1"/>
  <c r="EZ15" i="2"/>
  <c r="FB15" i="2" s="1"/>
  <c r="EZ22" i="2"/>
  <c r="FB22" i="2" s="1"/>
  <c r="EZ37" i="2"/>
  <c r="FB37" i="2" s="1"/>
  <c r="EZ26" i="2"/>
  <c r="FB26" i="2" s="1"/>
  <c r="EZ84" i="2"/>
  <c r="FB84" i="2" s="1"/>
  <c r="EZ75" i="2"/>
  <c r="FB75" i="2" s="1"/>
  <c r="EZ60" i="2"/>
  <c r="FB60" i="2" s="1"/>
  <c r="EZ54" i="2"/>
  <c r="FB54" i="2" s="1"/>
  <c r="EZ36" i="2"/>
  <c r="FB36" i="2" s="1"/>
  <c r="EZ34" i="2"/>
  <c r="FB34" i="2" s="1"/>
  <c r="EZ24" i="2"/>
  <c r="FB24" i="2" s="1"/>
  <c r="EZ47" i="2"/>
  <c r="FB47" i="2" s="1"/>
  <c r="EZ33" i="2"/>
  <c r="FB33" i="2" s="1"/>
  <c r="EM25" i="2"/>
  <c r="EE25" i="2"/>
  <c r="EE83" i="2" s="1"/>
  <c r="F86" i="2"/>
  <c r="F33" i="2"/>
  <c r="CF31" i="2"/>
  <c r="CH31" i="2" s="1"/>
  <c r="CE25" i="2"/>
  <c r="F48" i="2"/>
  <c r="CG25" i="2"/>
  <c r="CM25" i="2"/>
  <c r="CN31" i="2"/>
  <c r="CP31" i="2" s="1"/>
  <c r="BG25" i="2"/>
  <c r="AY25" i="2"/>
  <c r="S25" i="2"/>
  <c r="S83" i="2" s="1"/>
  <c r="S87" i="2" s="1"/>
  <c r="DO25" i="2"/>
  <c r="E31" i="2"/>
  <c r="FA31" i="2" s="1"/>
  <c r="EV53" i="2"/>
  <c r="EX53" i="2" s="1"/>
  <c r="EU25" i="2"/>
  <c r="F74" i="2"/>
  <c r="BL31" i="2"/>
  <c r="BN31" i="2" s="1"/>
  <c r="BK25" i="2"/>
  <c r="C23" i="2"/>
  <c r="D23" i="2" s="1"/>
  <c r="F23" i="2" s="1"/>
  <c r="F12" i="2"/>
  <c r="DX53" i="2"/>
  <c r="DZ53" i="2" s="1"/>
  <c r="DW25" i="2"/>
  <c r="C53" i="2"/>
  <c r="D53" i="2" s="1"/>
  <c r="F53" i="2" s="1"/>
  <c r="D55" i="2"/>
  <c r="F55" i="2" s="1"/>
  <c r="F43" i="2"/>
  <c r="C31" i="2"/>
  <c r="CV31" i="2"/>
  <c r="CX31" i="2" s="1"/>
  <c r="CU25" i="2"/>
  <c r="AI25" i="2"/>
  <c r="DC25" i="2"/>
  <c r="DD31" i="2"/>
  <c r="DF31" i="2" s="1"/>
  <c r="CR31" i="2"/>
  <c r="CT31" i="2" s="1"/>
  <c r="CQ25" i="2"/>
  <c r="AQ25" i="2"/>
  <c r="L53" i="2"/>
  <c r="N53" i="2" s="1"/>
  <c r="K25" i="2"/>
  <c r="AA25" i="2"/>
  <c r="ER53" i="2"/>
  <c r="ET53" i="2" s="1"/>
  <c r="EQ25" i="2"/>
  <c r="CJ53" i="2"/>
  <c r="CL53" i="2" s="1"/>
  <c r="CI25" i="2"/>
  <c r="CB53" i="2"/>
  <c r="CD53" i="2" s="1"/>
  <c r="CA25" i="2"/>
  <c r="EC83" i="2"/>
  <c r="BU83" i="2"/>
  <c r="AO83" i="2"/>
  <c r="I83" i="2"/>
  <c r="DQ25" i="2"/>
  <c r="CO25" i="2"/>
  <c r="BI25" i="2"/>
  <c r="DU83" i="2"/>
  <c r="CS83" i="2"/>
  <c r="BM83" i="2"/>
  <c r="CY25" i="2"/>
  <c r="DG87" i="2"/>
  <c r="DK25" i="2"/>
  <c r="BC25" i="2"/>
  <c r="O25" i="2"/>
  <c r="EA25" i="2"/>
  <c r="BT53" i="2"/>
  <c r="BV53" i="2" s="1"/>
  <c r="BS25" i="2"/>
  <c r="W25" i="2"/>
  <c r="EI25" i="2"/>
  <c r="EO83" i="2"/>
  <c r="DI83" i="2"/>
  <c r="DJ25" i="2"/>
  <c r="BA83" i="2"/>
  <c r="U83" i="2"/>
  <c r="BW87" i="2"/>
  <c r="AM25" i="2"/>
  <c r="G25" i="2"/>
  <c r="AU25" i="2"/>
  <c r="DM83" i="2"/>
  <c r="CK83" i="2"/>
  <c r="BE83" i="2"/>
  <c r="Y83" i="2"/>
  <c r="EG25" i="2"/>
  <c r="DA25" i="2"/>
  <c r="BY25" i="2"/>
  <c r="AS83" i="2"/>
  <c r="M83" i="2"/>
  <c r="EK83" i="2"/>
  <c r="DE83" i="2"/>
  <c r="CC83" i="2"/>
  <c r="AW83" i="2"/>
  <c r="Q83" i="2"/>
  <c r="AE25" i="2"/>
  <c r="DY83" i="2"/>
  <c r="CW83" i="2"/>
  <c r="BQ83" i="2"/>
  <c r="E25" i="2"/>
  <c r="DB25" i="2" l="1"/>
  <c r="DS83" i="2"/>
  <c r="DT25" i="2"/>
  <c r="DV25" i="2" s="1"/>
  <c r="BF83" i="2"/>
  <c r="EP83" i="2"/>
  <c r="AX83" i="2"/>
  <c r="BO83" i="2"/>
  <c r="BP25" i="2"/>
  <c r="BR25" i="2" s="1"/>
  <c r="C25" i="2"/>
  <c r="C83" i="2" s="1"/>
  <c r="EL83" i="2"/>
  <c r="AH83" i="2"/>
  <c r="AX53" i="2"/>
  <c r="P25" i="2"/>
  <c r="P83" i="2" s="1"/>
  <c r="P87" i="2" s="1"/>
  <c r="R53" i="2"/>
  <c r="AR25" i="2"/>
  <c r="AR83" i="2" s="1"/>
  <c r="AR87" i="2" s="1"/>
  <c r="AT53" i="2"/>
  <c r="BF53" i="2"/>
  <c r="X25" i="2"/>
  <c r="X83" i="2" s="1"/>
  <c r="X87" i="2" s="1"/>
  <c r="Z53" i="2"/>
  <c r="EB25" i="2"/>
  <c r="ED25" i="2" s="1"/>
  <c r="ED53" i="2"/>
  <c r="H25" i="2"/>
  <c r="H83" i="2" s="1"/>
  <c r="H87" i="2" s="1"/>
  <c r="J53" i="2"/>
  <c r="AH53" i="2"/>
  <c r="EH53" i="2"/>
  <c r="EH25" i="2"/>
  <c r="EP25" i="2"/>
  <c r="BF25" i="2"/>
  <c r="EL25" i="2"/>
  <c r="AX25" i="2"/>
  <c r="AH25" i="2"/>
  <c r="EC87" i="2"/>
  <c r="J44" i="7"/>
  <c r="CG83" i="2"/>
  <c r="CG87" i="2" s="1"/>
  <c r="AK83" i="2"/>
  <c r="AL83" i="2" s="1"/>
  <c r="AL25" i="2"/>
  <c r="I70" i="7"/>
  <c r="FB74" i="2"/>
  <c r="J70" i="7" s="1"/>
  <c r="AC83" i="2"/>
  <c r="AC87" i="2" s="1"/>
  <c r="I49" i="7"/>
  <c r="I27" i="7"/>
  <c r="I19" i="7"/>
  <c r="AN25" i="2"/>
  <c r="AZ25" i="2"/>
  <c r="EY25" i="2"/>
  <c r="G21" i="7" s="1"/>
  <c r="G86" i="7" s="1"/>
  <c r="EY23" i="2"/>
  <c r="G19" i="7" s="1"/>
  <c r="EY53" i="2"/>
  <c r="G49" i="7" s="1"/>
  <c r="EY31" i="2"/>
  <c r="G27" i="7" s="1"/>
  <c r="AB25" i="2"/>
  <c r="AB83" i="2" s="1"/>
  <c r="AB87" i="2" s="1"/>
  <c r="T25" i="2"/>
  <c r="CF25" i="2"/>
  <c r="CH25" i="2" s="1"/>
  <c r="BH25" i="2"/>
  <c r="BH83" i="2" s="1"/>
  <c r="BH87" i="2" s="1"/>
  <c r="CN25" i="2"/>
  <c r="CN83" i="2" s="1"/>
  <c r="CN87" i="2" s="1"/>
  <c r="CJ25" i="2"/>
  <c r="CL25" i="2" s="1"/>
  <c r="DL25" i="2"/>
  <c r="DN25" i="2" s="1"/>
  <c r="DP25" i="2"/>
  <c r="DP83" i="2" s="1"/>
  <c r="DP87" i="2" s="1"/>
  <c r="H44" i="7"/>
  <c r="J56" i="7"/>
  <c r="H56" i="7"/>
  <c r="J16" i="7"/>
  <c r="H16" i="7"/>
  <c r="J30" i="7"/>
  <c r="H30" i="7"/>
  <c r="H71" i="7"/>
  <c r="J71" i="7"/>
  <c r="J18" i="7"/>
  <c r="H18" i="7"/>
  <c r="J26" i="7"/>
  <c r="H26" i="7"/>
  <c r="J82" i="7"/>
  <c r="FD86" i="2"/>
  <c r="H82" i="7"/>
  <c r="J68" i="7"/>
  <c r="H68" i="7"/>
  <c r="J37" i="7"/>
  <c r="H37" i="7"/>
  <c r="J81" i="7"/>
  <c r="H81" i="7"/>
  <c r="J15" i="7"/>
  <c r="H15" i="7"/>
  <c r="J58" i="7"/>
  <c r="H58" i="7"/>
  <c r="J64" i="7"/>
  <c r="H64" i="7"/>
  <c r="J17" i="7"/>
  <c r="H17" i="7"/>
  <c r="J76" i="7"/>
  <c r="H76" i="7"/>
  <c r="J20" i="7"/>
  <c r="H20" i="7"/>
  <c r="J32" i="7"/>
  <c r="H32" i="7"/>
  <c r="J80" i="7"/>
  <c r="H80" i="7"/>
  <c r="J11" i="7"/>
  <c r="H11" i="7"/>
  <c r="J10" i="7"/>
  <c r="H10" i="7"/>
  <c r="J54" i="7"/>
  <c r="H54" i="7"/>
  <c r="J24" i="7"/>
  <c r="H24" i="7"/>
  <c r="J28" i="7"/>
  <c r="H28" i="7"/>
  <c r="J60" i="7"/>
  <c r="H60" i="7"/>
  <c r="J69" i="7"/>
  <c r="H69" i="7"/>
  <c r="J14" i="7"/>
  <c r="H14" i="7"/>
  <c r="J67" i="7"/>
  <c r="H67" i="7"/>
  <c r="J8" i="7"/>
  <c r="FD23" i="2"/>
  <c r="H8" i="7"/>
  <c r="J22" i="7"/>
  <c r="H22" i="7"/>
  <c r="J13" i="7"/>
  <c r="H13" i="7"/>
  <c r="J73" i="7"/>
  <c r="H73" i="7"/>
  <c r="J25" i="7"/>
  <c r="H25" i="7"/>
  <c r="J61" i="7"/>
  <c r="H61" i="7"/>
  <c r="J34" i="7"/>
  <c r="H34" i="7"/>
  <c r="J75" i="7"/>
  <c r="H75" i="7"/>
  <c r="J74" i="7"/>
  <c r="H74" i="7"/>
  <c r="J84" i="7"/>
  <c r="H84" i="7"/>
  <c r="J33" i="7"/>
  <c r="H33" i="7"/>
  <c r="J77" i="7"/>
  <c r="H77" i="7"/>
  <c r="J66" i="7"/>
  <c r="H66" i="7"/>
  <c r="J31" i="7"/>
  <c r="H31" i="7"/>
  <c r="H72" i="7"/>
  <c r="J72" i="7"/>
  <c r="J12" i="7"/>
  <c r="H12" i="7"/>
  <c r="J53" i="7"/>
  <c r="H53" i="7"/>
  <c r="J9" i="7"/>
  <c r="H9" i="7"/>
  <c r="J52" i="7"/>
  <c r="H52" i="7"/>
  <c r="J50" i="7"/>
  <c r="H50" i="7"/>
  <c r="J62" i="7"/>
  <c r="H62" i="7"/>
  <c r="FA25" i="2"/>
  <c r="J29" i="7"/>
  <c r="H29" i="7"/>
  <c r="J40" i="7"/>
  <c r="H40" i="7"/>
  <c r="J39" i="7"/>
  <c r="H39" i="7"/>
  <c r="J41" i="7"/>
  <c r="H41" i="7"/>
  <c r="J43" i="7"/>
  <c r="H43" i="7"/>
  <c r="J42" i="7"/>
  <c r="H42" i="7"/>
  <c r="J48" i="7"/>
  <c r="H48" i="7"/>
  <c r="J47" i="7"/>
  <c r="H47" i="7"/>
  <c r="J46" i="7"/>
  <c r="H46" i="7"/>
  <c r="J45" i="7"/>
  <c r="H45" i="7"/>
  <c r="EZ23" i="2"/>
  <c r="FB23" i="2" s="1"/>
  <c r="EZ55" i="2"/>
  <c r="FB55" i="2" s="1"/>
  <c r="EZ53" i="2"/>
  <c r="FB53" i="2" s="1"/>
  <c r="EM83" i="2"/>
  <c r="EE87" i="2"/>
  <c r="EF83" i="2"/>
  <c r="EF87" i="2" s="1"/>
  <c r="D31" i="2"/>
  <c r="F31" i="2" s="1"/>
  <c r="CE83" i="2"/>
  <c r="CM83" i="2"/>
  <c r="BG83" i="2"/>
  <c r="AY83" i="2"/>
  <c r="DO83" i="2"/>
  <c r="CQ83" i="2"/>
  <c r="CR25" i="2"/>
  <c r="CT25" i="2" s="1"/>
  <c r="AI83" i="2"/>
  <c r="DX25" i="2"/>
  <c r="DZ25" i="2" s="1"/>
  <c r="DW83" i="2"/>
  <c r="CU83" i="2"/>
  <c r="CV25" i="2"/>
  <c r="CX25" i="2" s="1"/>
  <c r="DD25" i="2"/>
  <c r="DF25" i="2" s="1"/>
  <c r="DC83" i="2"/>
  <c r="BL25" i="2"/>
  <c r="BN25" i="2" s="1"/>
  <c r="BK83" i="2"/>
  <c r="EU83" i="2"/>
  <c r="EV25" i="2"/>
  <c r="EX25" i="2" s="1"/>
  <c r="BE87" i="2"/>
  <c r="BF87" i="2" s="1"/>
  <c r="DM87" i="2"/>
  <c r="U87" i="2"/>
  <c r="EO87" i="2"/>
  <c r="EP87" i="2" s="1"/>
  <c r="DQ83" i="2"/>
  <c r="EQ83" i="2"/>
  <c r="ER25" i="2"/>
  <c r="ET25" i="2" s="1"/>
  <c r="BY83" i="2"/>
  <c r="CK87" i="2"/>
  <c r="G83" i="2"/>
  <c r="DJ83" i="2"/>
  <c r="DI87" i="2"/>
  <c r="CW87" i="2"/>
  <c r="AW87" i="2"/>
  <c r="AX87" i="2" s="1"/>
  <c r="DE87" i="2"/>
  <c r="M87" i="2"/>
  <c r="DA83" i="2"/>
  <c r="DB83" i="2" s="1"/>
  <c r="EI83" i="2"/>
  <c r="BS83" i="2"/>
  <c r="BT25" i="2"/>
  <c r="BV25" i="2" s="1"/>
  <c r="O83" i="2"/>
  <c r="DK83" i="2"/>
  <c r="BM87" i="2"/>
  <c r="DU87" i="2"/>
  <c r="CO83" i="2"/>
  <c r="I87" i="2"/>
  <c r="BU87" i="2"/>
  <c r="AQ83" i="2"/>
  <c r="EG83" i="2"/>
  <c r="AM83" i="2"/>
  <c r="BQ87" i="2"/>
  <c r="DY87" i="2"/>
  <c r="Q87" i="2"/>
  <c r="CC87" i="2"/>
  <c r="EK87" i="2"/>
  <c r="AS87" i="2"/>
  <c r="BW89" i="2"/>
  <c r="BX89" i="2"/>
  <c r="W83" i="2"/>
  <c r="EA83" i="2"/>
  <c r="BC83" i="2"/>
  <c r="CS87" i="2"/>
  <c r="AO87" i="2"/>
  <c r="K83" i="2"/>
  <c r="L25" i="2"/>
  <c r="N25" i="2" s="1"/>
  <c r="AU83" i="2"/>
  <c r="CY83" i="2"/>
  <c r="CA83" i="2"/>
  <c r="CB25" i="2"/>
  <c r="CD25" i="2" s="1"/>
  <c r="AE83" i="2"/>
  <c r="Y87" i="2"/>
  <c r="ES87" i="2"/>
  <c r="BA87" i="2"/>
  <c r="S89" i="2"/>
  <c r="DG89" i="2"/>
  <c r="DH87" i="2"/>
  <c r="DH89" i="2" s="1"/>
  <c r="BI83" i="2"/>
  <c r="CI83" i="2"/>
  <c r="AA83" i="2"/>
  <c r="AG87" i="2"/>
  <c r="AH87" i="2" s="1"/>
  <c r="D25" i="2"/>
  <c r="F25" i="2" s="1"/>
  <c r="E83" i="2"/>
  <c r="AK87" i="2" l="1"/>
  <c r="AL87" i="2" s="1"/>
  <c r="R87" i="2"/>
  <c r="DT83" i="2"/>
  <c r="DV83" i="2" s="1"/>
  <c r="DS87" i="2"/>
  <c r="AT87" i="2"/>
  <c r="J87" i="2"/>
  <c r="BP83" i="2"/>
  <c r="BR83" i="2" s="1"/>
  <c r="BO87" i="2"/>
  <c r="J83" i="2"/>
  <c r="AT25" i="2"/>
  <c r="AT83" i="2"/>
  <c r="AD87" i="2"/>
  <c r="R25" i="2"/>
  <c r="Z87" i="2"/>
  <c r="CP83" i="2"/>
  <c r="Z25" i="2"/>
  <c r="EH83" i="2"/>
  <c r="CF83" i="2"/>
  <c r="R83" i="2"/>
  <c r="Z83" i="2"/>
  <c r="J25" i="2"/>
  <c r="AD25" i="2"/>
  <c r="CP25" i="2"/>
  <c r="BJ25" i="2"/>
  <c r="AZ83" i="2"/>
  <c r="BB25" i="2"/>
  <c r="BJ83" i="2"/>
  <c r="DR83" i="2"/>
  <c r="AN83" i="2"/>
  <c r="AP25" i="2"/>
  <c r="AD83" i="2"/>
  <c r="DR25" i="2"/>
  <c r="T83" i="2"/>
  <c r="V25" i="2"/>
  <c r="EY83" i="2"/>
  <c r="G79" i="7" s="1"/>
  <c r="I21" i="7"/>
  <c r="I86" i="7" s="1"/>
  <c r="FC83" i="2"/>
  <c r="EZ31" i="2"/>
  <c r="DL83" i="2"/>
  <c r="CJ83" i="2"/>
  <c r="CJ87" i="2" s="1"/>
  <c r="EB83" i="2"/>
  <c r="ED83" i="2" s="1"/>
  <c r="J49" i="7"/>
  <c r="H49" i="7"/>
  <c r="FA83" i="2"/>
  <c r="J51" i="7"/>
  <c r="H51" i="7"/>
  <c r="J19" i="7"/>
  <c r="H19" i="7"/>
  <c r="EZ25" i="2"/>
  <c r="FB25" i="2" s="1"/>
  <c r="EM87" i="2"/>
  <c r="EF89" i="2"/>
  <c r="EE89" i="2"/>
  <c r="CE87" i="2"/>
  <c r="CM87" i="2"/>
  <c r="BG87" i="2"/>
  <c r="AY87" i="2"/>
  <c r="DO87" i="2"/>
  <c r="DD83" i="2"/>
  <c r="DF83" i="2" s="1"/>
  <c r="DC87" i="2"/>
  <c r="DX83" i="2"/>
  <c r="DZ83" i="2" s="1"/>
  <c r="DW87" i="2"/>
  <c r="EV83" i="2"/>
  <c r="EX83" i="2" s="1"/>
  <c r="EU87" i="2"/>
  <c r="CR83" i="2"/>
  <c r="CQ87" i="2"/>
  <c r="BL83" i="2"/>
  <c r="BK87" i="2"/>
  <c r="AI87" i="2"/>
  <c r="CV83" i="2"/>
  <c r="CX83" i="2" s="1"/>
  <c r="CU87" i="2"/>
  <c r="BI87" i="2"/>
  <c r="BJ87" i="2" s="1"/>
  <c r="CB83" i="2"/>
  <c r="CA87" i="2"/>
  <c r="AM87" i="2"/>
  <c r="CI87" i="2"/>
  <c r="AE87" i="2"/>
  <c r="CY87" i="2"/>
  <c r="K87" i="2"/>
  <c r="L83" i="2"/>
  <c r="N83" i="2" s="1"/>
  <c r="BC87" i="2"/>
  <c r="W87" i="2"/>
  <c r="EG87" i="2"/>
  <c r="EH87" i="2" s="1"/>
  <c r="O87" i="2"/>
  <c r="EI87" i="2"/>
  <c r="G87" i="2"/>
  <c r="BY87" i="2"/>
  <c r="BZ87" i="2" s="1"/>
  <c r="DQ87" i="2"/>
  <c r="DR87" i="2" s="1"/>
  <c r="AG89" i="2"/>
  <c r="Y89" i="2"/>
  <c r="CS89" i="2"/>
  <c r="AS89" i="2"/>
  <c r="CC89" i="2"/>
  <c r="DY89" i="2"/>
  <c r="CG89" i="2"/>
  <c r="BU89" i="2"/>
  <c r="BM89" i="2"/>
  <c r="DE89" i="2"/>
  <c r="CW89" i="2"/>
  <c r="DJ87" i="2"/>
  <c r="DI89" i="2"/>
  <c r="DJ89" i="2" s="1"/>
  <c r="CK89" i="2"/>
  <c r="EO89" i="2"/>
  <c r="DM89" i="2"/>
  <c r="AA87" i="2"/>
  <c r="BS87" i="2"/>
  <c r="BT83" i="2"/>
  <c r="BV83" i="2" s="1"/>
  <c r="AU87" i="2"/>
  <c r="AQ87" i="2"/>
  <c r="CO87" i="2"/>
  <c r="CP87" i="2" s="1"/>
  <c r="DK87" i="2"/>
  <c r="DA87" i="2"/>
  <c r="DB87" i="2" s="1"/>
  <c r="EQ87" i="2"/>
  <c r="ER83" i="2"/>
  <c r="ET83" i="2" s="1"/>
  <c r="BA89" i="2"/>
  <c r="ES89" i="2"/>
  <c r="AO89" i="2"/>
  <c r="AC89" i="2"/>
  <c r="EK89" i="2"/>
  <c r="Q89" i="2"/>
  <c r="BQ89" i="2"/>
  <c r="EC89" i="2"/>
  <c r="I89" i="2"/>
  <c r="DU89" i="2"/>
  <c r="M89" i="2"/>
  <c r="AW89" i="2"/>
  <c r="AK89" i="2"/>
  <c r="U89" i="2"/>
  <c r="BE89" i="2"/>
  <c r="EA87" i="2"/>
  <c r="C87" i="2"/>
  <c r="D83" i="2"/>
  <c r="F83" i="2" s="1"/>
  <c r="E87" i="2"/>
  <c r="CD83" i="2" l="1"/>
  <c r="CB87" i="2"/>
  <c r="CT83" i="2"/>
  <c r="CR87" i="2"/>
  <c r="BN83" i="2"/>
  <c r="BL87" i="2"/>
  <c r="CF87" i="2"/>
  <c r="CH87" i="2" s="1"/>
  <c r="DT87" i="2"/>
  <c r="DS89" i="2"/>
  <c r="BO89" i="2"/>
  <c r="BP87" i="2"/>
  <c r="CH83" i="2"/>
  <c r="FB31" i="2"/>
  <c r="J27" i="7" s="1"/>
  <c r="AZ87" i="2"/>
  <c r="BB87" i="2" s="1"/>
  <c r="BB83" i="2"/>
  <c r="CL87" i="2"/>
  <c r="CL83" i="2"/>
  <c r="T87" i="2"/>
  <c r="V83" i="2"/>
  <c r="DL87" i="2"/>
  <c r="DN87" i="2" s="1"/>
  <c r="DN83" i="2"/>
  <c r="AN87" i="2"/>
  <c r="AP87" i="2" s="1"/>
  <c r="AP83" i="2"/>
  <c r="EY87" i="2"/>
  <c r="G83" i="7" s="1"/>
  <c r="I79" i="7"/>
  <c r="FC86" i="2"/>
  <c r="EB87" i="2"/>
  <c r="ED87" i="2" s="1"/>
  <c r="H27" i="7"/>
  <c r="EJ87" i="2"/>
  <c r="EL87" i="2" s="1"/>
  <c r="J21" i="7"/>
  <c r="J86" i="7" s="1"/>
  <c r="H21" i="7"/>
  <c r="H86" i="7" s="1"/>
  <c r="FD83" i="2"/>
  <c r="FD89" i="2" s="1"/>
  <c r="FA87" i="2"/>
  <c r="BT87" i="2"/>
  <c r="BV87" i="2" s="1"/>
  <c r="EZ83" i="2"/>
  <c r="FB83" i="2" s="1"/>
  <c r="EM89" i="2"/>
  <c r="CM89" i="2"/>
  <c r="CN89" i="2"/>
  <c r="CE89" i="2"/>
  <c r="BH89" i="2"/>
  <c r="BG89" i="2"/>
  <c r="AY89" i="2"/>
  <c r="DO89" i="2"/>
  <c r="DP89" i="2"/>
  <c r="CV87" i="2"/>
  <c r="CX87" i="2" s="1"/>
  <c r="CU89" i="2"/>
  <c r="BN87" i="2"/>
  <c r="BK89" i="2"/>
  <c r="EU89" i="2"/>
  <c r="EV87" i="2"/>
  <c r="EX87" i="2" s="1"/>
  <c r="DC89" i="2"/>
  <c r="DD87" i="2"/>
  <c r="DF87" i="2" s="1"/>
  <c r="AI89" i="2"/>
  <c r="CQ89" i="2"/>
  <c r="CT87" i="2"/>
  <c r="DW89" i="2"/>
  <c r="DX87" i="2"/>
  <c r="DA89" i="2"/>
  <c r="EA89" i="2"/>
  <c r="EQ89" i="2"/>
  <c r="ER87" i="2"/>
  <c r="ET87" i="2" s="1"/>
  <c r="BS89" i="2"/>
  <c r="G89" i="2"/>
  <c r="W89" i="2"/>
  <c r="K89" i="2"/>
  <c r="L87" i="2"/>
  <c r="AM89" i="2"/>
  <c r="CO89" i="2"/>
  <c r="AU89" i="2"/>
  <c r="AA89" i="2"/>
  <c r="BY89" i="2"/>
  <c r="BZ89" i="2" s="1"/>
  <c r="EI89" i="2"/>
  <c r="EG89" i="2"/>
  <c r="EH89" i="2" s="1"/>
  <c r="BC89" i="2"/>
  <c r="CY89" i="2"/>
  <c r="CZ89" i="2"/>
  <c r="CA89" i="2"/>
  <c r="CD87" i="2"/>
  <c r="CI89" i="2"/>
  <c r="DK89" i="2"/>
  <c r="AQ89" i="2"/>
  <c r="DQ89" i="2"/>
  <c r="O89" i="2"/>
  <c r="AE89" i="2"/>
  <c r="BI89" i="2"/>
  <c r="D87" i="2"/>
  <c r="D89" i="2" s="1"/>
  <c r="C89" i="2"/>
  <c r="E89" i="2"/>
  <c r="DT89" i="2" l="1"/>
  <c r="DV89" i="2" s="1"/>
  <c r="DV87" i="2"/>
  <c r="BP89" i="2"/>
  <c r="BR89" i="2" s="1"/>
  <c r="BR87" i="2"/>
  <c r="DR89" i="2"/>
  <c r="DB89" i="2"/>
  <c r="BJ89" i="2"/>
  <c r="CP89" i="2"/>
  <c r="T89" i="2"/>
  <c r="V89" i="2" s="1"/>
  <c r="V87" i="2"/>
  <c r="EY89" i="2"/>
  <c r="G85" i="7" s="1"/>
  <c r="I83" i="7"/>
  <c r="FC89" i="2"/>
  <c r="FA89" i="2"/>
  <c r="J79" i="7"/>
  <c r="H79" i="7"/>
  <c r="EV89" i="2"/>
  <c r="EX89" i="2" s="1"/>
  <c r="EZ87" i="2"/>
  <c r="FB87" i="2" s="1"/>
  <c r="EN89" i="2"/>
  <c r="EP89" i="2" s="1"/>
  <c r="CF89" i="2"/>
  <c r="CH89" i="2" s="1"/>
  <c r="AZ89" i="2"/>
  <c r="BB89" i="2" s="1"/>
  <c r="AJ89" i="2"/>
  <c r="AL89" i="2" s="1"/>
  <c r="DD89" i="2"/>
  <c r="DF89" i="2" s="1"/>
  <c r="CR89" i="2"/>
  <c r="CT89" i="2" s="1"/>
  <c r="BL89" i="2"/>
  <c r="BN89" i="2" s="1"/>
  <c r="DX89" i="2"/>
  <c r="DZ89" i="2" s="1"/>
  <c r="DZ87" i="2"/>
  <c r="CV89" i="2"/>
  <c r="CX89" i="2" s="1"/>
  <c r="DL89" i="2"/>
  <c r="DN89" i="2" s="1"/>
  <c r="AV89" i="2"/>
  <c r="AX89" i="2" s="1"/>
  <c r="BT89" i="2"/>
  <c r="BV89" i="2" s="1"/>
  <c r="AR89" i="2"/>
  <c r="AT89" i="2" s="1"/>
  <c r="CB89" i="2"/>
  <c r="CD89" i="2" s="1"/>
  <c r="BD89" i="2"/>
  <c r="BF89" i="2" s="1"/>
  <c r="EJ89" i="2"/>
  <c r="EL89" i="2" s="1"/>
  <c r="AB89" i="2"/>
  <c r="AD89" i="2" s="1"/>
  <c r="ER89" i="2"/>
  <c r="ET89" i="2" s="1"/>
  <c r="EB89" i="2"/>
  <c r="ED89" i="2" s="1"/>
  <c r="P89" i="2"/>
  <c r="R89" i="2" s="1"/>
  <c r="CJ89" i="2"/>
  <c r="CL89" i="2" s="1"/>
  <c r="AN89" i="2"/>
  <c r="AP89" i="2" s="1"/>
  <c r="X89" i="2"/>
  <c r="Z89" i="2" s="1"/>
  <c r="AF89" i="2"/>
  <c r="AH89" i="2" s="1"/>
  <c r="L89" i="2"/>
  <c r="N89" i="2" s="1"/>
  <c r="N87" i="2"/>
  <c r="H89" i="2"/>
  <c r="J89" i="2" s="1"/>
  <c r="F87" i="2"/>
  <c r="F89" i="2"/>
  <c r="I85" i="7" l="1"/>
  <c r="J83" i="7"/>
  <c r="H83" i="7"/>
  <c r="EZ89" i="2"/>
  <c r="FB89" i="2" s="1"/>
  <c r="BD82" i="1"/>
  <c r="BT82" i="1" s="1"/>
  <c r="BS88" i="1"/>
  <c r="C84" i="7" s="1"/>
  <c r="CE84" i="7" s="1"/>
  <c r="BS85" i="1"/>
  <c r="C81" i="7" s="1"/>
  <c r="CE81" i="7" s="1"/>
  <c r="BS84" i="1"/>
  <c r="C80" i="7" s="1"/>
  <c r="CE80" i="7" s="1"/>
  <c r="BS81" i="1"/>
  <c r="C77" i="7" s="1"/>
  <c r="CE77" i="7" s="1"/>
  <c r="BS80" i="1"/>
  <c r="C76" i="7" s="1"/>
  <c r="CE76" i="7" s="1"/>
  <c r="BS79" i="1"/>
  <c r="C75" i="7" s="1"/>
  <c r="CE75" i="7" s="1"/>
  <c r="BS78" i="1"/>
  <c r="C74" i="7" s="1"/>
  <c r="CE74" i="7" s="1"/>
  <c r="BS77" i="1"/>
  <c r="C73" i="7" s="1"/>
  <c r="CE73" i="7" s="1"/>
  <c r="BS76" i="1"/>
  <c r="C72" i="7" s="1"/>
  <c r="CE72" i="7" s="1"/>
  <c r="BS75" i="1"/>
  <c r="C71" i="7" s="1"/>
  <c r="CE71" i="7" s="1"/>
  <c r="BS73" i="1"/>
  <c r="C69" i="7" s="1"/>
  <c r="CE69" i="7" s="1"/>
  <c r="BS72" i="1"/>
  <c r="C68" i="7" s="1"/>
  <c r="CE68" i="7" s="1"/>
  <c r="BS71" i="1"/>
  <c r="C67" i="7" s="1"/>
  <c r="CE67" i="7" s="1"/>
  <c r="BS69" i="1"/>
  <c r="C65" i="7" s="1"/>
  <c r="CE65" i="7" s="1"/>
  <c r="BS68" i="1"/>
  <c r="C64" i="7" s="1"/>
  <c r="CE64" i="7" s="1"/>
  <c r="BS67" i="1"/>
  <c r="C63" i="7" s="1"/>
  <c r="CE63" i="7" s="1"/>
  <c r="BS66" i="1"/>
  <c r="C62" i="7" s="1"/>
  <c r="CE62" i="7" s="1"/>
  <c r="BS65" i="1"/>
  <c r="C61" i="7" s="1"/>
  <c r="CE61" i="7" s="1"/>
  <c r="BS64" i="1"/>
  <c r="C60" i="7" s="1"/>
  <c r="CE60" i="7" s="1"/>
  <c r="BS63" i="1"/>
  <c r="C59" i="7" s="1"/>
  <c r="CE59" i="7" s="1"/>
  <c r="BS62" i="1"/>
  <c r="C58" i="7" s="1"/>
  <c r="CE58" i="7" s="1"/>
  <c r="BS61" i="1"/>
  <c r="C57" i="7" s="1"/>
  <c r="CE57" i="7" s="1"/>
  <c r="BS60" i="1"/>
  <c r="C56" i="7" s="1"/>
  <c r="CE56" i="7" s="1"/>
  <c r="BS59" i="1"/>
  <c r="C55" i="7" s="1"/>
  <c r="CE55" i="7" s="1"/>
  <c r="BS58" i="1"/>
  <c r="C54" i="7" s="1"/>
  <c r="CE54" i="7" s="1"/>
  <c r="BS57" i="1"/>
  <c r="C53" i="7" s="1"/>
  <c r="CE53" i="7" s="1"/>
  <c r="BS56" i="1"/>
  <c r="C52" i="7" s="1"/>
  <c r="CE52" i="7" s="1"/>
  <c r="BS54" i="1"/>
  <c r="C50" i="7" s="1"/>
  <c r="CE50" i="7" s="1"/>
  <c r="BS52" i="1"/>
  <c r="C48" i="7" s="1"/>
  <c r="CE48" i="7" s="1"/>
  <c r="BS51" i="1"/>
  <c r="C47" i="7" s="1"/>
  <c r="CE47" i="7" s="1"/>
  <c r="BS50" i="1"/>
  <c r="C46" i="7" s="1"/>
  <c r="CE46" i="7" s="1"/>
  <c r="BS49" i="1"/>
  <c r="C45" i="7" s="1"/>
  <c r="CE45" i="7" s="1"/>
  <c r="BS47" i="1"/>
  <c r="C43" i="7" s="1"/>
  <c r="CE43" i="7" s="1"/>
  <c r="BS46" i="1"/>
  <c r="C42" i="7" s="1"/>
  <c r="CE42" i="7" s="1"/>
  <c r="C41" i="7"/>
  <c r="CE41" i="7" s="1"/>
  <c r="C40" i="7"/>
  <c r="CE40" i="7" s="1"/>
  <c r="BS41" i="1"/>
  <c r="C37" i="7" s="1"/>
  <c r="CE37" i="7" s="1"/>
  <c r="BS39" i="1"/>
  <c r="C35" i="7" s="1"/>
  <c r="CE35" i="7" s="1"/>
  <c r="BS38" i="1"/>
  <c r="C34" i="7" s="1"/>
  <c r="CE34" i="7" s="1"/>
  <c r="BS37" i="1"/>
  <c r="C33" i="7" s="1"/>
  <c r="CE33" i="7" s="1"/>
  <c r="BS36" i="1"/>
  <c r="C32" i="7" s="1"/>
  <c r="CE32" i="7" s="1"/>
  <c r="BS35" i="1"/>
  <c r="C31" i="7" s="1"/>
  <c r="CE31" i="7" s="1"/>
  <c r="BS34" i="1"/>
  <c r="C30" i="7" s="1"/>
  <c r="CE30" i="7" s="1"/>
  <c r="BS32" i="1"/>
  <c r="C28" i="7" s="1"/>
  <c r="CE28" i="7" s="1"/>
  <c r="BS30" i="1"/>
  <c r="C26" i="7" s="1"/>
  <c r="CE26" i="7" s="1"/>
  <c r="BS29" i="1"/>
  <c r="C25" i="7" s="1"/>
  <c r="CE25" i="7" s="1"/>
  <c r="BS28" i="1"/>
  <c r="C24" i="7" s="1"/>
  <c r="CE24" i="7" s="1"/>
  <c r="BS27" i="1"/>
  <c r="C23" i="7" s="1"/>
  <c r="CE23" i="7" s="1"/>
  <c r="BS26" i="1"/>
  <c r="C22" i="7" s="1"/>
  <c r="CE22" i="7" s="1"/>
  <c r="BS22" i="1"/>
  <c r="C18" i="7" s="1"/>
  <c r="CE18" i="7" s="1"/>
  <c r="BS21" i="1"/>
  <c r="C17" i="7" s="1"/>
  <c r="CE17" i="7" s="1"/>
  <c r="BS20" i="1"/>
  <c r="C16" i="7" s="1"/>
  <c r="CE16" i="7" s="1"/>
  <c r="BS19" i="1"/>
  <c r="C15" i="7" s="1"/>
  <c r="CE15" i="7" s="1"/>
  <c r="BS18" i="1"/>
  <c r="C14" i="7" s="1"/>
  <c r="CE14" i="7" s="1"/>
  <c r="BS17" i="1"/>
  <c r="C13" i="7" s="1"/>
  <c r="CE13" i="7" s="1"/>
  <c r="BS16" i="1"/>
  <c r="C12" i="7" s="1"/>
  <c r="CE12" i="7" s="1"/>
  <c r="BS15" i="1"/>
  <c r="C11" i="7" s="1"/>
  <c r="CE11" i="7" s="1"/>
  <c r="BS14" i="1"/>
  <c r="C10" i="7" s="1"/>
  <c r="CE10" i="7" s="1"/>
  <c r="BS13" i="1"/>
  <c r="C9" i="7" s="1"/>
  <c r="CE9" i="7" s="1"/>
  <c r="BV82" i="1" l="1"/>
  <c r="F78" i="7" s="1"/>
  <c r="BF82" i="1"/>
  <c r="D78" i="7"/>
  <c r="CF78" i="7" s="1"/>
  <c r="CH78" i="7" s="1"/>
  <c r="J85" i="7"/>
  <c r="H85" i="7"/>
  <c r="BP88" i="1"/>
  <c r="BR88" i="1" s="1"/>
  <c r="BL88" i="1"/>
  <c r="BH88" i="1"/>
  <c r="BD88" i="1"/>
  <c r="BF88" i="1" s="1"/>
  <c r="AZ88" i="1"/>
  <c r="BB88" i="1" s="1"/>
  <c r="AV88" i="1"/>
  <c r="AX88" i="1" s="1"/>
  <c r="AR88" i="1"/>
  <c r="AT88" i="1" s="1"/>
  <c r="AN88" i="1"/>
  <c r="AP88" i="1" s="1"/>
  <c r="AJ88" i="1"/>
  <c r="AL88" i="1" s="1"/>
  <c r="AF88" i="1"/>
  <c r="AH88" i="1" s="1"/>
  <c r="X88" i="1"/>
  <c r="Z88" i="1" s="1"/>
  <c r="T88" i="1"/>
  <c r="V88" i="1" s="1"/>
  <c r="P88" i="1"/>
  <c r="R88" i="1" s="1"/>
  <c r="BQ86" i="1"/>
  <c r="BO86" i="1"/>
  <c r="BP86" i="1" s="1"/>
  <c r="BM86" i="1"/>
  <c r="BK86" i="1"/>
  <c r="BL86" i="1" s="1"/>
  <c r="BI86" i="1"/>
  <c r="BG86" i="1"/>
  <c r="BH86" i="1" s="1"/>
  <c r="BE86" i="1"/>
  <c r="BC86" i="1"/>
  <c r="BA86" i="1"/>
  <c r="AY86" i="1"/>
  <c r="AZ86" i="1" s="1"/>
  <c r="AW86" i="1"/>
  <c r="AX86" i="1" s="1"/>
  <c r="AU86" i="1"/>
  <c r="AS86" i="1"/>
  <c r="AQ86" i="1"/>
  <c r="AO86" i="1"/>
  <c r="AM86" i="1"/>
  <c r="AN86" i="1" s="1"/>
  <c r="AP86" i="1" s="1"/>
  <c r="AK86" i="1"/>
  <c r="AI86" i="1"/>
  <c r="AG86" i="1"/>
  <c r="AE86" i="1"/>
  <c r="Y86" i="1"/>
  <c r="W86" i="1"/>
  <c r="X86" i="1" s="1"/>
  <c r="Z86" i="1" s="1"/>
  <c r="U86" i="1"/>
  <c r="S86" i="1"/>
  <c r="T86" i="1" s="1"/>
  <c r="V86" i="1" s="1"/>
  <c r="Q86" i="1"/>
  <c r="O86" i="1"/>
  <c r="P86" i="1" s="1"/>
  <c r="R86" i="1" s="1"/>
  <c r="BP85" i="1"/>
  <c r="BR85" i="1" s="1"/>
  <c r="BL85" i="1"/>
  <c r="BH85" i="1"/>
  <c r="BF85" i="1"/>
  <c r="AZ85" i="1"/>
  <c r="BB85" i="1" s="1"/>
  <c r="AT85" i="1"/>
  <c r="AN85" i="1"/>
  <c r="AP85" i="1" s="1"/>
  <c r="AL85" i="1"/>
  <c r="AH85" i="1"/>
  <c r="X85" i="1"/>
  <c r="Z85" i="1" s="1"/>
  <c r="T85" i="1"/>
  <c r="V85" i="1" s="1"/>
  <c r="P85" i="1"/>
  <c r="R85" i="1" s="1"/>
  <c r="BP84" i="1"/>
  <c r="BR84" i="1" s="1"/>
  <c r="BL84" i="1"/>
  <c r="BH84" i="1"/>
  <c r="BD84" i="1"/>
  <c r="BF84" i="1" s="1"/>
  <c r="AZ84" i="1"/>
  <c r="BB84" i="1" s="1"/>
  <c r="AV84" i="1"/>
  <c r="AX84" i="1" s="1"/>
  <c r="AR84" i="1"/>
  <c r="AT84" i="1" s="1"/>
  <c r="AN84" i="1"/>
  <c r="AP84" i="1" s="1"/>
  <c r="AJ84" i="1"/>
  <c r="AL84" i="1" s="1"/>
  <c r="AF84" i="1"/>
  <c r="AH84" i="1" s="1"/>
  <c r="X84" i="1"/>
  <c r="Z84" i="1" s="1"/>
  <c r="T84" i="1"/>
  <c r="V84" i="1" s="1"/>
  <c r="P84" i="1"/>
  <c r="R84" i="1" s="1"/>
  <c r="BP81" i="1"/>
  <c r="BR81" i="1" s="1"/>
  <c r="BL81" i="1"/>
  <c r="BN81" i="1" s="1"/>
  <c r="BH81" i="1"/>
  <c r="BD81" i="1"/>
  <c r="BF81" i="1" s="1"/>
  <c r="AZ81" i="1"/>
  <c r="BB81" i="1" s="1"/>
  <c r="AV81" i="1"/>
  <c r="AX81" i="1" s="1"/>
  <c r="AR81" i="1"/>
  <c r="AT81" i="1" s="1"/>
  <c r="AN81" i="1"/>
  <c r="AP81" i="1" s="1"/>
  <c r="AJ81" i="1"/>
  <c r="AL81" i="1" s="1"/>
  <c r="AF81" i="1"/>
  <c r="AH81" i="1" s="1"/>
  <c r="X81" i="1"/>
  <c r="Z81" i="1" s="1"/>
  <c r="T81" i="1"/>
  <c r="V81" i="1" s="1"/>
  <c r="P81" i="1"/>
  <c r="R81" i="1" s="1"/>
  <c r="BP80" i="1"/>
  <c r="BR80" i="1" s="1"/>
  <c r="BL80" i="1"/>
  <c r="BH80" i="1"/>
  <c r="BD80" i="1"/>
  <c r="BF80" i="1" s="1"/>
  <c r="AZ80" i="1"/>
  <c r="BB80" i="1" s="1"/>
  <c r="AV80" i="1"/>
  <c r="AX80" i="1" s="1"/>
  <c r="AR80" i="1"/>
  <c r="AT80" i="1" s="1"/>
  <c r="AN80" i="1"/>
  <c r="AP80" i="1" s="1"/>
  <c r="AJ80" i="1"/>
  <c r="AL80" i="1" s="1"/>
  <c r="AF80" i="1"/>
  <c r="AH80" i="1" s="1"/>
  <c r="X80" i="1"/>
  <c r="Z80" i="1" s="1"/>
  <c r="T80" i="1"/>
  <c r="V80" i="1" s="1"/>
  <c r="P80" i="1"/>
  <c r="R80" i="1" s="1"/>
  <c r="BP79" i="1"/>
  <c r="BR79" i="1" s="1"/>
  <c r="BL79" i="1"/>
  <c r="BH79" i="1"/>
  <c r="BD79" i="1"/>
  <c r="BF79" i="1" s="1"/>
  <c r="AZ79" i="1"/>
  <c r="BB79" i="1" s="1"/>
  <c r="AV79" i="1"/>
  <c r="AX79" i="1" s="1"/>
  <c r="AR79" i="1"/>
  <c r="AT79" i="1" s="1"/>
  <c r="AN79" i="1"/>
  <c r="AP79" i="1" s="1"/>
  <c r="AJ79" i="1"/>
  <c r="AL79" i="1" s="1"/>
  <c r="AF79" i="1"/>
  <c r="AH79" i="1" s="1"/>
  <c r="X79" i="1"/>
  <c r="Z79" i="1" s="1"/>
  <c r="T79" i="1"/>
  <c r="V79" i="1" s="1"/>
  <c r="P79" i="1"/>
  <c r="R79" i="1" s="1"/>
  <c r="BP78" i="1"/>
  <c r="BR78" i="1" s="1"/>
  <c r="BL78" i="1"/>
  <c r="BH78" i="1"/>
  <c r="BJ78" i="1" s="1"/>
  <c r="BD78" i="1"/>
  <c r="BF78" i="1" s="1"/>
  <c r="AZ78" i="1"/>
  <c r="BB78" i="1" s="1"/>
  <c r="AV78" i="1"/>
  <c r="AX78" i="1" s="1"/>
  <c r="AR78" i="1"/>
  <c r="AT78" i="1" s="1"/>
  <c r="AN78" i="1"/>
  <c r="AP78" i="1" s="1"/>
  <c r="AJ78" i="1"/>
  <c r="AL78" i="1" s="1"/>
  <c r="AF78" i="1"/>
  <c r="AH78" i="1" s="1"/>
  <c r="X78" i="1"/>
  <c r="Z78" i="1" s="1"/>
  <c r="T78" i="1"/>
  <c r="V78" i="1" s="1"/>
  <c r="P78" i="1"/>
  <c r="R78" i="1" s="1"/>
  <c r="BP77" i="1"/>
  <c r="BR77" i="1" s="1"/>
  <c r="BL77" i="1"/>
  <c r="BH77" i="1"/>
  <c r="BD77" i="1"/>
  <c r="BF77" i="1" s="1"/>
  <c r="AZ77" i="1"/>
  <c r="BB77" i="1" s="1"/>
  <c r="AV77" i="1"/>
  <c r="AX77" i="1" s="1"/>
  <c r="AR77" i="1"/>
  <c r="AT77" i="1" s="1"/>
  <c r="AN77" i="1"/>
  <c r="AP77" i="1" s="1"/>
  <c r="AJ77" i="1"/>
  <c r="AL77" i="1" s="1"/>
  <c r="AF77" i="1"/>
  <c r="AH77" i="1" s="1"/>
  <c r="X77" i="1"/>
  <c r="Z77" i="1" s="1"/>
  <c r="T77" i="1"/>
  <c r="V77" i="1" s="1"/>
  <c r="P77" i="1"/>
  <c r="R77" i="1" s="1"/>
  <c r="BP76" i="1"/>
  <c r="BR76" i="1" s="1"/>
  <c r="BL76" i="1"/>
  <c r="BH76" i="1"/>
  <c r="BD76" i="1"/>
  <c r="BF76" i="1" s="1"/>
  <c r="AZ76" i="1"/>
  <c r="BB76" i="1" s="1"/>
  <c r="AV76" i="1"/>
  <c r="AX76" i="1" s="1"/>
  <c r="AR76" i="1"/>
  <c r="AT76" i="1" s="1"/>
  <c r="AN76" i="1"/>
  <c r="AP76" i="1" s="1"/>
  <c r="AJ76" i="1"/>
  <c r="AL76" i="1" s="1"/>
  <c r="AF76" i="1"/>
  <c r="AH76" i="1" s="1"/>
  <c r="X76" i="1"/>
  <c r="Z76" i="1" s="1"/>
  <c r="T76" i="1"/>
  <c r="V76" i="1" s="1"/>
  <c r="P76" i="1"/>
  <c r="R76" i="1" s="1"/>
  <c r="BP75" i="1"/>
  <c r="BR75" i="1" s="1"/>
  <c r="BL75" i="1"/>
  <c r="BH75" i="1"/>
  <c r="BD75" i="1"/>
  <c r="BF75" i="1" s="1"/>
  <c r="AZ75" i="1"/>
  <c r="BB75" i="1" s="1"/>
  <c r="AV75" i="1"/>
  <c r="AX75" i="1" s="1"/>
  <c r="AR75" i="1"/>
  <c r="AT75" i="1" s="1"/>
  <c r="AN75" i="1"/>
  <c r="AP75" i="1" s="1"/>
  <c r="AJ75" i="1"/>
  <c r="AL75" i="1" s="1"/>
  <c r="AF75" i="1"/>
  <c r="AH75" i="1" s="1"/>
  <c r="X75" i="1"/>
  <c r="Z75" i="1" s="1"/>
  <c r="T75" i="1"/>
  <c r="V75" i="1" s="1"/>
  <c r="P75" i="1"/>
  <c r="R75" i="1" s="1"/>
  <c r="BQ74" i="1"/>
  <c r="BO74" i="1"/>
  <c r="BP74" i="1" s="1"/>
  <c r="BM74" i="1"/>
  <c r="BK74" i="1"/>
  <c r="BI74" i="1"/>
  <c r="BG74" i="1"/>
  <c r="BH74" i="1" s="1"/>
  <c r="BE74" i="1"/>
  <c r="BC74" i="1"/>
  <c r="BD74" i="1" s="1"/>
  <c r="BF74" i="1" s="1"/>
  <c r="BA74" i="1"/>
  <c r="AY74" i="1"/>
  <c r="AZ74" i="1" s="1"/>
  <c r="AW74" i="1"/>
  <c r="AU74" i="1"/>
  <c r="AV74" i="1" s="1"/>
  <c r="AX74" i="1" s="1"/>
  <c r="AS74" i="1"/>
  <c r="AQ74" i="1"/>
  <c r="AR74" i="1" s="1"/>
  <c r="AT74" i="1" s="1"/>
  <c r="AO74" i="1"/>
  <c r="AM74" i="1"/>
  <c r="AN74" i="1" s="1"/>
  <c r="AP74" i="1" s="1"/>
  <c r="AK74" i="1"/>
  <c r="AI74" i="1"/>
  <c r="AJ74" i="1" s="1"/>
  <c r="AL74" i="1" s="1"/>
  <c r="AG74" i="1"/>
  <c r="AE74" i="1"/>
  <c r="AF74" i="1" s="1"/>
  <c r="AH74" i="1" s="1"/>
  <c r="Y74" i="1"/>
  <c r="W74" i="1"/>
  <c r="X74" i="1" s="1"/>
  <c r="Z74" i="1" s="1"/>
  <c r="U74" i="1"/>
  <c r="S74" i="1"/>
  <c r="T74" i="1" s="1"/>
  <c r="V74" i="1" s="1"/>
  <c r="Q74" i="1"/>
  <c r="O74" i="1"/>
  <c r="P74" i="1" s="1"/>
  <c r="R74" i="1" s="1"/>
  <c r="BP73" i="1"/>
  <c r="BR73" i="1" s="1"/>
  <c r="BL73" i="1"/>
  <c r="BH73" i="1"/>
  <c r="BD73" i="1"/>
  <c r="BF73" i="1" s="1"/>
  <c r="AZ73" i="1"/>
  <c r="BB73" i="1" s="1"/>
  <c r="AV73" i="1"/>
  <c r="AX73" i="1" s="1"/>
  <c r="AR73" i="1"/>
  <c r="AT73" i="1" s="1"/>
  <c r="AN73" i="1"/>
  <c r="AP73" i="1" s="1"/>
  <c r="AJ73" i="1"/>
  <c r="AL73" i="1" s="1"/>
  <c r="AF73" i="1"/>
  <c r="AH73" i="1" s="1"/>
  <c r="X73" i="1"/>
  <c r="Z73" i="1" s="1"/>
  <c r="T73" i="1"/>
  <c r="V73" i="1" s="1"/>
  <c r="P73" i="1"/>
  <c r="R73" i="1" s="1"/>
  <c r="BP72" i="1"/>
  <c r="BR72" i="1" s="1"/>
  <c r="BL72" i="1"/>
  <c r="BH72" i="1"/>
  <c r="BD72" i="1"/>
  <c r="BF72" i="1" s="1"/>
  <c r="AZ72" i="1"/>
  <c r="BB72" i="1" s="1"/>
  <c r="AV72" i="1"/>
  <c r="AX72" i="1" s="1"/>
  <c r="AR72" i="1"/>
  <c r="AT72" i="1" s="1"/>
  <c r="AN72" i="1"/>
  <c r="AP72" i="1" s="1"/>
  <c r="AJ72" i="1"/>
  <c r="AL72" i="1" s="1"/>
  <c r="AF72" i="1"/>
  <c r="AH72" i="1" s="1"/>
  <c r="X72" i="1"/>
  <c r="Z72" i="1" s="1"/>
  <c r="T72" i="1"/>
  <c r="V72" i="1" s="1"/>
  <c r="P72" i="1"/>
  <c r="R72" i="1" s="1"/>
  <c r="BP71" i="1"/>
  <c r="BR71" i="1" s="1"/>
  <c r="BL71" i="1"/>
  <c r="BH71" i="1"/>
  <c r="BD71" i="1"/>
  <c r="BF71" i="1" s="1"/>
  <c r="AZ71" i="1"/>
  <c r="BB71" i="1" s="1"/>
  <c r="AV71" i="1"/>
  <c r="AX71" i="1" s="1"/>
  <c r="AR71" i="1"/>
  <c r="AT71" i="1" s="1"/>
  <c r="AN71" i="1"/>
  <c r="AP71" i="1" s="1"/>
  <c r="AJ71" i="1"/>
  <c r="AL71" i="1" s="1"/>
  <c r="AF71" i="1"/>
  <c r="AH71" i="1" s="1"/>
  <c r="X71" i="1"/>
  <c r="Z71" i="1" s="1"/>
  <c r="T71" i="1"/>
  <c r="V71" i="1" s="1"/>
  <c r="P71" i="1"/>
  <c r="R71" i="1" s="1"/>
  <c r="BQ70" i="1"/>
  <c r="BO70" i="1"/>
  <c r="BP70" i="1" s="1"/>
  <c r="BM70" i="1"/>
  <c r="BK70" i="1"/>
  <c r="BI70" i="1"/>
  <c r="BG70" i="1"/>
  <c r="BH70" i="1" s="1"/>
  <c r="BE70" i="1"/>
  <c r="BC70" i="1"/>
  <c r="BD70" i="1" s="1"/>
  <c r="BF70" i="1" s="1"/>
  <c r="BA70" i="1"/>
  <c r="AY70" i="1"/>
  <c r="AZ70" i="1" s="1"/>
  <c r="AW70" i="1"/>
  <c r="AU70" i="1"/>
  <c r="AV70" i="1" s="1"/>
  <c r="AX70" i="1" s="1"/>
  <c r="AS70" i="1"/>
  <c r="AQ70" i="1"/>
  <c r="AR70" i="1" s="1"/>
  <c r="AT70" i="1" s="1"/>
  <c r="AO70" i="1"/>
  <c r="AM70" i="1"/>
  <c r="AN70" i="1" s="1"/>
  <c r="AP70" i="1" s="1"/>
  <c r="AK70" i="1"/>
  <c r="AI70" i="1"/>
  <c r="AJ70" i="1" s="1"/>
  <c r="AL70" i="1" s="1"/>
  <c r="AG70" i="1"/>
  <c r="AE70" i="1"/>
  <c r="AF70" i="1" s="1"/>
  <c r="AH70" i="1" s="1"/>
  <c r="Y70" i="1"/>
  <c r="W70" i="1"/>
  <c r="X70" i="1" s="1"/>
  <c r="Z70" i="1" s="1"/>
  <c r="U70" i="1"/>
  <c r="S70" i="1"/>
  <c r="T70" i="1" s="1"/>
  <c r="V70" i="1" s="1"/>
  <c r="Q70" i="1"/>
  <c r="O70" i="1"/>
  <c r="P70" i="1" s="1"/>
  <c r="R70" i="1" s="1"/>
  <c r="BP69" i="1"/>
  <c r="BR69" i="1" s="1"/>
  <c r="BL69" i="1"/>
  <c r="BH69" i="1"/>
  <c r="BD69" i="1"/>
  <c r="BF69" i="1" s="1"/>
  <c r="AZ69" i="1"/>
  <c r="BB69" i="1" s="1"/>
  <c r="AV69" i="1"/>
  <c r="AX69" i="1" s="1"/>
  <c r="AR69" i="1"/>
  <c r="AT69" i="1" s="1"/>
  <c r="AN69" i="1"/>
  <c r="AP69" i="1" s="1"/>
  <c r="AJ69" i="1"/>
  <c r="AL69" i="1" s="1"/>
  <c r="AF69" i="1"/>
  <c r="AH69" i="1" s="1"/>
  <c r="X69" i="1"/>
  <c r="Z69" i="1" s="1"/>
  <c r="T69" i="1"/>
  <c r="V69" i="1" s="1"/>
  <c r="P69" i="1"/>
  <c r="R69" i="1" s="1"/>
  <c r="BP68" i="1"/>
  <c r="BR68" i="1" s="1"/>
  <c r="BL68" i="1"/>
  <c r="BH68" i="1"/>
  <c r="BD68" i="1"/>
  <c r="BF68" i="1" s="1"/>
  <c r="AZ68" i="1"/>
  <c r="BB68" i="1" s="1"/>
  <c r="AV68" i="1"/>
  <c r="AX68" i="1" s="1"/>
  <c r="AR68" i="1"/>
  <c r="AT68" i="1" s="1"/>
  <c r="AN68" i="1"/>
  <c r="AP68" i="1" s="1"/>
  <c r="AJ68" i="1"/>
  <c r="AL68" i="1" s="1"/>
  <c r="AF68" i="1"/>
  <c r="AH68" i="1" s="1"/>
  <c r="X68" i="1"/>
  <c r="Z68" i="1" s="1"/>
  <c r="T68" i="1"/>
  <c r="V68" i="1" s="1"/>
  <c r="P68" i="1"/>
  <c r="R68" i="1" s="1"/>
  <c r="BP67" i="1"/>
  <c r="BR67" i="1" s="1"/>
  <c r="BL67" i="1"/>
  <c r="BH67" i="1"/>
  <c r="BD67" i="1"/>
  <c r="BF67" i="1" s="1"/>
  <c r="AZ67" i="1"/>
  <c r="BB67" i="1" s="1"/>
  <c r="AV67" i="1"/>
  <c r="AX67" i="1" s="1"/>
  <c r="AR67" i="1"/>
  <c r="AT67" i="1" s="1"/>
  <c r="AN67" i="1"/>
  <c r="AP67" i="1" s="1"/>
  <c r="AJ67" i="1"/>
  <c r="AL67" i="1" s="1"/>
  <c r="AF67" i="1"/>
  <c r="AH67" i="1" s="1"/>
  <c r="X67" i="1"/>
  <c r="Z67" i="1" s="1"/>
  <c r="T67" i="1"/>
  <c r="V67" i="1" s="1"/>
  <c r="P67" i="1"/>
  <c r="R67" i="1" s="1"/>
  <c r="BP66" i="1"/>
  <c r="BR66" i="1" s="1"/>
  <c r="BL66" i="1"/>
  <c r="BH66" i="1"/>
  <c r="BD66" i="1"/>
  <c r="BF66" i="1" s="1"/>
  <c r="AZ66" i="1"/>
  <c r="BB66" i="1" s="1"/>
  <c r="AV66" i="1"/>
  <c r="AX66" i="1" s="1"/>
  <c r="AR66" i="1"/>
  <c r="AT66" i="1" s="1"/>
  <c r="AN66" i="1"/>
  <c r="AP66" i="1" s="1"/>
  <c r="AJ66" i="1"/>
  <c r="AL66" i="1" s="1"/>
  <c r="AF66" i="1"/>
  <c r="AH66" i="1" s="1"/>
  <c r="X66" i="1"/>
  <c r="Z66" i="1" s="1"/>
  <c r="T66" i="1"/>
  <c r="V66" i="1" s="1"/>
  <c r="P66" i="1"/>
  <c r="R66" i="1" s="1"/>
  <c r="BP65" i="1"/>
  <c r="BR65" i="1" s="1"/>
  <c r="BL65" i="1"/>
  <c r="BH65" i="1"/>
  <c r="BD65" i="1"/>
  <c r="BF65" i="1" s="1"/>
  <c r="AZ65" i="1"/>
  <c r="BB65" i="1" s="1"/>
  <c r="AV65" i="1"/>
  <c r="AX65" i="1" s="1"/>
  <c r="AR65" i="1"/>
  <c r="AT65" i="1" s="1"/>
  <c r="AN65" i="1"/>
  <c r="AP65" i="1" s="1"/>
  <c r="AJ65" i="1"/>
  <c r="AL65" i="1" s="1"/>
  <c r="AF65" i="1"/>
  <c r="AH65" i="1" s="1"/>
  <c r="X65" i="1"/>
  <c r="Z65" i="1" s="1"/>
  <c r="T65" i="1"/>
  <c r="V65" i="1" s="1"/>
  <c r="P65" i="1"/>
  <c r="R65" i="1" s="1"/>
  <c r="BP64" i="1"/>
  <c r="BR64" i="1" s="1"/>
  <c r="BL64" i="1"/>
  <c r="BH64" i="1"/>
  <c r="BD64" i="1"/>
  <c r="BF64" i="1" s="1"/>
  <c r="AZ64" i="1"/>
  <c r="BB64" i="1" s="1"/>
  <c r="AV64" i="1"/>
  <c r="AX64" i="1" s="1"/>
  <c r="AR64" i="1"/>
  <c r="AT64" i="1" s="1"/>
  <c r="AN64" i="1"/>
  <c r="AP64" i="1" s="1"/>
  <c r="AJ64" i="1"/>
  <c r="AL64" i="1" s="1"/>
  <c r="AF64" i="1"/>
  <c r="AH64" i="1" s="1"/>
  <c r="X64" i="1"/>
  <c r="Z64" i="1" s="1"/>
  <c r="T64" i="1"/>
  <c r="V64" i="1" s="1"/>
  <c r="P64" i="1"/>
  <c r="R64" i="1" s="1"/>
  <c r="BP63" i="1"/>
  <c r="BR63" i="1" s="1"/>
  <c r="BL63" i="1"/>
  <c r="BH63" i="1"/>
  <c r="BD63" i="1"/>
  <c r="BF63" i="1" s="1"/>
  <c r="AZ63" i="1"/>
  <c r="BB63" i="1" s="1"/>
  <c r="AV63" i="1"/>
  <c r="AX63" i="1" s="1"/>
  <c r="AR63" i="1"/>
  <c r="AT63" i="1" s="1"/>
  <c r="AN63" i="1"/>
  <c r="AP63" i="1" s="1"/>
  <c r="AJ63" i="1"/>
  <c r="AL63" i="1" s="1"/>
  <c r="AF63" i="1"/>
  <c r="AH63" i="1" s="1"/>
  <c r="X63" i="1"/>
  <c r="Z63" i="1" s="1"/>
  <c r="T63" i="1"/>
  <c r="V63" i="1" s="1"/>
  <c r="P63" i="1"/>
  <c r="R63" i="1" s="1"/>
  <c r="BP62" i="1"/>
  <c r="BR62" i="1" s="1"/>
  <c r="BL62" i="1"/>
  <c r="BH62" i="1"/>
  <c r="BD62" i="1"/>
  <c r="BF62" i="1" s="1"/>
  <c r="AZ62" i="1"/>
  <c r="BB62" i="1" s="1"/>
  <c r="AV62" i="1"/>
  <c r="AX62" i="1" s="1"/>
  <c r="AR62" i="1"/>
  <c r="AT62" i="1" s="1"/>
  <c r="AN62" i="1"/>
  <c r="AP62" i="1" s="1"/>
  <c r="AJ62" i="1"/>
  <c r="AL62" i="1" s="1"/>
  <c r="AF62" i="1"/>
  <c r="AH62" i="1" s="1"/>
  <c r="X62" i="1"/>
  <c r="Z62" i="1" s="1"/>
  <c r="T62" i="1"/>
  <c r="V62" i="1" s="1"/>
  <c r="P62" i="1"/>
  <c r="R62" i="1" s="1"/>
  <c r="BP61" i="1"/>
  <c r="BR61" i="1" s="1"/>
  <c r="BL61" i="1"/>
  <c r="BH61" i="1"/>
  <c r="BD61" i="1"/>
  <c r="BF61" i="1" s="1"/>
  <c r="AZ61" i="1"/>
  <c r="BB61" i="1" s="1"/>
  <c r="AV61" i="1"/>
  <c r="AX61" i="1" s="1"/>
  <c r="AR61" i="1"/>
  <c r="AT61" i="1" s="1"/>
  <c r="AN61" i="1"/>
  <c r="AP61" i="1" s="1"/>
  <c r="AJ61" i="1"/>
  <c r="AL61" i="1" s="1"/>
  <c r="AF61" i="1"/>
  <c r="AH61" i="1" s="1"/>
  <c r="X61" i="1"/>
  <c r="Z61" i="1" s="1"/>
  <c r="T61" i="1"/>
  <c r="V61" i="1" s="1"/>
  <c r="P61" i="1"/>
  <c r="R61" i="1" s="1"/>
  <c r="BP60" i="1"/>
  <c r="BR60" i="1" s="1"/>
  <c r="BL60" i="1"/>
  <c r="BH60" i="1"/>
  <c r="BD60" i="1"/>
  <c r="BF60" i="1" s="1"/>
  <c r="AZ60" i="1"/>
  <c r="BB60" i="1" s="1"/>
  <c r="AV60" i="1"/>
  <c r="AX60" i="1" s="1"/>
  <c r="AR60" i="1"/>
  <c r="AT60" i="1" s="1"/>
  <c r="AN60" i="1"/>
  <c r="AP60" i="1" s="1"/>
  <c r="AJ60" i="1"/>
  <c r="AL60" i="1" s="1"/>
  <c r="AF60" i="1"/>
  <c r="AH60" i="1" s="1"/>
  <c r="X60" i="1"/>
  <c r="Z60" i="1" s="1"/>
  <c r="T60" i="1"/>
  <c r="V60" i="1" s="1"/>
  <c r="P60" i="1"/>
  <c r="R60" i="1" s="1"/>
  <c r="BP59" i="1"/>
  <c r="BR59" i="1" s="1"/>
  <c r="BL59" i="1"/>
  <c r="BH59" i="1"/>
  <c r="BD59" i="1"/>
  <c r="BF59" i="1" s="1"/>
  <c r="AZ59" i="1"/>
  <c r="BB59" i="1" s="1"/>
  <c r="AV59" i="1"/>
  <c r="AX59" i="1" s="1"/>
  <c r="AR59" i="1"/>
  <c r="AT59" i="1" s="1"/>
  <c r="AN59" i="1"/>
  <c r="AP59" i="1" s="1"/>
  <c r="AJ59" i="1"/>
  <c r="AL59" i="1" s="1"/>
  <c r="AF59" i="1"/>
  <c r="AH59" i="1" s="1"/>
  <c r="X59" i="1"/>
  <c r="Z59" i="1" s="1"/>
  <c r="T59" i="1"/>
  <c r="V59" i="1" s="1"/>
  <c r="P59" i="1"/>
  <c r="R59" i="1" s="1"/>
  <c r="BP58" i="1"/>
  <c r="BR58" i="1" s="1"/>
  <c r="BL58" i="1"/>
  <c r="BH58" i="1"/>
  <c r="BD58" i="1"/>
  <c r="BF58" i="1" s="1"/>
  <c r="AZ58" i="1"/>
  <c r="BB58" i="1" s="1"/>
  <c r="AV58" i="1"/>
  <c r="AX58" i="1" s="1"/>
  <c r="AR58" i="1"/>
  <c r="AT58" i="1" s="1"/>
  <c r="AN58" i="1"/>
  <c r="AP58" i="1" s="1"/>
  <c r="AJ58" i="1"/>
  <c r="AL58" i="1" s="1"/>
  <c r="AF58" i="1"/>
  <c r="AH58" i="1" s="1"/>
  <c r="X58" i="1"/>
  <c r="Z58" i="1" s="1"/>
  <c r="T58" i="1"/>
  <c r="V58" i="1" s="1"/>
  <c r="P58" i="1"/>
  <c r="R58" i="1" s="1"/>
  <c r="BP57" i="1"/>
  <c r="BR57" i="1" s="1"/>
  <c r="BL57" i="1"/>
  <c r="BH57" i="1"/>
  <c r="BD57" i="1"/>
  <c r="BF57" i="1" s="1"/>
  <c r="AZ57" i="1"/>
  <c r="BB57" i="1" s="1"/>
  <c r="AV57" i="1"/>
  <c r="AX57" i="1" s="1"/>
  <c r="AR57" i="1"/>
  <c r="AT57" i="1" s="1"/>
  <c r="AN57" i="1"/>
  <c r="AP57" i="1" s="1"/>
  <c r="AJ57" i="1"/>
  <c r="AL57" i="1" s="1"/>
  <c r="AF57" i="1"/>
  <c r="AH57" i="1" s="1"/>
  <c r="X57" i="1"/>
  <c r="Z57" i="1" s="1"/>
  <c r="T57" i="1"/>
  <c r="V57" i="1" s="1"/>
  <c r="P57" i="1"/>
  <c r="R57" i="1" s="1"/>
  <c r="BP56" i="1"/>
  <c r="BR56" i="1" s="1"/>
  <c r="BL56" i="1"/>
  <c r="BH56" i="1"/>
  <c r="BD56" i="1"/>
  <c r="BF56" i="1" s="1"/>
  <c r="AZ56" i="1"/>
  <c r="BB56" i="1" s="1"/>
  <c r="AV56" i="1"/>
  <c r="AX56" i="1" s="1"/>
  <c r="AR56" i="1"/>
  <c r="AT56" i="1" s="1"/>
  <c r="AN56" i="1"/>
  <c r="AP56" i="1" s="1"/>
  <c r="AJ56" i="1"/>
  <c r="AL56" i="1" s="1"/>
  <c r="AF56" i="1"/>
  <c r="AH56" i="1" s="1"/>
  <c r="X56" i="1"/>
  <c r="Z56" i="1" s="1"/>
  <c r="T56" i="1"/>
  <c r="V56" i="1" s="1"/>
  <c r="P56" i="1"/>
  <c r="R56" i="1" s="1"/>
  <c r="BQ55" i="1"/>
  <c r="BO55" i="1"/>
  <c r="BM55" i="1"/>
  <c r="BK55" i="1"/>
  <c r="BK53" i="1" s="1"/>
  <c r="BI55" i="1"/>
  <c r="BG55" i="1"/>
  <c r="BH55" i="1" s="1"/>
  <c r="BE55" i="1"/>
  <c r="BC55" i="1"/>
  <c r="BC53" i="1" s="1"/>
  <c r="BD53" i="1" s="1"/>
  <c r="BF53" i="1" s="1"/>
  <c r="BA55" i="1"/>
  <c r="AY55" i="1"/>
  <c r="AZ55" i="1" s="1"/>
  <c r="AW55" i="1"/>
  <c r="AU55" i="1"/>
  <c r="AV55" i="1" s="1"/>
  <c r="AX55" i="1" s="1"/>
  <c r="AS55" i="1"/>
  <c r="AQ55" i="1"/>
  <c r="AR55" i="1" s="1"/>
  <c r="AT55" i="1" s="1"/>
  <c r="AO55" i="1"/>
  <c r="AM55" i="1"/>
  <c r="AN55" i="1" s="1"/>
  <c r="AP55" i="1" s="1"/>
  <c r="AK55" i="1"/>
  <c r="AI55" i="1"/>
  <c r="AJ55" i="1" s="1"/>
  <c r="AL55" i="1" s="1"/>
  <c r="AG55" i="1"/>
  <c r="AE55" i="1"/>
  <c r="AF55" i="1" s="1"/>
  <c r="AH55" i="1" s="1"/>
  <c r="Y55" i="1"/>
  <c r="X55" i="1"/>
  <c r="U55" i="1"/>
  <c r="U53" i="1" s="1"/>
  <c r="S55" i="1"/>
  <c r="T55" i="1" s="1"/>
  <c r="V55" i="1" s="1"/>
  <c r="Q55" i="1"/>
  <c r="O55" i="1"/>
  <c r="P55" i="1" s="1"/>
  <c r="R55" i="1" s="1"/>
  <c r="BP54" i="1"/>
  <c r="BR54" i="1" s="1"/>
  <c r="BL54" i="1"/>
  <c r="BN54" i="1" s="1"/>
  <c r="BH54" i="1"/>
  <c r="BD54" i="1"/>
  <c r="BF54" i="1" s="1"/>
  <c r="AZ54" i="1"/>
  <c r="BB54" i="1" s="1"/>
  <c r="AV54" i="1"/>
  <c r="AX54" i="1" s="1"/>
  <c r="AR54" i="1"/>
  <c r="AT54" i="1" s="1"/>
  <c r="AN54" i="1"/>
  <c r="AP54" i="1" s="1"/>
  <c r="AJ54" i="1"/>
  <c r="AL54" i="1" s="1"/>
  <c r="AF54" i="1"/>
  <c r="AH54" i="1" s="1"/>
  <c r="T54" i="1"/>
  <c r="V54" i="1" s="1"/>
  <c r="P54" i="1"/>
  <c r="R54" i="1" s="1"/>
  <c r="BG53" i="1"/>
  <c r="BH53" i="1" s="1"/>
  <c r="BE53" i="1"/>
  <c r="AU53" i="1"/>
  <c r="AV53" i="1" s="1"/>
  <c r="AX53" i="1" s="1"/>
  <c r="AQ53" i="1"/>
  <c r="AR53" i="1" s="1"/>
  <c r="AT53" i="1" s="1"/>
  <c r="AO53" i="1"/>
  <c r="AM53" i="1"/>
  <c r="AN53" i="1" s="1"/>
  <c r="AP53" i="1" s="1"/>
  <c r="W53" i="1"/>
  <c r="O53" i="1"/>
  <c r="P53" i="1" s="1"/>
  <c r="R53" i="1" s="1"/>
  <c r="BP52" i="1"/>
  <c r="BR52" i="1" s="1"/>
  <c r="BL52" i="1"/>
  <c r="BH52" i="1"/>
  <c r="BD52" i="1"/>
  <c r="BF52" i="1" s="1"/>
  <c r="AZ52" i="1"/>
  <c r="BB52" i="1" s="1"/>
  <c r="AV52" i="1"/>
  <c r="AX52" i="1" s="1"/>
  <c r="AR52" i="1"/>
  <c r="AT52" i="1" s="1"/>
  <c r="AN52" i="1"/>
  <c r="AP52" i="1" s="1"/>
  <c r="AJ52" i="1"/>
  <c r="AL52" i="1" s="1"/>
  <c r="AF52" i="1"/>
  <c r="AH52" i="1" s="1"/>
  <c r="X52" i="1"/>
  <c r="Z52" i="1" s="1"/>
  <c r="T52" i="1"/>
  <c r="V52" i="1" s="1"/>
  <c r="P52" i="1"/>
  <c r="R52" i="1" s="1"/>
  <c r="BP51" i="1"/>
  <c r="BR51" i="1" s="1"/>
  <c r="BL51" i="1"/>
  <c r="BH51" i="1"/>
  <c r="BD51" i="1"/>
  <c r="BF51" i="1" s="1"/>
  <c r="AZ51" i="1"/>
  <c r="BB51" i="1" s="1"/>
  <c r="AV51" i="1"/>
  <c r="AX51" i="1" s="1"/>
  <c r="AR51" i="1"/>
  <c r="AT51" i="1" s="1"/>
  <c r="AN51" i="1"/>
  <c r="AP51" i="1" s="1"/>
  <c r="AJ51" i="1"/>
  <c r="AL51" i="1" s="1"/>
  <c r="AF51" i="1"/>
  <c r="AH51" i="1" s="1"/>
  <c r="X51" i="1"/>
  <c r="Z51" i="1" s="1"/>
  <c r="T51" i="1"/>
  <c r="V51" i="1" s="1"/>
  <c r="P51" i="1"/>
  <c r="R51" i="1" s="1"/>
  <c r="BP50" i="1"/>
  <c r="BR50" i="1" s="1"/>
  <c r="BL50" i="1"/>
  <c r="BH50" i="1"/>
  <c r="BD50" i="1"/>
  <c r="BF50" i="1" s="1"/>
  <c r="AZ50" i="1"/>
  <c r="BB50" i="1" s="1"/>
  <c r="AV50" i="1"/>
  <c r="AX50" i="1" s="1"/>
  <c r="AR50" i="1"/>
  <c r="AT50" i="1" s="1"/>
  <c r="AN50" i="1"/>
  <c r="AP50" i="1" s="1"/>
  <c r="AJ50" i="1"/>
  <c r="AL50" i="1" s="1"/>
  <c r="AF50" i="1"/>
  <c r="AH50" i="1" s="1"/>
  <c r="X50" i="1"/>
  <c r="Z50" i="1" s="1"/>
  <c r="T50" i="1"/>
  <c r="V50" i="1" s="1"/>
  <c r="P50" i="1"/>
  <c r="R50" i="1" s="1"/>
  <c r="BP49" i="1"/>
  <c r="BR49" i="1" s="1"/>
  <c r="BL49" i="1"/>
  <c r="BH49" i="1"/>
  <c r="BD49" i="1"/>
  <c r="BF49" i="1" s="1"/>
  <c r="AZ49" i="1"/>
  <c r="BB49" i="1" s="1"/>
  <c r="AV49" i="1"/>
  <c r="AX49" i="1" s="1"/>
  <c r="AR49" i="1"/>
  <c r="AT49" i="1" s="1"/>
  <c r="AN49" i="1"/>
  <c r="AP49" i="1" s="1"/>
  <c r="AJ49" i="1"/>
  <c r="AL49" i="1" s="1"/>
  <c r="AF49" i="1"/>
  <c r="AH49" i="1" s="1"/>
  <c r="X49" i="1"/>
  <c r="Z49" i="1" s="1"/>
  <c r="T49" i="1"/>
  <c r="V49" i="1" s="1"/>
  <c r="P49" i="1"/>
  <c r="R49" i="1" s="1"/>
  <c r="BQ48" i="1"/>
  <c r="BO48" i="1"/>
  <c r="BP48" i="1" s="1"/>
  <c r="BM48" i="1"/>
  <c r="BK48" i="1"/>
  <c r="BI48" i="1"/>
  <c r="BG48" i="1"/>
  <c r="BH48" i="1" s="1"/>
  <c r="BE48" i="1"/>
  <c r="BC48" i="1"/>
  <c r="BD48" i="1" s="1"/>
  <c r="BF48" i="1" s="1"/>
  <c r="BA48" i="1"/>
  <c r="AY48" i="1"/>
  <c r="AZ48" i="1" s="1"/>
  <c r="AW48" i="1"/>
  <c r="AU48" i="1"/>
  <c r="AV48" i="1" s="1"/>
  <c r="AX48" i="1" s="1"/>
  <c r="AS48" i="1"/>
  <c r="AQ48" i="1"/>
  <c r="AR48" i="1" s="1"/>
  <c r="AT48" i="1" s="1"/>
  <c r="AO48" i="1"/>
  <c r="AM48" i="1"/>
  <c r="AN48" i="1" s="1"/>
  <c r="AP48" i="1" s="1"/>
  <c r="AK48" i="1"/>
  <c r="AI48" i="1"/>
  <c r="AJ48" i="1" s="1"/>
  <c r="AL48" i="1" s="1"/>
  <c r="AG48" i="1"/>
  <c r="AE48" i="1"/>
  <c r="AF48" i="1" s="1"/>
  <c r="AH48" i="1" s="1"/>
  <c r="Y48" i="1"/>
  <c r="W48" i="1"/>
  <c r="X48" i="1" s="1"/>
  <c r="Z48" i="1" s="1"/>
  <c r="U48" i="1"/>
  <c r="S48" i="1"/>
  <c r="T48" i="1" s="1"/>
  <c r="V48" i="1" s="1"/>
  <c r="Q48" i="1"/>
  <c r="O48" i="1"/>
  <c r="P48" i="1" s="1"/>
  <c r="R48" i="1" s="1"/>
  <c r="BP47" i="1"/>
  <c r="BR47" i="1" s="1"/>
  <c r="BL47" i="1"/>
  <c r="BH47" i="1"/>
  <c r="BD47" i="1"/>
  <c r="BF47" i="1" s="1"/>
  <c r="AZ47" i="1"/>
  <c r="BB47" i="1" s="1"/>
  <c r="AV47" i="1"/>
  <c r="AX47" i="1" s="1"/>
  <c r="AR47" i="1"/>
  <c r="AT47" i="1" s="1"/>
  <c r="AN47" i="1"/>
  <c r="AP47" i="1" s="1"/>
  <c r="AJ47" i="1"/>
  <c r="AL47" i="1" s="1"/>
  <c r="AF47" i="1"/>
  <c r="AH47" i="1" s="1"/>
  <c r="X47" i="1"/>
  <c r="Z47" i="1" s="1"/>
  <c r="T47" i="1"/>
  <c r="V47" i="1" s="1"/>
  <c r="P47" i="1"/>
  <c r="R47" i="1" s="1"/>
  <c r="BP46" i="1"/>
  <c r="BR46" i="1" s="1"/>
  <c r="BL46" i="1"/>
  <c r="BH46" i="1"/>
  <c r="BD46" i="1"/>
  <c r="BF46" i="1" s="1"/>
  <c r="AZ46" i="1"/>
  <c r="BB46" i="1" s="1"/>
  <c r="AV46" i="1"/>
  <c r="AX46" i="1" s="1"/>
  <c r="AR46" i="1"/>
  <c r="AT46" i="1" s="1"/>
  <c r="AN46" i="1"/>
  <c r="AP46" i="1" s="1"/>
  <c r="AJ46" i="1"/>
  <c r="AL46" i="1" s="1"/>
  <c r="AF46" i="1"/>
  <c r="AH46" i="1" s="1"/>
  <c r="X46" i="1"/>
  <c r="Z46" i="1" s="1"/>
  <c r="T46" i="1"/>
  <c r="V46" i="1" s="1"/>
  <c r="P46" i="1"/>
  <c r="R46" i="1" s="1"/>
  <c r="BP45" i="1"/>
  <c r="BR45" i="1" s="1"/>
  <c r="BL45" i="1"/>
  <c r="BH45" i="1"/>
  <c r="BD45" i="1"/>
  <c r="BF45" i="1" s="1"/>
  <c r="AZ45" i="1"/>
  <c r="BB45" i="1" s="1"/>
  <c r="AV45" i="1"/>
  <c r="AX45" i="1" s="1"/>
  <c r="AR45" i="1"/>
  <c r="AT45" i="1" s="1"/>
  <c r="AN45" i="1"/>
  <c r="AP45" i="1" s="1"/>
  <c r="AJ45" i="1"/>
  <c r="AL45" i="1" s="1"/>
  <c r="AF45" i="1"/>
  <c r="AH45" i="1" s="1"/>
  <c r="X45" i="1"/>
  <c r="Z45" i="1" s="1"/>
  <c r="T45" i="1"/>
  <c r="V45" i="1" s="1"/>
  <c r="P45" i="1"/>
  <c r="R45" i="1" s="1"/>
  <c r="BP44" i="1"/>
  <c r="BR44" i="1" s="1"/>
  <c r="BL44" i="1"/>
  <c r="BH44" i="1"/>
  <c r="BD44" i="1"/>
  <c r="BF44" i="1" s="1"/>
  <c r="AZ44" i="1"/>
  <c r="BB44" i="1" s="1"/>
  <c r="AV44" i="1"/>
  <c r="AX44" i="1" s="1"/>
  <c r="AR44" i="1"/>
  <c r="AT44" i="1" s="1"/>
  <c r="AN44" i="1"/>
  <c r="AP44" i="1" s="1"/>
  <c r="AJ44" i="1"/>
  <c r="AL44" i="1" s="1"/>
  <c r="AF44" i="1"/>
  <c r="AH44" i="1" s="1"/>
  <c r="X44" i="1"/>
  <c r="Z44" i="1" s="1"/>
  <c r="T44" i="1"/>
  <c r="V44" i="1" s="1"/>
  <c r="P44" i="1"/>
  <c r="R44" i="1" s="1"/>
  <c r="BQ43" i="1"/>
  <c r="BO43" i="1"/>
  <c r="BP43" i="1" s="1"/>
  <c r="BM43" i="1"/>
  <c r="BK43" i="1"/>
  <c r="BI43" i="1"/>
  <c r="BG43" i="1"/>
  <c r="BH43" i="1" s="1"/>
  <c r="BE43" i="1"/>
  <c r="BE31" i="1" s="1"/>
  <c r="BC43" i="1"/>
  <c r="BD43" i="1" s="1"/>
  <c r="BF43" i="1" s="1"/>
  <c r="BA43" i="1"/>
  <c r="AY43" i="1"/>
  <c r="AZ43" i="1" s="1"/>
  <c r="AW43" i="1"/>
  <c r="AW31" i="1" s="1"/>
  <c r="AU43" i="1"/>
  <c r="AV43" i="1" s="1"/>
  <c r="AX43" i="1" s="1"/>
  <c r="AS43" i="1"/>
  <c r="AS31" i="1" s="1"/>
  <c r="AQ43" i="1"/>
  <c r="AR43" i="1" s="1"/>
  <c r="AT43" i="1" s="1"/>
  <c r="AO43" i="1"/>
  <c r="AO31" i="1" s="1"/>
  <c r="AM43" i="1"/>
  <c r="AN43" i="1" s="1"/>
  <c r="AP43" i="1" s="1"/>
  <c r="AK43" i="1"/>
  <c r="AK31" i="1" s="1"/>
  <c r="AI43" i="1"/>
  <c r="AJ43" i="1" s="1"/>
  <c r="AL43" i="1" s="1"/>
  <c r="AG43" i="1"/>
  <c r="AG31" i="1" s="1"/>
  <c r="AE43" i="1"/>
  <c r="AF43" i="1" s="1"/>
  <c r="AH43" i="1" s="1"/>
  <c r="Y43" i="1"/>
  <c r="Y31" i="1" s="1"/>
  <c r="W43" i="1"/>
  <c r="X43" i="1" s="1"/>
  <c r="Z43" i="1" s="1"/>
  <c r="U43" i="1"/>
  <c r="U31" i="1" s="1"/>
  <c r="S43" i="1"/>
  <c r="T43" i="1" s="1"/>
  <c r="V43" i="1" s="1"/>
  <c r="Q43" i="1"/>
  <c r="Q31" i="1" s="1"/>
  <c r="O43" i="1"/>
  <c r="P43" i="1" s="1"/>
  <c r="R43" i="1" s="1"/>
  <c r="BP41" i="1"/>
  <c r="BR41" i="1" s="1"/>
  <c r="BL41" i="1"/>
  <c r="BH41" i="1"/>
  <c r="BD41" i="1"/>
  <c r="BF41" i="1" s="1"/>
  <c r="AZ41" i="1"/>
  <c r="BB41" i="1" s="1"/>
  <c r="AV41" i="1"/>
  <c r="AX41" i="1" s="1"/>
  <c r="AR41" i="1"/>
  <c r="AT41" i="1" s="1"/>
  <c r="AN41" i="1"/>
  <c r="AP41" i="1" s="1"/>
  <c r="AJ41" i="1"/>
  <c r="AL41" i="1" s="1"/>
  <c r="AF41" i="1"/>
  <c r="AH41" i="1" s="1"/>
  <c r="Z41" i="1"/>
  <c r="T41" i="1"/>
  <c r="V41" i="1" s="1"/>
  <c r="P41" i="1"/>
  <c r="R41" i="1" s="1"/>
  <c r="BP39" i="1"/>
  <c r="BR39" i="1" s="1"/>
  <c r="BL39" i="1"/>
  <c r="BH39" i="1"/>
  <c r="BD39" i="1"/>
  <c r="BF39" i="1" s="1"/>
  <c r="AZ39" i="1"/>
  <c r="BB39" i="1" s="1"/>
  <c r="AV39" i="1"/>
  <c r="AX39" i="1" s="1"/>
  <c r="AR39" i="1"/>
  <c r="AT39" i="1" s="1"/>
  <c r="AN39" i="1"/>
  <c r="AP39" i="1" s="1"/>
  <c r="AJ39" i="1"/>
  <c r="AL39" i="1" s="1"/>
  <c r="AF39" i="1"/>
  <c r="AH39" i="1" s="1"/>
  <c r="T39" i="1"/>
  <c r="V39" i="1" s="1"/>
  <c r="P39" i="1"/>
  <c r="R39" i="1" s="1"/>
  <c r="BP38" i="1"/>
  <c r="BR38" i="1" s="1"/>
  <c r="BL38" i="1"/>
  <c r="BH38" i="1"/>
  <c r="BD38" i="1"/>
  <c r="BF38" i="1" s="1"/>
  <c r="AZ38" i="1"/>
  <c r="BB38" i="1" s="1"/>
  <c r="AV38" i="1"/>
  <c r="AX38" i="1" s="1"/>
  <c r="AR38" i="1"/>
  <c r="AT38" i="1" s="1"/>
  <c r="AN38" i="1"/>
  <c r="AP38" i="1" s="1"/>
  <c r="AJ38" i="1"/>
  <c r="AL38" i="1" s="1"/>
  <c r="AF38" i="1"/>
  <c r="AH38" i="1" s="1"/>
  <c r="T38" i="1"/>
  <c r="V38" i="1" s="1"/>
  <c r="P38" i="1"/>
  <c r="R38" i="1" s="1"/>
  <c r="BP37" i="1"/>
  <c r="BR37" i="1" s="1"/>
  <c r="BL37" i="1"/>
  <c r="BH37" i="1"/>
  <c r="BD37" i="1"/>
  <c r="BF37" i="1" s="1"/>
  <c r="AZ37" i="1"/>
  <c r="BB37" i="1" s="1"/>
  <c r="AV37" i="1"/>
  <c r="AX37" i="1" s="1"/>
  <c r="AR37" i="1"/>
  <c r="AT37" i="1" s="1"/>
  <c r="AN37" i="1"/>
  <c r="AP37" i="1" s="1"/>
  <c r="AJ37" i="1"/>
  <c r="AL37" i="1" s="1"/>
  <c r="AF37" i="1"/>
  <c r="AH37" i="1" s="1"/>
  <c r="T37" i="1"/>
  <c r="V37" i="1" s="1"/>
  <c r="P37" i="1"/>
  <c r="R37" i="1" s="1"/>
  <c r="BP36" i="1"/>
  <c r="BR36" i="1" s="1"/>
  <c r="BL36" i="1"/>
  <c r="BH36" i="1"/>
  <c r="BD36" i="1"/>
  <c r="BF36" i="1" s="1"/>
  <c r="AZ36" i="1"/>
  <c r="BB36" i="1" s="1"/>
  <c r="AV36" i="1"/>
  <c r="AX36" i="1" s="1"/>
  <c r="AR36" i="1"/>
  <c r="AT36" i="1" s="1"/>
  <c r="AN36" i="1"/>
  <c r="AP36" i="1" s="1"/>
  <c r="AJ36" i="1"/>
  <c r="AL36" i="1" s="1"/>
  <c r="AF36" i="1"/>
  <c r="AH36" i="1" s="1"/>
  <c r="T36" i="1"/>
  <c r="V36" i="1" s="1"/>
  <c r="P36" i="1"/>
  <c r="R36" i="1" s="1"/>
  <c r="BP35" i="1"/>
  <c r="BR35" i="1" s="1"/>
  <c r="BL35" i="1"/>
  <c r="BN35" i="1" s="1"/>
  <c r="BH35" i="1"/>
  <c r="BD35" i="1"/>
  <c r="BF35" i="1" s="1"/>
  <c r="AZ35" i="1"/>
  <c r="BB35" i="1" s="1"/>
  <c r="AV35" i="1"/>
  <c r="AX35" i="1" s="1"/>
  <c r="AR35" i="1"/>
  <c r="AT35" i="1" s="1"/>
  <c r="AN35" i="1"/>
  <c r="AP35" i="1" s="1"/>
  <c r="AJ35" i="1"/>
  <c r="AL35" i="1" s="1"/>
  <c r="AF35" i="1"/>
  <c r="AH35" i="1" s="1"/>
  <c r="T35" i="1"/>
  <c r="V35" i="1" s="1"/>
  <c r="P35" i="1"/>
  <c r="R35" i="1" s="1"/>
  <c r="BP34" i="1"/>
  <c r="BR34" i="1" s="1"/>
  <c r="BL34" i="1"/>
  <c r="BH34" i="1"/>
  <c r="BD34" i="1"/>
  <c r="BF34" i="1" s="1"/>
  <c r="AZ34" i="1"/>
  <c r="BB34" i="1" s="1"/>
  <c r="AV34" i="1"/>
  <c r="AX34" i="1" s="1"/>
  <c r="AR34" i="1"/>
  <c r="AT34" i="1" s="1"/>
  <c r="AN34" i="1"/>
  <c r="AP34" i="1" s="1"/>
  <c r="AJ34" i="1"/>
  <c r="AL34" i="1" s="1"/>
  <c r="AF34" i="1"/>
  <c r="AH34" i="1" s="1"/>
  <c r="T34" i="1"/>
  <c r="V34" i="1" s="1"/>
  <c r="P34" i="1"/>
  <c r="R34" i="1" s="1"/>
  <c r="BQ33" i="1"/>
  <c r="BQ31" i="1" s="1"/>
  <c r="BO33" i="1"/>
  <c r="BP33" i="1" s="1"/>
  <c r="BM33" i="1"/>
  <c r="BK33" i="1"/>
  <c r="BI33" i="1"/>
  <c r="BI31" i="1" s="1"/>
  <c r="BG33" i="1"/>
  <c r="BH33" i="1" s="1"/>
  <c r="BC33" i="1"/>
  <c r="BC31" i="1" s="1"/>
  <c r="BA33" i="1"/>
  <c r="AY33" i="1"/>
  <c r="AZ33" i="1" s="1"/>
  <c r="AU33" i="1"/>
  <c r="AU31" i="1" s="1"/>
  <c r="AU25" i="1" s="1"/>
  <c r="AU83" i="1" s="1"/>
  <c r="AV83" i="1" s="1"/>
  <c r="AV87" i="1" s="1"/>
  <c r="AQ33" i="1"/>
  <c r="AR33" i="1" s="1"/>
  <c r="AT33" i="1" s="1"/>
  <c r="AM33" i="1"/>
  <c r="AN33" i="1" s="1"/>
  <c r="AP33" i="1" s="1"/>
  <c r="AI33" i="1"/>
  <c r="AJ33" i="1" s="1"/>
  <c r="AL33" i="1" s="1"/>
  <c r="AE33" i="1"/>
  <c r="W33" i="1"/>
  <c r="S33" i="1"/>
  <c r="T33" i="1" s="1"/>
  <c r="V33" i="1" s="1"/>
  <c r="O33" i="1"/>
  <c r="O31" i="1" s="1"/>
  <c r="BP32" i="1"/>
  <c r="BR32" i="1" s="1"/>
  <c r="BL32" i="1"/>
  <c r="BH32" i="1"/>
  <c r="BD32" i="1"/>
  <c r="BF32" i="1" s="1"/>
  <c r="AZ32" i="1"/>
  <c r="BB32" i="1" s="1"/>
  <c r="AV32" i="1"/>
  <c r="AX32" i="1" s="1"/>
  <c r="AR32" i="1"/>
  <c r="AT32" i="1" s="1"/>
  <c r="AN32" i="1"/>
  <c r="AP32" i="1" s="1"/>
  <c r="AJ32" i="1"/>
  <c r="AL32" i="1" s="1"/>
  <c r="AF32" i="1"/>
  <c r="AH32" i="1" s="1"/>
  <c r="X32" i="1"/>
  <c r="Z32" i="1" s="1"/>
  <c r="T32" i="1"/>
  <c r="V32" i="1" s="1"/>
  <c r="P32" i="1"/>
  <c r="R32" i="1" s="1"/>
  <c r="BO31" i="1"/>
  <c r="BP31" i="1" s="1"/>
  <c r="BP30" i="1"/>
  <c r="BR30" i="1" s="1"/>
  <c r="BL30" i="1"/>
  <c r="BH30" i="1"/>
  <c r="BD30" i="1"/>
  <c r="BF30" i="1" s="1"/>
  <c r="AZ30" i="1"/>
  <c r="BB30" i="1" s="1"/>
  <c r="AV30" i="1"/>
  <c r="AX30" i="1" s="1"/>
  <c r="AR30" i="1"/>
  <c r="AT30" i="1" s="1"/>
  <c r="AN30" i="1"/>
  <c r="AP30" i="1" s="1"/>
  <c r="AJ30" i="1"/>
  <c r="AL30" i="1" s="1"/>
  <c r="AF30" i="1"/>
  <c r="AH30" i="1" s="1"/>
  <c r="X30" i="1"/>
  <c r="Z30" i="1" s="1"/>
  <c r="T30" i="1"/>
  <c r="V30" i="1" s="1"/>
  <c r="P30" i="1"/>
  <c r="R30" i="1" s="1"/>
  <c r="BP29" i="1"/>
  <c r="BR29" i="1" s="1"/>
  <c r="BL29" i="1"/>
  <c r="BH29" i="1"/>
  <c r="BD29" i="1"/>
  <c r="BF29" i="1" s="1"/>
  <c r="AZ29" i="1"/>
  <c r="BB29" i="1" s="1"/>
  <c r="AV29" i="1"/>
  <c r="AX29" i="1" s="1"/>
  <c r="AR29" i="1"/>
  <c r="AT29" i="1" s="1"/>
  <c r="AN29" i="1"/>
  <c r="AP29" i="1" s="1"/>
  <c r="AJ29" i="1"/>
  <c r="AL29" i="1" s="1"/>
  <c r="AF29" i="1"/>
  <c r="AH29" i="1" s="1"/>
  <c r="X29" i="1"/>
  <c r="Z29" i="1" s="1"/>
  <c r="T29" i="1"/>
  <c r="V29" i="1" s="1"/>
  <c r="P29" i="1"/>
  <c r="R29" i="1" s="1"/>
  <c r="BP28" i="1"/>
  <c r="BR28" i="1" s="1"/>
  <c r="BL28" i="1"/>
  <c r="BH28" i="1"/>
  <c r="BD28" i="1"/>
  <c r="BF28" i="1" s="1"/>
  <c r="AZ28" i="1"/>
  <c r="BB28" i="1" s="1"/>
  <c r="AV28" i="1"/>
  <c r="AX28" i="1" s="1"/>
  <c r="AR28" i="1"/>
  <c r="AT28" i="1" s="1"/>
  <c r="AN28" i="1"/>
  <c r="AP28" i="1" s="1"/>
  <c r="AJ28" i="1"/>
  <c r="AL28" i="1" s="1"/>
  <c r="AF28" i="1"/>
  <c r="AH28" i="1" s="1"/>
  <c r="X28" i="1"/>
  <c r="Z28" i="1" s="1"/>
  <c r="T28" i="1"/>
  <c r="V28" i="1" s="1"/>
  <c r="P28" i="1"/>
  <c r="R28" i="1" s="1"/>
  <c r="BP27" i="1"/>
  <c r="BL27" i="1"/>
  <c r="BH27" i="1"/>
  <c r="BD27" i="1"/>
  <c r="BF27" i="1" s="1"/>
  <c r="AZ27" i="1"/>
  <c r="AV27" i="1"/>
  <c r="AX27" i="1" s="1"/>
  <c r="AR27" i="1"/>
  <c r="AT27" i="1" s="1"/>
  <c r="AN27" i="1"/>
  <c r="AP27" i="1" s="1"/>
  <c r="AJ27" i="1"/>
  <c r="AL27" i="1" s="1"/>
  <c r="AF27" i="1"/>
  <c r="AH27" i="1" s="1"/>
  <c r="X27" i="1"/>
  <c r="Z27" i="1" s="1"/>
  <c r="T27" i="1"/>
  <c r="V27" i="1" s="1"/>
  <c r="P27" i="1"/>
  <c r="R27" i="1" s="1"/>
  <c r="BP26" i="1"/>
  <c r="BR26" i="1" s="1"/>
  <c r="BL26" i="1"/>
  <c r="BH26" i="1"/>
  <c r="BD26" i="1"/>
  <c r="BF26" i="1" s="1"/>
  <c r="AZ26" i="1"/>
  <c r="BB26" i="1" s="1"/>
  <c r="AV26" i="1"/>
  <c r="AX26" i="1" s="1"/>
  <c r="AR26" i="1"/>
  <c r="AT26" i="1" s="1"/>
  <c r="AN26" i="1"/>
  <c r="AP26" i="1" s="1"/>
  <c r="AJ26" i="1"/>
  <c r="AL26" i="1" s="1"/>
  <c r="AF26" i="1"/>
  <c r="AH26" i="1" s="1"/>
  <c r="X26" i="1"/>
  <c r="Z26" i="1" s="1"/>
  <c r="T26" i="1"/>
  <c r="V26" i="1" s="1"/>
  <c r="P26" i="1"/>
  <c r="R26" i="1" s="1"/>
  <c r="BP24" i="1"/>
  <c r="BL24" i="1"/>
  <c r="BH24" i="1"/>
  <c r="BD24" i="1"/>
  <c r="BF24" i="1" s="1"/>
  <c r="AZ24" i="1"/>
  <c r="BB24" i="1" s="1"/>
  <c r="AV24" i="1"/>
  <c r="AX24" i="1" s="1"/>
  <c r="AR24" i="1"/>
  <c r="AT24" i="1" s="1"/>
  <c r="AN24" i="1"/>
  <c r="AP24" i="1" s="1"/>
  <c r="AJ24" i="1"/>
  <c r="AL24" i="1" s="1"/>
  <c r="AF24" i="1"/>
  <c r="AH24" i="1" s="1"/>
  <c r="X24" i="1"/>
  <c r="Z24" i="1" s="1"/>
  <c r="T24" i="1"/>
  <c r="V24" i="1" s="1"/>
  <c r="P24" i="1"/>
  <c r="R24" i="1" s="1"/>
  <c r="BP22" i="1"/>
  <c r="BR22" i="1" s="1"/>
  <c r="BL22" i="1"/>
  <c r="BH22" i="1"/>
  <c r="BD22" i="1"/>
  <c r="BF22" i="1" s="1"/>
  <c r="AZ22" i="1"/>
  <c r="BB22" i="1" s="1"/>
  <c r="AV22" i="1"/>
  <c r="AX22" i="1" s="1"/>
  <c r="AR22" i="1"/>
  <c r="AT22" i="1" s="1"/>
  <c r="AN22" i="1"/>
  <c r="AP22" i="1" s="1"/>
  <c r="AJ22" i="1"/>
  <c r="AL22" i="1" s="1"/>
  <c r="AF22" i="1"/>
  <c r="AH22" i="1" s="1"/>
  <c r="X22" i="1"/>
  <c r="Z22" i="1" s="1"/>
  <c r="T22" i="1"/>
  <c r="V22" i="1" s="1"/>
  <c r="P22" i="1"/>
  <c r="R22" i="1" s="1"/>
  <c r="BP21" i="1"/>
  <c r="BR21" i="1" s="1"/>
  <c r="BL21" i="1"/>
  <c r="BH21" i="1"/>
  <c r="BD21" i="1"/>
  <c r="BF21" i="1" s="1"/>
  <c r="AZ21" i="1"/>
  <c r="BB21" i="1" s="1"/>
  <c r="AV21" i="1"/>
  <c r="AX21" i="1" s="1"/>
  <c r="AR21" i="1"/>
  <c r="AT21" i="1" s="1"/>
  <c r="AN21" i="1"/>
  <c r="AP21" i="1" s="1"/>
  <c r="AJ21" i="1"/>
  <c r="AL21" i="1" s="1"/>
  <c r="AF21" i="1"/>
  <c r="AH21" i="1" s="1"/>
  <c r="X21" i="1"/>
  <c r="Z21" i="1" s="1"/>
  <c r="T21" i="1"/>
  <c r="V21" i="1" s="1"/>
  <c r="P21" i="1"/>
  <c r="R21" i="1" s="1"/>
  <c r="BP20" i="1"/>
  <c r="BR20" i="1" s="1"/>
  <c r="BL20" i="1"/>
  <c r="BH20" i="1"/>
  <c r="BD20" i="1"/>
  <c r="BF20" i="1" s="1"/>
  <c r="AZ20" i="1"/>
  <c r="BB20" i="1" s="1"/>
  <c r="AV20" i="1"/>
  <c r="AX20" i="1" s="1"/>
  <c r="AR20" i="1"/>
  <c r="AT20" i="1" s="1"/>
  <c r="AN20" i="1"/>
  <c r="AP20" i="1" s="1"/>
  <c r="AJ20" i="1"/>
  <c r="AL20" i="1" s="1"/>
  <c r="AF20" i="1"/>
  <c r="AH20" i="1" s="1"/>
  <c r="X20" i="1"/>
  <c r="Z20" i="1" s="1"/>
  <c r="T20" i="1"/>
  <c r="V20" i="1" s="1"/>
  <c r="P20" i="1"/>
  <c r="R20" i="1" s="1"/>
  <c r="BP19" i="1"/>
  <c r="BR19" i="1" s="1"/>
  <c r="BL19" i="1"/>
  <c r="BH19" i="1"/>
  <c r="BD19" i="1"/>
  <c r="BF19" i="1" s="1"/>
  <c r="AZ19" i="1"/>
  <c r="BB19" i="1" s="1"/>
  <c r="AV19" i="1"/>
  <c r="AX19" i="1" s="1"/>
  <c r="AR19" i="1"/>
  <c r="AT19" i="1" s="1"/>
  <c r="AN19" i="1"/>
  <c r="AP19" i="1" s="1"/>
  <c r="AJ19" i="1"/>
  <c r="AL19" i="1" s="1"/>
  <c r="AF19" i="1"/>
  <c r="AH19" i="1" s="1"/>
  <c r="X19" i="1"/>
  <c r="Z19" i="1" s="1"/>
  <c r="T19" i="1"/>
  <c r="V19" i="1" s="1"/>
  <c r="P19" i="1"/>
  <c r="R19" i="1" s="1"/>
  <c r="BP18" i="1"/>
  <c r="BR18" i="1" s="1"/>
  <c r="BL18" i="1"/>
  <c r="BH18" i="1"/>
  <c r="BD18" i="1"/>
  <c r="BF18" i="1" s="1"/>
  <c r="AZ18" i="1"/>
  <c r="BB18" i="1" s="1"/>
  <c r="AV18" i="1"/>
  <c r="AX18" i="1" s="1"/>
  <c r="AR18" i="1"/>
  <c r="AT18" i="1" s="1"/>
  <c r="AN18" i="1"/>
  <c r="AP18" i="1" s="1"/>
  <c r="AJ18" i="1"/>
  <c r="AL18" i="1" s="1"/>
  <c r="AF18" i="1"/>
  <c r="AH18" i="1" s="1"/>
  <c r="X18" i="1"/>
  <c r="Z18" i="1" s="1"/>
  <c r="T18" i="1"/>
  <c r="V18" i="1" s="1"/>
  <c r="P18" i="1"/>
  <c r="R18" i="1" s="1"/>
  <c r="BP17" i="1"/>
  <c r="BR17" i="1" s="1"/>
  <c r="BL17" i="1"/>
  <c r="BH17" i="1"/>
  <c r="BD17" i="1"/>
  <c r="BF17" i="1" s="1"/>
  <c r="AZ17" i="1"/>
  <c r="BB17" i="1" s="1"/>
  <c r="AV17" i="1"/>
  <c r="AX17" i="1" s="1"/>
  <c r="AR17" i="1"/>
  <c r="AT17" i="1" s="1"/>
  <c r="AN17" i="1"/>
  <c r="AP17" i="1" s="1"/>
  <c r="AJ17" i="1"/>
  <c r="AL17" i="1" s="1"/>
  <c r="AF17" i="1"/>
  <c r="AH17" i="1" s="1"/>
  <c r="X17" i="1"/>
  <c r="Z17" i="1" s="1"/>
  <c r="T17" i="1"/>
  <c r="V17" i="1" s="1"/>
  <c r="P17" i="1"/>
  <c r="R17" i="1" s="1"/>
  <c r="BP16" i="1"/>
  <c r="BR16" i="1" s="1"/>
  <c r="BL16" i="1"/>
  <c r="BH16" i="1"/>
  <c r="BD16" i="1"/>
  <c r="BF16" i="1" s="1"/>
  <c r="AZ16" i="1"/>
  <c r="BB16" i="1" s="1"/>
  <c r="AV16" i="1"/>
  <c r="AX16" i="1" s="1"/>
  <c r="AR16" i="1"/>
  <c r="AT16" i="1" s="1"/>
  <c r="AN16" i="1"/>
  <c r="AP16" i="1" s="1"/>
  <c r="AJ16" i="1"/>
  <c r="AL16" i="1" s="1"/>
  <c r="AF16" i="1"/>
  <c r="AH16" i="1" s="1"/>
  <c r="X16" i="1"/>
  <c r="Z16" i="1" s="1"/>
  <c r="T16" i="1"/>
  <c r="V16" i="1" s="1"/>
  <c r="P16" i="1"/>
  <c r="R16" i="1" s="1"/>
  <c r="BP15" i="1"/>
  <c r="BR15" i="1" s="1"/>
  <c r="BL15" i="1"/>
  <c r="BH15" i="1"/>
  <c r="BD15" i="1"/>
  <c r="BF15" i="1" s="1"/>
  <c r="AZ15" i="1"/>
  <c r="BB15" i="1" s="1"/>
  <c r="AV15" i="1"/>
  <c r="AX15" i="1" s="1"/>
  <c r="AR15" i="1"/>
  <c r="AT15" i="1" s="1"/>
  <c r="AN15" i="1"/>
  <c r="AP15" i="1" s="1"/>
  <c r="AJ15" i="1"/>
  <c r="AL15" i="1" s="1"/>
  <c r="AF15" i="1"/>
  <c r="AH15" i="1" s="1"/>
  <c r="X15" i="1"/>
  <c r="Z15" i="1" s="1"/>
  <c r="T15" i="1"/>
  <c r="V15" i="1" s="1"/>
  <c r="P15" i="1"/>
  <c r="R15" i="1" s="1"/>
  <c r="BP14" i="1"/>
  <c r="BR14" i="1" s="1"/>
  <c r="BL14" i="1"/>
  <c r="BH14" i="1"/>
  <c r="BD14" i="1"/>
  <c r="BF14" i="1" s="1"/>
  <c r="AZ14" i="1"/>
  <c r="BB14" i="1" s="1"/>
  <c r="AV14" i="1"/>
  <c r="AX14" i="1" s="1"/>
  <c r="AR14" i="1"/>
  <c r="AT14" i="1" s="1"/>
  <c r="AN14" i="1"/>
  <c r="AP14" i="1" s="1"/>
  <c r="AJ14" i="1"/>
  <c r="AL14" i="1" s="1"/>
  <c r="AF14" i="1"/>
  <c r="AH14" i="1" s="1"/>
  <c r="X14" i="1"/>
  <c r="Z14" i="1" s="1"/>
  <c r="T14" i="1"/>
  <c r="V14" i="1" s="1"/>
  <c r="P14" i="1"/>
  <c r="R14" i="1" s="1"/>
  <c r="BP13" i="1"/>
  <c r="BR13" i="1" s="1"/>
  <c r="BL13" i="1"/>
  <c r="BH13" i="1"/>
  <c r="BD13" i="1"/>
  <c r="BF13" i="1" s="1"/>
  <c r="AZ13" i="1"/>
  <c r="BB13" i="1" s="1"/>
  <c r="AV13" i="1"/>
  <c r="AX13" i="1" s="1"/>
  <c r="AR13" i="1"/>
  <c r="AT13" i="1" s="1"/>
  <c r="AN13" i="1"/>
  <c r="AP13" i="1" s="1"/>
  <c r="AJ13" i="1"/>
  <c r="AL13" i="1" s="1"/>
  <c r="AF13" i="1"/>
  <c r="AH13" i="1" s="1"/>
  <c r="X13" i="1"/>
  <c r="Z13" i="1" s="1"/>
  <c r="T13" i="1"/>
  <c r="V13" i="1" s="1"/>
  <c r="P13" i="1"/>
  <c r="R13" i="1" s="1"/>
  <c r="BQ12" i="1"/>
  <c r="BQ23" i="1" s="1"/>
  <c r="BO12" i="1"/>
  <c r="BO23" i="1" s="1"/>
  <c r="BP23" i="1" s="1"/>
  <c r="BM12" i="1"/>
  <c r="BM23" i="1" s="1"/>
  <c r="BK12" i="1"/>
  <c r="BI12" i="1"/>
  <c r="BI23" i="1" s="1"/>
  <c r="BG12" i="1"/>
  <c r="BH12" i="1" s="1"/>
  <c r="BE12" i="1"/>
  <c r="BE23" i="1" s="1"/>
  <c r="BC12" i="1"/>
  <c r="BC23" i="1" s="1"/>
  <c r="BD23" i="1" s="1"/>
  <c r="BF23" i="1" s="1"/>
  <c r="BA12" i="1"/>
  <c r="BA23" i="1" s="1"/>
  <c r="AY12" i="1"/>
  <c r="AZ12" i="1" s="1"/>
  <c r="AW12" i="1"/>
  <c r="AW23" i="1" s="1"/>
  <c r="AU12" i="1"/>
  <c r="AV12" i="1" s="1"/>
  <c r="AX12" i="1" s="1"/>
  <c r="AS12" i="1"/>
  <c r="AS23" i="1" s="1"/>
  <c r="AQ12" i="1"/>
  <c r="AQ23" i="1" s="1"/>
  <c r="AR23" i="1" s="1"/>
  <c r="AT23" i="1" s="1"/>
  <c r="AO12" i="1"/>
  <c r="AO23" i="1" s="1"/>
  <c r="AM12" i="1"/>
  <c r="AN12" i="1" s="1"/>
  <c r="AP12" i="1" s="1"/>
  <c r="AK12" i="1"/>
  <c r="AK23" i="1" s="1"/>
  <c r="AI12" i="1"/>
  <c r="AJ12" i="1" s="1"/>
  <c r="AL12" i="1" s="1"/>
  <c r="AG12" i="1"/>
  <c r="AG23" i="1" s="1"/>
  <c r="AE12" i="1"/>
  <c r="AE23" i="1" s="1"/>
  <c r="AF23" i="1" s="1"/>
  <c r="AH23" i="1" s="1"/>
  <c r="Y12" i="1"/>
  <c r="W12" i="1"/>
  <c r="W23" i="1" s="1"/>
  <c r="U12" i="1"/>
  <c r="U23" i="1" s="1"/>
  <c r="S12" i="1"/>
  <c r="T12" i="1" s="1"/>
  <c r="V12" i="1" s="1"/>
  <c r="Q12" i="1"/>
  <c r="Q23" i="1" s="1"/>
  <c r="O12" i="1"/>
  <c r="P12" i="1" s="1"/>
  <c r="R12" i="1" s="1"/>
  <c r="L27" i="1"/>
  <c r="N27" i="1" s="1"/>
  <c r="AL86" i="1" l="1"/>
  <c r="X53" i="1"/>
  <c r="Z55" i="1"/>
  <c r="AX83" i="1"/>
  <c r="AH86" i="1"/>
  <c r="X12" i="1"/>
  <c r="X23" i="1" s="1"/>
  <c r="Y53" i="1"/>
  <c r="Y25" i="1" s="1"/>
  <c r="AK53" i="1"/>
  <c r="AS53" i="1"/>
  <c r="BA53" i="1"/>
  <c r="BI53" i="1"/>
  <c r="BQ53" i="1"/>
  <c r="BD31" i="1"/>
  <c r="BF31" i="1" s="1"/>
  <c r="BC25" i="1"/>
  <c r="S31" i="1"/>
  <c r="AY31" i="1"/>
  <c r="AZ31" i="1" s="1"/>
  <c r="BD33" i="1"/>
  <c r="BF33" i="1" s="1"/>
  <c r="AE53" i="1"/>
  <c r="AF53" i="1" s="1"/>
  <c r="AH53" i="1" s="1"/>
  <c r="AM31" i="1"/>
  <c r="AN31" i="1" s="1"/>
  <c r="AP31" i="1" s="1"/>
  <c r="S53" i="1"/>
  <c r="T53" i="1" s="1"/>
  <c r="V53" i="1" s="1"/>
  <c r="BR23" i="1"/>
  <c r="BB33" i="1"/>
  <c r="AM25" i="1"/>
  <c r="AM83" i="1" s="1"/>
  <c r="AM87" i="1" s="1"/>
  <c r="AI31" i="1"/>
  <c r="AJ31" i="1" s="1"/>
  <c r="AL31" i="1" s="1"/>
  <c r="BN84" i="1"/>
  <c r="BL12" i="1"/>
  <c r="BN17" i="1"/>
  <c r="BN18" i="1"/>
  <c r="BN19" i="1"/>
  <c r="BN20" i="1"/>
  <c r="BN21" i="1"/>
  <c r="BN22" i="1"/>
  <c r="BN24" i="1"/>
  <c r="BK31" i="1"/>
  <c r="BL33" i="1"/>
  <c r="BN33" i="1" s="1"/>
  <c r="BN13" i="1"/>
  <c r="BN14" i="1"/>
  <c r="BN15" i="1"/>
  <c r="BN16" i="1"/>
  <c r="BN26" i="1"/>
  <c r="BN29" i="1"/>
  <c r="BT27" i="1"/>
  <c r="BV27" i="1" s="1"/>
  <c r="AE31" i="1"/>
  <c r="AE25" i="1" s="1"/>
  <c r="AE83" i="1" s="1"/>
  <c r="AF33" i="1"/>
  <c r="AH33" i="1" s="1"/>
  <c r="BB43" i="1"/>
  <c r="BR43" i="1"/>
  <c r="BB48" i="1"/>
  <c r="BR48" i="1"/>
  <c r="BN34" i="1"/>
  <c r="BN39" i="1"/>
  <c r="BN44" i="1"/>
  <c r="BL55" i="1"/>
  <c r="BN55" i="1" s="1"/>
  <c r="BN57" i="1"/>
  <c r="BN60" i="1"/>
  <c r="BN62" i="1"/>
  <c r="BN64" i="1"/>
  <c r="BN67" i="1"/>
  <c r="BN88" i="1"/>
  <c r="BN30" i="1"/>
  <c r="BA31" i="1"/>
  <c r="BM31" i="1"/>
  <c r="BN32" i="1"/>
  <c r="AV33" i="1"/>
  <c r="AX33" i="1" s="1"/>
  <c r="BN36" i="1"/>
  <c r="BN41" i="1"/>
  <c r="BL43" i="1"/>
  <c r="BN43" i="1" s="1"/>
  <c r="BN46" i="1"/>
  <c r="BN49" i="1"/>
  <c r="BN50" i="1"/>
  <c r="BN51" i="1"/>
  <c r="BN52" i="1"/>
  <c r="BL53" i="1"/>
  <c r="BN56" i="1"/>
  <c r="BN59" i="1"/>
  <c r="BN66" i="1"/>
  <c r="BN69" i="1"/>
  <c r="BN73" i="1"/>
  <c r="BL74" i="1"/>
  <c r="BN74" i="1" s="1"/>
  <c r="BN75" i="1"/>
  <c r="BN77" i="1"/>
  <c r="BN78" i="1"/>
  <c r="BN80" i="1"/>
  <c r="BN85" i="1"/>
  <c r="BN37" i="1"/>
  <c r="BN58" i="1"/>
  <c r="BN63" i="1"/>
  <c r="BN68" i="1"/>
  <c r="BL70" i="1"/>
  <c r="BN70" i="1" s="1"/>
  <c r="BN71" i="1"/>
  <c r="BN28" i="1"/>
  <c r="BN38" i="1"/>
  <c r="BN45" i="1"/>
  <c r="BN47" i="1"/>
  <c r="BL48" i="1"/>
  <c r="BN61" i="1"/>
  <c r="BN65" i="1"/>
  <c r="BN72" i="1"/>
  <c r="BN76" i="1"/>
  <c r="BN79" i="1"/>
  <c r="AT86" i="1"/>
  <c r="Y23" i="1"/>
  <c r="Z23" i="1" s="1"/>
  <c r="BR31" i="1"/>
  <c r="BR33" i="1"/>
  <c r="BF86" i="1"/>
  <c r="BC83" i="1"/>
  <c r="BC87" i="1" s="1"/>
  <c r="BN12" i="1"/>
  <c r="AQ31" i="1"/>
  <c r="BG31" i="1"/>
  <c r="P33" i="1"/>
  <c r="R33" i="1" s="1"/>
  <c r="BB12" i="1"/>
  <c r="T31" i="1"/>
  <c r="V31" i="1" s="1"/>
  <c r="AF31" i="1"/>
  <c r="AH31" i="1" s="1"/>
  <c r="AV31" i="1"/>
  <c r="AX31" i="1" s="1"/>
  <c r="BL31" i="1"/>
  <c r="AY53" i="1"/>
  <c r="BD55" i="1"/>
  <c r="BF55" i="1" s="1"/>
  <c r="AI53" i="1"/>
  <c r="BP55" i="1"/>
  <c r="BR55" i="1" s="1"/>
  <c r="BO53" i="1"/>
  <c r="BB70" i="1"/>
  <c r="BR70" i="1"/>
  <c r="W31" i="1"/>
  <c r="S23" i="1"/>
  <c r="T23" i="1" s="1"/>
  <c r="V23" i="1" s="1"/>
  <c r="AI23" i="1"/>
  <c r="AJ23" i="1" s="1"/>
  <c r="AL23" i="1" s="1"/>
  <c r="AU23" i="1"/>
  <c r="AV23" i="1" s="1"/>
  <c r="AX23" i="1" s="1"/>
  <c r="BG23" i="1"/>
  <c r="BH23" i="1" s="1"/>
  <c r="AF12" i="1"/>
  <c r="AH12" i="1" s="1"/>
  <c r="AR12" i="1"/>
  <c r="AT12" i="1" s="1"/>
  <c r="BD12" i="1"/>
  <c r="BF12" i="1" s="1"/>
  <c r="BP12" i="1"/>
  <c r="BR12" i="1" s="1"/>
  <c r="U25" i="1"/>
  <c r="AK25" i="1"/>
  <c r="AO25" i="1"/>
  <c r="AO83" i="1" s="1"/>
  <c r="AS25" i="1"/>
  <c r="BA25" i="1"/>
  <c r="BE25" i="1"/>
  <c r="BI25" i="1"/>
  <c r="BQ25" i="1"/>
  <c r="AW53" i="1"/>
  <c r="BM53" i="1"/>
  <c r="AM23" i="1"/>
  <c r="AN23" i="1" s="1"/>
  <c r="AP23" i="1" s="1"/>
  <c r="AY23" i="1"/>
  <c r="AZ23" i="1" s="1"/>
  <c r="BB23" i="1" s="1"/>
  <c r="Q53" i="1"/>
  <c r="AG53" i="1"/>
  <c r="BB55" i="1"/>
  <c r="O23" i="1"/>
  <c r="P23" i="1" s="1"/>
  <c r="R23" i="1" s="1"/>
  <c r="BK23" i="1"/>
  <c r="AN25" i="1"/>
  <c r="AN83" i="1" s="1"/>
  <c r="AV25" i="1"/>
  <c r="AX25" i="1" s="1"/>
  <c r="BD25" i="1"/>
  <c r="BD83" i="1" s="1"/>
  <c r="AE87" i="1"/>
  <c r="AU87" i="1"/>
  <c r="BB74" i="1"/>
  <c r="BR74" i="1"/>
  <c r="BN86" i="1"/>
  <c r="BB86" i="1"/>
  <c r="BR86" i="1"/>
  <c r="AP25" i="1" l="1"/>
  <c r="Z12" i="1"/>
  <c r="Z53" i="1"/>
  <c r="BF25" i="1"/>
  <c r="Y83" i="1"/>
  <c r="AF25" i="1"/>
  <c r="AF83" i="1" s="1"/>
  <c r="AF87" i="1" s="1"/>
  <c r="AF89" i="1" s="1"/>
  <c r="T25" i="1"/>
  <c r="T83" i="1" s="1"/>
  <c r="T87" i="1" s="1"/>
  <c r="S25" i="1"/>
  <c r="BB31" i="1"/>
  <c r="BN48" i="1"/>
  <c r="BN53" i="1"/>
  <c r="BL23" i="1"/>
  <c r="D23" i="7"/>
  <c r="CF23" i="7" s="1"/>
  <c r="CH23" i="7" s="1"/>
  <c r="F23" i="7"/>
  <c r="BN31" i="1"/>
  <c r="BD87" i="1"/>
  <c r="BD89" i="1" s="1"/>
  <c r="BK25" i="1"/>
  <c r="BP53" i="1"/>
  <c r="BR53" i="1" s="1"/>
  <c r="BO25" i="1"/>
  <c r="AZ53" i="1"/>
  <c r="BB53" i="1" s="1"/>
  <c r="AY25" i="1"/>
  <c r="BM25" i="1"/>
  <c r="BM83" i="1" s="1"/>
  <c r="AW25" i="1"/>
  <c r="AW83" i="1" s="1"/>
  <c r="AG25" i="1"/>
  <c r="Q25" i="1"/>
  <c r="P31" i="1"/>
  <c r="R31" i="1" s="1"/>
  <c r="O25" i="1"/>
  <c r="BH31" i="1"/>
  <c r="BG25" i="1"/>
  <c r="AJ53" i="1"/>
  <c r="AL53" i="1" s="1"/>
  <c r="AI25" i="1"/>
  <c r="AR31" i="1"/>
  <c r="AT31" i="1" s="1"/>
  <c r="AQ25" i="1"/>
  <c r="X31" i="1"/>
  <c r="Z31" i="1" s="1"/>
  <c r="W25" i="1"/>
  <c r="BI83" i="1"/>
  <c r="AS83" i="1"/>
  <c r="AE89" i="1"/>
  <c r="BE83" i="1"/>
  <c r="AP83" i="1"/>
  <c r="AV89" i="1"/>
  <c r="AU89" i="1"/>
  <c r="BQ83" i="1"/>
  <c r="BA83" i="1"/>
  <c r="AK83" i="1"/>
  <c r="U83" i="1"/>
  <c r="AN87" i="1"/>
  <c r="AN89" i="1" s="1"/>
  <c r="AM89" i="1"/>
  <c r="BC89" i="1"/>
  <c r="BF83" i="1" l="1"/>
  <c r="BE87" i="1"/>
  <c r="V83" i="1"/>
  <c r="V25" i="1"/>
  <c r="AG83" i="1"/>
  <c r="AH83" i="1" s="1"/>
  <c r="AH25" i="1"/>
  <c r="Q83" i="1"/>
  <c r="Q87" i="1" s="1"/>
  <c r="P25" i="1"/>
  <c r="P83" i="1" s="1"/>
  <c r="P87" i="1" s="1"/>
  <c r="S83" i="1"/>
  <c r="BK83" i="1"/>
  <c r="BL25" i="1"/>
  <c r="BN23" i="1"/>
  <c r="AI83" i="1"/>
  <c r="AJ25" i="1"/>
  <c r="AL25" i="1" s="1"/>
  <c r="O83" i="1"/>
  <c r="AY83" i="1"/>
  <c r="AZ25" i="1"/>
  <c r="BB25" i="1" s="1"/>
  <c r="AQ83" i="1"/>
  <c r="AR25" i="1"/>
  <c r="AT25" i="1" s="1"/>
  <c r="BG83" i="1"/>
  <c r="BH25" i="1"/>
  <c r="BJ25" i="1" s="1"/>
  <c r="BO83" i="1"/>
  <c r="BP25" i="1"/>
  <c r="BR25" i="1" s="1"/>
  <c r="W83" i="1"/>
  <c r="X25" i="1"/>
  <c r="BM87" i="1"/>
  <c r="U87" i="1"/>
  <c r="V87" i="1" s="1"/>
  <c r="BA87" i="1"/>
  <c r="AO87" i="1"/>
  <c r="AP87" i="1" s="1"/>
  <c r="AS87" i="1"/>
  <c r="AK87" i="1"/>
  <c r="BQ87" i="1"/>
  <c r="Y87" i="1"/>
  <c r="BF87" i="1"/>
  <c r="BI87" i="1"/>
  <c r="AW87" i="1"/>
  <c r="AX87" i="1" s="1"/>
  <c r="AG87" i="1" l="1"/>
  <c r="AH87" i="1" s="1"/>
  <c r="X83" i="1"/>
  <c r="Z25" i="1"/>
  <c r="R25" i="1"/>
  <c r="R87" i="1"/>
  <c r="R83" i="1"/>
  <c r="S87" i="1"/>
  <c r="AJ83" i="1"/>
  <c r="BN25" i="1"/>
  <c r="BL83" i="1"/>
  <c r="BK87" i="1"/>
  <c r="AR83" i="1"/>
  <c r="AQ87" i="1"/>
  <c r="O87" i="1"/>
  <c r="BP83" i="1"/>
  <c r="BR83" i="1" s="1"/>
  <c r="BO87" i="1"/>
  <c r="BH83" i="1"/>
  <c r="BJ83" i="1" s="1"/>
  <c r="BG87" i="1"/>
  <c r="AZ83" i="1"/>
  <c r="BB83" i="1" s="1"/>
  <c r="AY87" i="1"/>
  <c r="AI87" i="1"/>
  <c r="W87" i="1"/>
  <c r="BI89" i="1"/>
  <c r="BE89" i="1"/>
  <c r="BF89" i="1" s="1"/>
  <c r="BQ89" i="1"/>
  <c r="AO89" i="1"/>
  <c r="AP89" i="1" s="1"/>
  <c r="U89" i="1"/>
  <c r="Q89" i="1"/>
  <c r="AW89" i="1"/>
  <c r="AX89" i="1" s="1"/>
  <c r="Y89" i="1"/>
  <c r="AK89" i="1"/>
  <c r="AS89" i="1"/>
  <c r="BA89" i="1"/>
  <c r="BM89" i="1"/>
  <c r="AT83" i="1" l="1"/>
  <c r="AR87" i="1"/>
  <c r="AG89" i="1"/>
  <c r="AH89" i="1" s="1"/>
  <c r="AJ87" i="1"/>
  <c r="AL87" i="1" s="1"/>
  <c r="AL83" i="1"/>
  <c r="X87" i="1"/>
  <c r="Z87" i="1" s="1"/>
  <c r="Z83" i="1"/>
  <c r="S89" i="1"/>
  <c r="BL87" i="1"/>
  <c r="BK89" i="1"/>
  <c r="AT87" i="1"/>
  <c r="BN83" i="1"/>
  <c r="AZ87" i="1"/>
  <c r="AY89" i="1"/>
  <c r="BP87" i="1"/>
  <c r="BO89" i="1"/>
  <c r="AQ89" i="1"/>
  <c r="AI89" i="1"/>
  <c r="BH87" i="1"/>
  <c r="BG89" i="1"/>
  <c r="O89" i="1"/>
  <c r="W89" i="1"/>
  <c r="T89" i="1" l="1"/>
  <c r="V89" i="1" s="1"/>
  <c r="BL89" i="1"/>
  <c r="BN89" i="1" s="1"/>
  <c r="BN87" i="1"/>
  <c r="AJ89" i="1"/>
  <c r="AL89" i="1" s="1"/>
  <c r="AR89" i="1"/>
  <c r="AT89" i="1" s="1"/>
  <c r="BH89" i="1"/>
  <c r="BJ89" i="1" s="1"/>
  <c r="BJ87" i="1"/>
  <c r="BP89" i="1"/>
  <c r="BR89" i="1" s="1"/>
  <c r="BR87" i="1"/>
  <c r="P89" i="1"/>
  <c r="R89" i="1" s="1"/>
  <c r="AZ89" i="1"/>
  <c r="BB89" i="1" s="1"/>
  <c r="BB87" i="1"/>
  <c r="X89" i="1"/>
  <c r="Z89" i="1" s="1"/>
  <c r="L88" i="1" l="1"/>
  <c r="N88" i="1" s="1"/>
  <c r="H88" i="1"/>
  <c r="J88" i="1" s="1"/>
  <c r="M86" i="1"/>
  <c r="K86" i="1"/>
  <c r="I86" i="1"/>
  <c r="G86" i="1"/>
  <c r="H86" i="1" s="1"/>
  <c r="J86" i="1" s="1"/>
  <c r="L85" i="1"/>
  <c r="N85" i="1" s="1"/>
  <c r="H85" i="1"/>
  <c r="J85" i="1" s="1"/>
  <c r="L84" i="1"/>
  <c r="N84" i="1" s="1"/>
  <c r="H84" i="1"/>
  <c r="J84" i="1" s="1"/>
  <c r="L81" i="1"/>
  <c r="N81" i="1" s="1"/>
  <c r="H81" i="1"/>
  <c r="J81" i="1" s="1"/>
  <c r="L80" i="1"/>
  <c r="N80" i="1" s="1"/>
  <c r="H80" i="1"/>
  <c r="J80" i="1" s="1"/>
  <c r="L79" i="1"/>
  <c r="N79" i="1" s="1"/>
  <c r="H79" i="1"/>
  <c r="J79" i="1" s="1"/>
  <c r="L78" i="1"/>
  <c r="N78" i="1" s="1"/>
  <c r="H78" i="1"/>
  <c r="J78" i="1" s="1"/>
  <c r="L77" i="1"/>
  <c r="N77" i="1" s="1"/>
  <c r="H77" i="1"/>
  <c r="J77" i="1" s="1"/>
  <c r="L76" i="1"/>
  <c r="N76" i="1" s="1"/>
  <c r="H76" i="1"/>
  <c r="J76" i="1" s="1"/>
  <c r="L75" i="1"/>
  <c r="N75" i="1" s="1"/>
  <c r="H75" i="1"/>
  <c r="J75" i="1" s="1"/>
  <c r="M74" i="1"/>
  <c r="K74" i="1"/>
  <c r="I74" i="1"/>
  <c r="G74" i="1"/>
  <c r="H74" i="1" s="1"/>
  <c r="J74" i="1" s="1"/>
  <c r="L73" i="1"/>
  <c r="N73" i="1" s="1"/>
  <c r="H73" i="1"/>
  <c r="J73" i="1" s="1"/>
  <c r="L72" i="1"/>
  <c r="N72" i="1" s="1"/>
  <c r="H72" i="1"/>
  <c r="J72" i="1" s="1"/>
  <c r="L71" i="1"/>
  <c r="N71" i="1" s="1"/>
  <c r="H71" i="1"/>
  <c r="J71" i="1" s="1"/>
  <c r="M70" i="1"/>
  <c r="K70" i="1"/>
  <c r="I70" i="1"/>
  <c r="G70" i="1"/>
  <c r="H70" i="1" s="1"/>
  <c r="J70" i="1" s="1"/>
  <c r="L69" i="1"/>
  <c r="N69" i="1" s="1"/>
  <c r="H69" i="1"/>
  <c r="J69" i="1" s="1"/>
  <c r="L68" i="1"/>
  <c r="N68" i="1" s="1"/>
  <c r="H68" i="1"/>
  <c r="J68" i="1" s="1"/>
  <c r="L67" i="1"/>
  <c r="N67" i="1" s="1"/>
  <c r="H67" i="1"/>
  <c r="J67" i="1" s="1"/>
  <c r="L66" i="1"/>
  <c r="N66" i="1" s="1"/>
  <c r="H66" i="1"/>
  <c r="J66" i="1" s="1"/>
  <c r="L65" i="1"/>
  <c r="N65" i="1" s="1"/>
  <c r="H65" i="1"/>
  <c r="J65" i="1" s="1"/>
  <c r="L64" i="1"/>
  <c r="N64" i="1" s="1"/>
  <c r="H64" i="1"/>
  <c r="J64" i="1" s="1"/>
  <c r="L63" i="1"/>
  <c r="N63" i="1" s="1"/>
  <c r="H63" i="1"/>
  <c r="J63" i="1" s="1"/>
  <c r="L62" i="1"/>
  <c r="N62" i="1" s="1"/>
  <c r="H62" i="1"/>
  <c r="J62" i="1" s="1"/>
  <c r="L61" i="1"/>
  <c r="N61" i="1" s="1"/>
  <c r="H61" i="1"/>
  <c r="J61" i="1" s="1"/>
  <c r="L60" i="1"/>
  <c r="N60" i="1" s="1"/>
  <c r="H60" i="1"/>
  <c r="J60" i="1" s="1"/>
  <c r="L59" i="1"/>
  <c r="N59" i="1" s="1"/>
  <c r="H59" i="1"/>
  <c r="J59" i="1" s="1"/>
  <c r="L58" i="1"/>
  <c r="N58" i="1" s="1"/>
  <c r="H58" i="1"/>
  <c r="J58" i="1" s="1"/>
  <c r="L57" i="1"/>
  <c r="N57" i="1" s="1"/>
  <c r="H57" i="1"/>
  <c r="J57" i="1" s="1"/>
  <c r="L56" i="1"/>
  <c r="N56" i="1" s="1"/>
  <c r="H56" i="1"/>
  <c r="J56" i="1" s="1"/>
  <c r="M55" i="1"/>
  <c r="K55" i="1"/>
  <c r="I55" i="1"/>
  <c r="G55" i="1"/>
  <c r="H55" i="1" s="1"/>
  <c r="J55" i="1" s="1"/>
  <c r="L54" i="1"/>
  <c r="N54" i="1" s="1"/>
  <c r="H54" i="1"/>
  <c r="J54" i="1" s="1"/>
  <c r="L52" i="1"/>
  <c r="N52" i="1" s="1"/>
  <c r="H52" i="1"/>
  <c r="J52" i="1" s="1"/>
  <c r="L51" i="1"/>
  <c r="N51" i="1" s="1"/>
  <c r="H51" i="1"/>
  <c r="J51" i="1" s="1"/>
  <c r="L50" i="1"/>
  <c r="N50" i="1" s="1"/>
  <c r="H50" i="1"/>
  <c r="J50" i="1" s="1"/>
  <c r="L49" i="1"/>
  <c r="N49" i="1" s="1"/>
  <c r="H49" i="1"/>
  <c r="J49" i="1" s="1"/>
  <c r="M48" i="1"/>
  <c r="K48" i="1"/>
  <c r="I48" i="1"/>
  <c r="G48" i="1"/>
  <c r="H48" i="1" s="1"/>
  <c r="J48" i="1" s="1"/>
  <c r="L47" i="1"/>
  <c r="N47" i="1" s="1"/>
  <c r="H47" i="1"/>
  <c r="J47" i="1" s="1"/>
  <c r="L46" i="1"/>
  <c r="N46" i="1" s="1"/>
  <c r="H46" i="1"/>
  <c r="J46" i="1" s="1"/>
  <c r="L45" i="1"/>
  <c r="N45" i="1" s="1"/>
  <c r="H45" i="1"/>
  <c r="J45" i="1" s="1"/>
  <c r="L44" i="1"/>
  <c r="N44" i="1" s="1"/>
  <c r="H44" i="1"/>
  <c r="J44" i="1" s="1"/>
  <c r="M43" i="1"/>
  <c r="M31" i="1" s="1"/>
  <c r="K43" i="1"/>
  <c r="I43" i="1"/>
  <c r="I31" i="1" s="1"/>
  <c r="G43" i="1"/>
  <c r="H43" i="1" s="1"/>
  <c r="J43" i="1" s="1"/>
  <c r="L41" i="1"/>
  <c r="N41" i="1" s="1"/>
  <c r="H41" i="1"/>
  <c r="J41" i="1" s="1"/>
  <c r="L39" i="1"/>
  <c r="N39" i="1" s="1"/>
  <c r="H39" i="1"/>
  <c r="J39" i="1" s="1"/>
  <c r="L38" i="1"/>
  <c r="N38" i="1" s="1"/>
  <c r="H38" i="1"/>
  <c r="J38" i="1" s="1"/>
  <c r="L37" i="1"/>
  <c r="N37" i="1" s="1"/>
  <c r="H37" i="1"/>
  <c r="J37" i="1" s="1"/>
  <c r="L36" i="1"/>
  <c r="N36" i="1" s="1"/>
  <c r="H36" i="1"/>
  <c r="J36" i="1" s="1"/>
  <c r="L35" i="1"/>
  <c r="N35" i="1" s="1"/>
  <c r="H35" i="1"/>
  <c r="J35" i="1" s="1"/>
  <c r="L34" i="1"/>
  <c r="N34" i="1" s="1"/>
  <c r="H34" i="1"/>
  <c r="J34" i="1" s="1"/>
  <c r="K33" i="1"/>
  <c r="K31" i="1" s="1"/>
  <c r="G33" i="1"/>
  <c r="H33" i="1" s="1"/>
  <c r="J33" i="1" s="1"/>
  <c r="L32" i="1"/>
  <c r="N32" i="1" s="1"/>
  <c r="H32" i="1"/>
  <c r="J32" i="1" s="1"/>
  <c r="L30" i="1"/>
  <c r="N30" i="1" s="1"/>
  <c r="H30" i="1"/>
  <c r="J30" i="1" s="1"/>
  <c r="L29" i="1"/>
  <c r="N29" i="1" s="1"/>
  <c r="H29" i="1"/>
  <c r="J29" i="1" s="1"/>
  <c r="L28" i="1"/>
  <c r="N28" i="1" s="1"/>
  <c r="H28" i="1"/>
  <c r="J28" i="1" s="1"/>
  <c r="L26" i="1"/>
  <c r="N26" i="1" s="1"/>
  <c r="H26" i="1"/>
  <c r="J26" i="1" s="1"/>
  <c r="L24" i="1"/>
  <c r="N24" i="1" s="1"/>
  <c r="H24" i="1"/>
  <c r="J24" i="1" s="1"/>
  <c r="L22" i="1"/>
  <c r="N22" i="1" s="1"/>
  <c r="H22" i="1"/>
  <c r="J22" i="1" s="1"/>
  <c r="L21" i="1"/>
  <c r="N21" i="1" s="1"/>
  <c r="H21" i="1"/>
  <c r="J21" i="1" s="1"/>
  <c r="L20" i="1"/>
  <c r="N20" i="1" s="1"/>
  <c r="H20" i="1"/>
  <c r="J20" i="1" s="1"/>
  <c r="L19" i="1"/>
  <c r="N19" i="1" s="1"/>
  <c r="H19" i="1"/>
  <c r="J19" i="1" s="1"/>
  <c r="L18" i="1"/>
  <c r="N18" i="1" s="1"/>
  <c r="H18" i="1"/>
  <c r="J18" i="1" s="1"/>
  <c r="L17" i="1"/>
  <c r="N17" i="1" s="1"/>
  <c r="H17" i="1"/>
  <c r="J17" i="1" s="1"/>
  <c r="L16" i="1"/>
  <c r="N16" i="1" s="1"/>
  <c r="H16" i="1"/>
  <c r="J16" i="1" s="1"/>
  <c r="L15" i="1"/>
  <c r="N15" i="1" s="1"/>
  <c r="H15" i="1"/>
  <c r="J15" i="1" s="1"/>
  <c r="L14" i="1"/>
  <c r="N14" i="1" s="1"/>
  <c r="H14" i="1"/>
  <c r="J14" i="1" s="1"/>
  <c r="L13" i="1"/>
  <c r="N13" i="1" s="1"/>
  <c r="H13" i="1"/>
  <c r="J13" i="1" s="1"/>
  <c r="M12" i="1"/>
  <c r="K12" i="1"/>
  <c r="I12" i="1"/>
  <c r="I23" i="1" s="1"/>
  <c r="G12" i="1"/>
  <c r="H12" i="1" s="1"/>
  <c r="J12" i="1" s="1"/>
  <c r="K53" i="1" l="1"/>
  <c r="L53" i="1" s="1"/>
  <c r="N53" i="1" s="1"/>
  <c r="I53" i="1"/>
  <c r="I25" i="1" s="1"/>
  <c r="I83" i="1" s="1"/>
  <c r="L55" i="1"/>
  <c r="N55" i="1" s="1"/>
  <c r="L70" i="1"/>
  <c r="N70" i="1" s="1"/>
  <c r="L86" i="1"/>
  <c r="N86" i="1" s="1"/>
  <c r="L33" i="1"/>
  <c r="N33" i="1" s="1"/>
  <c r="L74" i="1"/>
  <c r="N74" i="1" s="1"/>
  <c r="L12" i="1"/>
  <c r="N12" i="1" s="1"/>
  <c r="M23" i="1"/>
  <c r="L43" i="1"/>
  <c r="N43" i="1" s="1"/>
  <c r="L48" i="1"/>
  <c r="N48" i="1" s="1"/>
  <c r="M53" i="1"/>
  <c r="G31" i="1"/>
  <c r="G53" i="1"/>
  <c r="H53" i="1" s="1"/>
  <c r="J53" i="1" s="1"/>
  <c r="K23" i="1"/>
  <c r="G23" i="1"/>
  <c r="H23" i="1" s="1"/>
  <c r="J23" i="1" s="1"/>
  <c r="I87" i="1" l="1"/>
  <c r="I89" i="1" s="1"/>
  <c r="K25" i="1"/>
  <c r="L23" i="1"/>
  <c r="N23" i="1" s="1"/>
  <c r="M25" i="1"/>
  <c r="H31" i="1"/>
  <c r="J31" i="1" s="1"/>
  <c r="G25" i="1"/>
  <c r="L31" i="1"/>
  <c r="N31" i="1" s="1"/>
  <c r="M83" i="1" l="1"/>
  <c r="G83" i="1"/>
  <c r="G87" i="1" s="1"/>
  <c r="G89" i="1" s="1"/>
  <c r="H25" i="1"/>
  <c r="J25" i="1" s="1"/>
  <c r="K83" i="1"/>
  <c r="L25" i="1"/>
  <c r="N25" i="1" s="1"/>
  <c r="M87" i="1" l="1"/>
  <c r="L83" i="1"/>
  <c r="N83" i="1" s="1"/>
  <c r="H83" i="1"/>
  <c r="J83" i="1" s="1"/>
  <c r="K87" i="1"/>
  <c r="M89" i="1" l="1"/>
  <c r="L87" i="1"/>
  <c r="N87" i="1" s="1"/>
  <c r="H87" i="1"/>
  <c r="J87" i="1" s="1"/>
  <c r="K89" i="1"/>
  <c r="H89" i="1" l="1"/>
  <c r="J89" i="1" s="1"/>
  <c r="L89" i="1"/>
  <c r="N89" i="1" s="1"/>
  <c r="E55" i="1" l="1"/>
  <c r="BU55" i="1" s="1"/>
  <c r="C55" i="1"/>
  <c r="BS55" i="1" s="1"/>
  <c r="C51" i="7" s="1"/>
  <c r="CE51" i="7" s="1"/>
  <c r="D88" i="1"/>
  <c r="D85" i="1"/>
  <c r="D84" i="1"/>
  <c r="D81" i="1"/>
  <c r="D80" i="1"/>
  <c r="D79" i="1"/>
  <c r="D78" i="1"/>
  <c r="D77" i="1"/>
  <c r="D76" i="1"/>
  <c r="D75" i="1"/>
  <c r="D73" i="1"/>
  <c r="D72" i="1"/>
  <c r="D71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4" i="1"/>
  <c r="D52" i="1"/>
  <c r="D51" i="1"/>
  <c r="D50" i="1"/>
  <c r="D49" i="1"/>
  <c r="D47" i="1"/>
  <c r="D46" i="1"/>
  <c r="D45" i="1"/>
  <c r="D44" i="1"/>
  <c r="D41" i="1"/>
  <c r="D39" i="1"/>
  <c r="D38" i="1"/>
  <c r="D37" i="1"/>
  <c r="D36" i="1"/>
  <c r="D35" i="1"/>
  <c r="D34" i="1"/>
  <c r="D32" i="1"/>
  <c r="D30" i="1"/>
  <c r="D29" i="1"/>
  <c r="D28" i="1"/>
  <c r="F28" i="1" s="1"/>
  <c r="D26" i="1"/>
  <c r="D22" i="1"/>
  <c r="D21" i="1"/>
  <c r="D20" i="1"/>
  <c r="D19" i="1"/>
  <c r="D18" i="1"/>
  <c r="D17" i="1"/>
  <c r="D16" i="1"/>
  <c r="D15" i="1"/>
  <c r="BT79" i="1" l="1"/>
  <c r="BV79" i="1" s="1"/>
  <c r="F75" i="7" s="1"/>
  <c r="F79" i="1"/>
  <c r="BT85" i="1"/>
  <c r="BV85" i="1" s="1"/>
  <c r="F81" i="7" s="1"/>
  <c r="F85" i="1"/>
  <c r="BT88" i="1"/>
  <c r="BV88" i="1" s="1"/>
  <c r="F84" i="7" s="1"/>
  <c r="F88" i="1"/>
  <c r="BT81" i="1"/>
  <c r="BV81" i="1" s="1"/>
  <c r="F77" i="7" s="1"/>
  <c r="F81" i="1"/>
  <c r="BT80" i="1"/>
  <c r="BV80" i="1" s="1"/>
  <c r="F76" i="7" s="1"/>
  <c r="F80" i="1"/>
  <c r="BT84" i="1"/>
  <c r="BV84" i="1" s="1"/>
  <c r="F80" i="7" s="1"/>
  <c r="F84" i="1"/>
  <c r="BT21" i="1"/>
  <c r="BV21" i="1" s="1"/>
  <c r="F17" i="7" s="1"/>
  <c r="F21" i="1"/>
  <c r="BT35" i="1"/>
  <c r="BV35" i="1" s="1"/>
  <c r="F31" i="7" s="1"/>
  <c r="F35" i="1"/>
  <c r="BT39" i="1"/>
  <c r="BV39" i="1" s="1"/>
  <c r="F35" i="7" s="1"/>
  <c r="F39" i="1"/>
  <c r="BT51" i="1"/>
  <c r="BV51" i="1" s="1"/>
  <c r="F47" i="7" s="1"/>
  <c r="F51" i="1"/>
  <c r="BT65" i="1"/>
  <c r="BV65" i="1" s="1"/>
  <c r="F61" i="7" s="1"/>
  <c r="F65" i="1"/>
  <c r="BT69" i="1"/>
  <c r="BV69" i="1" s="1"/>
  <c r="F65" i="7" s="1"/>
  <c r="F69" i="1"/>
  <c r="BT18" i="1"/>
  <c r="BV18" i="1" s="1"/>
  <c r="F14" i="7" s="1"/>
  <c r="F18" i="1"/>
  <c r="BT30" i="1"/>
  <c r="BV30" i="1" s="1"/>
  <c r="F26" i="7" s="1"/>
  <c r="F30" i="1"/>
  <c r="BT41" i="1"/>
  <c r="BV41" i="1" s="1"/>
  <c r="F37" i="7" s="1"/>
  <c r="F41" i="1"/>
  <c r="BT52" i="1"/>
  <c r="BV52" i="1" s="1"/>
  <c r="F48" i="7" s="1"/>
  <c r="F52" i="1"/>
  <c r="BT62" i="1"/>
  <c r="BV62" i="1" s="1"/>
  <c r="F58" i="7" s="1"/>
  <c r="F62" i="1"/>
  <c r="BT66" i="1"/>
  <c r="BV66" i="1" s="1"/>
  <c r="F62" i="7" s="1"/>
  <c r="F66" i="1"/>
  <c r="BT76" i="1"/>
  <c r="BV76" i="1" s="1"/>
  <c r="F72" i="7" s="1"/>
  <c r="F76" i="1"/>
  <c r="BT15" i="1"/>
  <c r="BV15" i="1" s="1"/>
  <c r="F11" i="7" s="1"/>
  <c r="F15" i="1"/>
  <c r="BT19" i="1"/>
  <c r="BV19" i="1" s="1"/>
  <c r="F15" i="7" s="1"/>
  <c r="F19" i="1"/>
  <c r="BT26" i="1"/>
  <c r="BV26" i="1" s="1"/>
  <c r="F22" i="7" s="1"/>
  <c r="F26" i="1"/>
  <c r="BT32" i="1"/>
  <c r="BV32" i="1" s="1"/>
  <c r="F28" i="7" s="1"/>
  <c r="F32" i="1"/>
  <c r="BT37" i="1"/>
  <c r="BV37" i="1" s="1"/>
  <c r="F33" i="7" s="1"/>
  <c r="F37" i="1"/>
  <c r="BT44" i="1"/>
  <c r="BV44" i="1" s="1"/>
  <c r="F40" i="7" s="1"/>
  <c r="F44" i="1"/>
  <c r="BT49" i="1"/>
  <c r="BV49" i="1" s="1"/>
  <c r="F45" i="7" s="1"/>
  <c r="F49" i="1"/>
  <c r="BT54" i="1"/>
  <c r="BV54" i="1" s="1"/>
  <c r="F50" i="7" s="1"/>
  <c r="F54" i="1"/>
  <c r="BT59" i="1"/>
  <c r="BV59" i="1" s="1"/>
  <c r="F55" i="7" s="1"/>
  <c r="F59" i="1"/>
  <c r="BT63" i="1"/>
  <c r="BV63" i="1" s="1"/>
  <c r="F59" i="7" s="1"/>
  <c r="F63" i="1"/>
  <c r="BT67" i="1"/>
  <c r="BV67" i="1" s="1"/>
  <c r="F63" i="7" s="1"/>
  <c r="F67" i="1"/>
  <c r="BT72" i="1"/>
  <c r="BV72" i="1" s="1"/>
  <c r="F68" i="7" s="1"/>
  <c r="F72" i="1"/>
  <c r="BT77" i="1"/>
  <c r="BV77" i="1" s="1"/>
  <c r="F73" i="7" s="1"/>
  <c r="F77" i="1"/>
  <c r="BT17" i="1"/>
  <c r="BV17" i="1" s="1"/>
  <c r="F13" i="7" s="1"/>
  <c r="F17" i="1"/>
  <c r="BT29" i="1"/>
  <c r="BV29" i="1" s="1"/>
  <c r="F25" i="7" s="1"/>
  <c r="F29" i="1"/>
  <c r="BT46" i="1"/>
  <c r="BV46" i="1" s="1"/>
  <c r="F42" i="7" s="1"/>
  <c r="F46" i="1"/>
  <c r="BT57" i="1"/>
  <c r="BV57" i="1" s="1"/>
  <c r="F53" i="7" s="1"/>
  <c r="F57" i="1"/>
  <c r="BT61" i="1"/>
  <c r="BV61" i="1" s="1"/>
  <c r="F57" i="7" s="1"/>
  <c r="F61" i="1"/>
  <c r="BT75" i="1"/>
  <c r="BV75" i="1" s="1"/>
  <c r="F71" i="7" s="1"/>
  <c r="F75" i="1"/>
  <c r="BT22" i="1"/>
  <c r="BV22" i="1" s="1"/>
  <c r="F18" i="7" s="1"/>
  <c r="F22" i="1"/>
  <c r="BT36" i="1"/>
  <c r="BV36" i="1" s="1"/>
  <c r="F32" i="7" s="1"/>
  <c r="F36" i="1"/>
  <c r="BT47" i="1"/>
  <c r="BV47" i="1" s="1"/>
  <c r="F43" i="7" s="1"/>
  <c r="F47" i="1"/>
  <c r="BT58" i="1"/>
  <c r="BV58" i="1" s="1"/>
  <c r="F54" i="7" s="1"/>
  <c r="F58" i="1"/>
  <c r="BT71" i="1"/>
  <c r="BV71" i="1" s="1"/>
  <c r="F67" i="7" s="1"/>
  <c r="F71" i="1"/>
  <c r="BT16" i="1"/>
  <c r="BV16" i="1" s="1"/>
  <c r="F12" i="7" s="1"/>
  <c r="F16" i="1"/>
  <c r="BT20" i="1"/>
  <c r="BV20" i="1" s="1"/>
  <c r="F16" i="7" s="1"/>
  <c r="F20" i="1"/>
  <c r="BT34" i="1"/>
  <c r="BV34" i="1" s="1"/>
  <c r="F30" i="7" s="1"/>
  <c r="F34" i="1"/>
  <c r="BT38" i="1"/>
  <c r="BV38" i="1" s="1"/>
  <c r="F34" i="7" s="1"/>
  <c r="F38" i="1"/>
  <c r="BT45" i="1"/>
  <c r="BV45" i="1" s="1"/>
  <c r="F41" i="7" s="1"/>
  <c r="F45" i="1"/>
  <c r="BT50" i="1"/>
  <c r="BV50" i="1" s="1"/>
  <c r="F46" i="7" s="1"/>
  <c r="F50" i="1"/>
  <c r="BT56" i="1"/>
  <c r="BV56" i="1" s="1"/>
  <c r="F52" i="7" s="1"/>
  <c r="F56" i="1"/>
  <c r="BT60" i="1"/>
  <c r="BV60" i="1" s="1"/>
  <c r="F56" i="7" s="1"/>
  <c r="F60" i="1"/>
  <c r="BT64" i="1"/>
  <c r="BV64" i="1" s="1"/>
  <c r="F60" i="7" s="1"/>
  <c r="F64" i="1"/>
  <c r="BT68" i="1"/>
  <c r="BV68" i="1" s="1"/>
  <c r="F64" i="7" s="1"/>
  <c r="F68" i="1"/>
  <c r="BT73" i="1"/>
  <c r="BV73" i="1" s="1"/>
  <c r="F69" i="7" s="1"/>
  <c r="F73" i="1"/>
  <c r="BT78" i="1"/>
  <c r="BV78" i="1" s="1"/>
  <c r="F74" i="7" s="1"/>
  <c r="F78" i="1"/>
  <c r="BT28" i="1"/>
  <c r="D24" i="7" s="1"/>
  <c r="CF24" i="7" s="1"/>
  <c r="CH24" i="7" s="1"/>
  <c r="D84" i="7"/>
  <c r="CF84" i="7" s="1"/>
  <c r="E51" i="7"/>
  <c r="CG51" i="7" s="1"/>
  <c r="E86" i="1"/>
  <c r="BU86" i="1" s="1"/>
  <c r="C86" i="1"/>
  <c r="E74" i="1"/>
  <c r="BU74" i="1" s="1"/>
  <c r="C74" i="1"/>
  <c r="E70" i="1"/>
  <c r="C70" i="1"/>
  <c r="E48" i="1"/>
  <c r="BU48" i="1" s="1"/>
  <c r="C48" i="1"/>
  <c r="E43" i="1"/>
  <c r="C43" i="1"/>
  <c r="BS43" i="1" s="1"/>
  <c r="C33" i="1"/>
  <c r="D76" i="7" l="1"/>
  <c r="CF76" i="7" s="1"/>
  <c r="CH76" i="7" s="1"/>
  <c r="D16" i="7"/>
  <c r="CF16" i="7" s="1"/>
  <c r="CH16" i="7" s="1"/>
  <c r="D15" i="7"/>
  <c r="CF15" i="7" s="1"/>
  <c r="D14" i="7"/>
  <c r="CF14" i="7" s="1"/>
  <c r="CH14" i="7" s="1"/>
  <c r="D80" i="7"/>
  <c r="CF80" i="7" s="1"/>
  <c r="D64" i="7"/>
  <c r="CF64" i="7" s="1"/>
  <c r="CH64" i="7" s="1"/>
  <c r="BU43" i="1"/>
  <c r="E31" i="1"/>
  <c r="D28" i="7"/>
  <c r="CF28" i="7" s="1"/>
  <c r="D35" i="7"/>
  <c r="CF35" i="7" s="1"/>
  <c r="CH35" i="7" s="1"/>
  <c r="D81" i="7"/>
  <c r="CF81" i="7" s="1"/>
  <c r="CH81" i="7" s="1"/>
  <c r="D67" i="7"/>
  <c r="CF67" i="7" s="1"/>
  <c r="CH67" i="7" s="1"/>
  <c r="D75" i="7"/>
  <c r="CF75" i="7" s="1"/>
  <c r="CH75" i="7" s="1"/>
  <c r="D43" i="7"/>
  <c r="CF43" i="7" s="1"/>
  <c r="CH43" i="7" s="1"/>
  <c r="D50" i="7"/>
  <c r="CF50" i="7" s="1"/>
  <c r="CH50" i="7" s="1"/>
  <c r="D74" i="7"/>
  <c r="CF74" i="7" s="1"/>
  <c r="CH74" i="7" s="1"/>
  <c r="D56" i="7"/>
  <c r="CF56" i="7" s="1"/>
  <c r="CH56" i="7" s="1"/>
  <c r="D30" i="7"/>
  <c r="CF30" i="7" s="1"/>
  <c r="CH30" i="7" s="1"/>
  <c r="D42" i="7"/>
  <c r="CF42" i="7" s="1"/>
  <c r="CH42" i="7" s="1"/>
  <c r="D13" i="7"/>
  <c r="CF13" i="7" s="1"/>
  <c r="CH13" i="7" s="1"/>
  <c r="D77" i="7"/>
  <c r="CF77" i="7" s="1"/>
  <c r="CH77" i="7" s="1"/>
  <c r="D59" i="7"/>
  <c r="CF59" i="7" s="1"/>
  <c r="CH59" i="7" s="1"/>
  <c r="D72" i="7"/>
  <c r="CF72" i="7" s="1"/>
  <c r="CH72" i="7" s="1"/>
  <c r="D57" i="7"/>
  <c r="CF57" i="7" s="1"/>
  <c r="CH57" i="7" s="1"/>
  <c r="D71" i="7"/>
  <c r="CF71" i="7" s="1"/>
  <c r="CH71" i="7" s="1"/>
  <c r="D31" i="7"/>
  <c r="CF31" i="7" s="1"/>
  <c r="CH31" i="7" s="1"/>
  <c r="D52" i="7"/>
  <c r="CF52" i="7" s="1"/>
  <c r="CH52" i="7" s="1"/>
  <c r="D65" i="7"/>
  <c r="CF65" i="7" s="1"/>
  <c r="CH65" i="7" s="1"/>
  <c r="D60" i="7"/>
  <c r="CF60" i="7" s="1"/>
  <c r="CH60" i="7" s="1"/>
  <c r="D46" i="7"/>
  <c r="CF46" i="7" s="1"/>
  <c r="CH46" i="7" s="1"/>
  <c r="D34" i="7"/>
  <c r="CF34" i="7" s="1"/>
  <c r="CH34" i="7" s="1"/>
  <c r="D68" i="7"/>
  <c r="CF68" i="7" s="1"/>
  <c r="CH68" i="7" s="1"/>
  <c r="D40" i="7"/>
  <c r="CF40" i="7" s="1"/>
  <c r="CH40" i="7" s="1"/>
  <c r="D58" i="7"/>
  <c r="CF58" i="7" s="1"/>
  <c r="CH58" i="7" s="1"/>
  <c r="D48" i="7"/>
  <c r="CF48" i="7" s="1"/>
  <c r="CH48" i="7" s="1"/>
  <c r="D37" i="7"/>
  <c r="CF37" i="7" s="1"/>
  <c r="D18" i="7"/>
  <c r="CF18" i="7" s="1"/>
  <c r="CH18" i="7" s="1"/>
  <c r="D12" i="7"/>
  <c r="CF12" i="7" s="1"/>
  <c r="CH12" i="7" s="1"/>
  <c r="D61" i="7"/>
  <c r="CF61" i="7" s="1"/>
  <c r="CH61" i="7" s="1"/>
  <c r="D17" i="7"/>
  <c r="CF17" i="7" s="1"/>
  <c r="CH17" i="7" s="1"/>
  <c r="D22" i="7"/>
  <c r="CF22" i="7" s="1"/>
  <c r="D62" i="7"/>
  <c r="CF62" i="7" s="1"/>
  <c r="CH62" i="7" s="1"/>
  <c r="D54" i="7"/>
  <c r="CF54" i="7" s="1"/>
  <c r="CH54" i="7" s="1"/>
  <c r="D32" i="7"/>
  <c r="CF32" i="7" s="1"/>
  <c r="CH32" i="7" s="1"/>
  <c r="D26" i="7"/>
  <c r="CF26" i="7" s="1"/>
  <c r="CH26" i="7" s="1"/>
  <c r="D53" i="7"/>
  <c r="CF53" i="7" s="1"/>
  <c r="CH53" i="7" s="1"/>
  <c r="BV28" i="1"/>
  <c r="F24" i="7" s="1"/>
  <c r="D69" i="7"/>
  <c r="CF69" i="7" s="1"/>
  <c r="CH69" i="7" s="1"/>
  <c r="D41" i="7"/>
  <c r="CF41" i="7" s="1"/>
  <c r="CH41" i="7" s="1"/>
  <c r="D73" i="7"/>
  <c r="CF73" i="7" s="1"/>
  <c r="CH73" i="7" s="1"/>
  <c r="D63" i="7"/>
  <c r="CF63" i="7" s="1"/>
  <c r="CH63" i="7" s="1"/>
  <c r="D55" i="7"/>
  <c r="CF55" i="7" s="1"/>
  <c r="CH55" i="7" s="1"/>
  <c r="D45" i="7"/>
  <c r="CF45" i="7" s="1"/>
  <c r="CH45" i="7" s="1"/>
  <c r="D33" i="7"/>
  <c r="CF33" i="7" s="1"/>
  <c r="CH33" i="7" s="1"/>
  <c r="D11" i="7"/>
  <c r="CF11" i="7" s="1"/>
  <c r="CH11" i="7" s="1"/>
  <c r="D47" i="7"/>
  <c r="CF47" i="7" s="1"/>
  <c r="CH47" i="7" s="1"/>
  <c r="D25" i="7"/>
  <c r="CF25" i="7" s="1"/>
  <c r="CH25" i="7" s="1"/>
  <c r="E39" i="7"/>
  <c r="CG39" i="7" s="1"/>
  <c r="E53" i="1"/>
  <c r="BU53" i="1" s="1"/>
  <c r="BU70" i="1"/>
  <c r="BU33" i="1"/>
  <c r="E44" i="7"/>
  <c r="CG44" i="7" s="1"/>
  <c r="E70" i="7"/>
  <c r="CG70" i="7" s="1"/>
  <c r="D43" i="1"/>
  <c r="C39" i="7"/>
  <c r="CE39" i="7" s="1"/>
  <c r="E82" i="7"/>
  <c r="CG82" i="7" s="1"/>
  <c r="D70" i="1"/>
  <c r="BS70" i="1"/>
  <c r="C66" i="7" s="1"/>
  <c r="CE66" i="7" s="1"/>
  <c r="D86" i="1"/>
  <c r="BS86" i="1"/>
  <c r="C82" i="7" s="1"/>
  <c r="CE82" i="7" s="1"/>
  <c r="D33" i="1"/>
  <c r="BS33" i="1"/>
  <c r="C29" i="7" s="1"/>
  <c r="CE29" i="7" s="1"/>
  <c r="D48" i="1"/>
  <c r="BS48" i="1"/>
  <c r="C44" i="7" s="1"/>
  <c r="CE44" i="7" s="1"/>
  <c r="D74" i="1"/>
  <c r="BS74" i="1"/>
  <c r="C70" i="7" s="1"/>
  <c r="CE70" i="7" s="1"/>
  <c r="D55" i="1"/>
  <c r="C53" i="1"/>
  <c r="C31" i="1"/>
  <c r="BT86" i="1" l="1"/>
  <c r="F86" i="1"/>
  <c r="BT43" i="1"/>
  <c r="F43" i="1"/>
  <c r="BT74" i="1"/>
  <c r="F74" i="1"/>
  <c r="BT33" i="1"/>
  <c r="D29" i="7" s="1"/>
  <c r="CF29" i="7" s="1"/>
  <c r="F33" i="1"/>
  <c r="BT70" i="1"/>
  <c r="F70" i="1"/>
  <c r="BT55" i="1"/>
  <c r="BV55" i="1" s="1"/>
  <c r="F51" i="7" s="1"/>
  <c r="F55" i="1"/>
  <c r="BT48" i="1"/>
  <c r="F48" i="1"/>
  <c r="BU31" i="1"/>
  <c r="E25" i="1"/>
  <c r="E66" i="7"/>
  <c r="CG66" i="7" s="1"/>
  <c r="E49" i="7"/>
  <c r="CG49" i="7" s="1"/>
  <c r="E29" i="7"/>
  <c r="CG29" i="7" s="1"/>
  <c r="D53" i="1"/>
  <c r="BS53" i="1"/>
  <c r="C49" i="7" s="1"/>
  <c r="CE49" i="7" s="1"/>
  <c r="C25" i="1"/>
  <c r="BS25" i="1" s="1"/>
  <c r="C21" i="7" s="1"/>
  <c r="CE21" i="7" s="1"/>
  <c r="BS31" i="1"/>
  <c r="C27" i="7" s="1"/>
  <c r="CE27" i="7" s="1"/>
  <c r="D31" i="1"/>
  <c r="F31" i="1" s="1"/>
  <c r="D82" i="7" l="1"/>
  <c r="CF82" i="7" s="1"/>
  <c r="CH82" i="7" s="1"/>
  <c r="BV86" i="1"/>
  <c r="F82" i="7" s="1"/>
  <c r="BV33" i="1"/>
  <c r="F29" i="7" s="1"/>
  <c r="CH29" i="7"/>
  <c r="D51" i="7"/>
  <c r="CF51" i="7" s="1"/>
  <c r="CH51" i="7" s="1"/>
  <c r="BT53" i="1"/>
  <c r="F53" i="1"/>
  <c r="D44" i="7"/>
  <c r="CF44" i="7" s="1"/>
  <c r="CH44" i="7" s="1"/>
  <c r="BV48" i="1"/>
  <c r="F44" i="7" s="1"/>
  <c r="D66" i="7"/>
  <c r="CF66" i="7" s="1"/>
  <c r="CH66" i="7" s="1"/>
  <c r="BV70" i="1"/>
  <c r="F66" i="7" s="1"/>
  <c r="D70" i="7"/>
  <c r="CF70" i="7" s="1"/>
  <c r="CH70" i="7" s="1"/>
  <c r="BV74" i="1"/>
  <c r="F70" i="7" s="1"/>
  <c r="D39" i="7"/>
  <c r="CF39" i="7" s="1"/>
  <c r="CH39" i="7" s="1"/>
  <c r="BV43" i="1"/>
  <c r="F39" i="7" s="1"/>
  <c r="BU25" i="1"/>
  <c r="E27" i="7"/>
  <c r="CG27" i="7" s="1"/>
  <c r="BT31" i="1"/>
  <c r="D27" i="7" s="1"/>
  <c r="CF27" i="7" s="1"/>
  <c r="D25" i="1"/>
  <c r="F25" i="1" s="1"/>
  <c r="E83" i="1"/>
  <c r="C83" i="1"/>
  <c r="BS83" i="1" s="1"/>
  <c r="C79" i="7" s="1"/>
  <c r="CE79" i="7" s="1"/>
  <c r="BV31" i="1" l="1"/>
  <c r="F27" i="7" s="1"/>
  <c r="D49" i="7"/>
  <c r="CF49" i="7" s="1"/>
  <c r="CH49" i="7" s="1"/>
  <c r="BV53" i="1"/>
  <c r="F49" i="7" s="1"/>
  <c r="E21" i="7"/>
  <c r="CG21" i="7" s="1"/>
  <c r="CH27" i="7"/>
  <c r="E87" i="1"/>
  <c r="BU83" i="1"/>
  <c r="D83" i="1"/>
  <c r="F83" i="1" s="1"/>
  <c r="BT25" i="1"/>
  <c r="BV25" i="1" s="1"/>
  <c r="C87" i="1"/>
  <c r="E12" i="1"/>
  <c r="BU12" i="1" s="1"/>
  <c r="E79" i="7" l="1"/>
  <c r="CG79" i="7" s="1"/>
  <c r="BU87" i="1"/>
  <c r="BS87" i="1"/>
  <c r="C83" i="7" s="1"/>
  <c r="CE83" i="7" s="1"/>
  <c r="E8" i="7"/>
  <c r="D21" i="7"/>
  <c r="CF21" i="7" s="1"/>
  <c r="F21" i="7"/>
  <c r="D87" i="1"/>
  <c r="BT87" i="1" s="1"/>
  <c r="BT83" i="1"/>
  <c r="BV83" i="1" s="1"/>
  <c r="E23" i="1"/>
  <c r="F87" i="1" l="1"/>
  <c r="BV87" i="1"/>
  <c r="F83" i="7" s="1"/>
  <c r="E83" i="7"/>
  <c r="CG83" i="7" s="1"/>
  <c r="E86" i="7"/>
  <c r="D79" i="7"/>
  <c r="CF79" i="7" s="1"/>
  <c r="CH79" i="7" s="1"/>
  <c r="F79" i="7"/>
  <c r="D83" i="7"/>
  <c r="CF83" i="7" s="1"/>
  <c r="E89" i="1"/>
  <c r="BU23" i="1"/>
  <c r="CH21" i="7"/>
  <c r="BU89" i="1" l="1"/>
  <c r="CH83" i="7"/>
  <c r="E19" i="7"/>
  <c r="CG19" i="7" s="1"/>
  <c r="BA12" i="6"/>
  <c r="AZ12" i="6"/>
  <c r="AY12" i="6"/>
  <c r="AY10" i="6"/>
  <c r="M12" i="6"/>
  <c r="L12" i="6"/>
  <c r="BH8" i="7" s="1"/>
  <c r="BH86" i="7" s="1"/>
  <c r="K12" i="6"/>
  <c r="BG8" i="7" s="1"/>
  <c r="BG86" i="7" s="1"/>
  <c r="Y12" i="5"/>
  <c r="X12" i="5"/>
  <c r="AN8" i="7" s="1"/>
  <c r="AN86" i="7" s="1"/>
  <c r="W12" i="5"/>
  <c r="AM8" i="7" s="1"/>
  <c r="AM86" i="7" s="1"/>
  <c r="M12" i="5"/>
  <c r="L12" i="5"/>
  <c r="AJ8" i="7" s="1"/>
  <c r="AJ86" i="7" s="1"/>
  <c r="K12" i="5"/>
  <c r="AI8" i="7" s="1"/>
  <c r="AI86" i="7" s="1"/>
  <c r="AU6" i="7"/>
  <c r="AC8" i="7"/>
  <c r="AB8" i="7"/>
  <c r="AB86" i="7" s="1"/>
  <c r="V24" i="7"/>
  <c r="V22" i="7"/>
  <c r="V21" i="7"/>
  <c r="V20" i="7"/>
  <c r="V19" i="7"/>
  <c r="V18" i="7"/>
  <c r="V17" i="7"/>
  <c r="V16" i="7"/>
  <c r="V15" i="7"/>
  <c r="V14" i="7"/>
  <c r="V13" i="7"/>
  <c r="V12" i="7"/>
  <c r="V11" i="7"/>
  <c r="V10" i="7"/>
  <c r="V9" i="7"/>
  <c r="V8" i="7"/>
  <c r="L12" i="3"/>
  <c r="K12" i="3"/>
  <c r="K8" i="7" s="1"/>
  <c r="K86" i="7" s="1"/>
  <c r="BO10" i="4"/>
  <c r="BQ12" i="4"/>
  <c r="BP12" i="4"/>
  <c r="AF8" i="7" s="1"/>
  <c r="AF86" i="7" s="1"/>
  <c r="BO12" i="4"/>
  <c r="AE8" i="7" s="1"/>
  <c r="AE86" i="7" s="1"/>
  <c r="BB12" i="6" l="1"/>
  <c r="N12" i="3"/>
  <c r="N8" i="7" s="1"/>
  <c r="N86" i="7" s="1"/>
  <c r="BP12" i="3"/>
  <c r="BR12" i="3" s="1"/>
  <c r="BI8" i="7"/>
  <c r="BI86" i="7" s="1"/>
  <c r="N12" i="6"/>
  <c r="BJ8" i="7" s="1"/>
  <c r="BJ86" i="7" s="1"/>
  <c r="AO8" i="7"/>
  <c r="AO86" i="7" s="1"/>
  <c r="Z12" i="5"/>
  <c r="AP8" i="7" s="1"/>
  <c r="AP86" i="7" s="1"/>
  <c r="AK8" i="7"/>
  <c r="AK86" i="7" s="1"/>
  <c r="N12" i="5"/>
  <c r="AL8" i="7" s="1"/>
  <c r="AL86" i="7" s="1"/>
  <c r="AG8" i="7"/>
  <c r="AG86" i="7" s="1"/>
  <c r="BR12" i="4"/>
  <c r="AH8" i="7" s="1"/>
  <c r="AH86" i="7" s="1"/>
  <c r="E85" i="7"/>
  <c r="CG85" i="7" s="1"/>
  <c r="L8" i="7"/>
  <c r="L86" i="7" s="1"/>
  <c r="V86" i="7"/>
  <c r="AC86" i="7"/>
  <c r="AD8" i="7"/>
  <c r="AD86" i="7" s="1"/>
  <c r="AQ12" i="6"/>
  <c r="AS12" i="6"/>
  <c r="BK12" i="5"/>
  <c r="BL12" i="5"/>
  <c r="BM12" i="5"/>
  <c r="AR12" i="6"/>
  <c r="AT12" i="6" l="1"/>
  <c r="BN12" i="5"/>
  <c r="CG8" i="7"/>
  <c r="CG88" i="7" s="1"/>
  <c r="CG86" i="7" l="1"/>
  <c r="D14" i="1"/>
  <c r="C12" i="1"/>
  <c r="BT14" i="1" l="1"/>
  <c r="BV14" i="1" s="1"/>
  <c r="F10" i="7" s="1"/>
  <c r="F14" i="1"/>
  <c r="C23" i="1"/>
  <c r="BS23" i="1" s="1"/>
  <c r="C19" i="7" s="1"/>
  <c r="CE19" i="7" s="1"/>
  <c r="BS12" i="1"/>
  <c r="C8" i="7" s="1"/>
  <c r="C86" i="7" s="1"/>
  <c r="C89" i="1"/>
  <c r="BS89" i="1" s="1"/>
  <c r="C85" i="7" s="1"/>
  <c r="CE85" i="7" s="1"/>
  <c r="D23" i="1"/>
  <c r="D12" i="1"/>
  <c r="BT12" i="1" l="1"/>
  <c r="BV12" i="1" s="1"/>
  <c r="F8" i="7" s="1"/>
  <c r="F12" i="1"/>
  <c r="D10" i="7"/>
  <c r="CF10" i="7" s="1"/>
  <c r="CH10" i="7" s="1"/>
  <c r="BT23" i="1"/>
  <c r="BV23" i="1" s="1"/>
  <c r="F19" i="7" s="1"/>
  <c r="F23" i="1"/>
  <c r="D89" i="1"/>
  <c r="F89" i="1" s="1"/>
  <c r="D8" i="7" l="1"/>
  <c r="CF8" i="7" s="1"/>
  <c r="CF88" i="7" s="1"/>
  <c r="D19" i="7"/>
  <c r="CF19" i="7" s="1"/>
  <c r="CH19" i="7" s="1"/>
  <c r="BT89" i="1"/>
  <c r="BV89" i="1" s="1"/>
  <c r="D13" i="1"/>
  <c r="F13" i="1" s="1"/>
  <c r="CE8" i="7"/>
  <c r="CE88" i="7" s="1"/>
  <c r="D86" i="7" l="1"/>
  <c r="BT13" i="1"/>
  <c r="BV13" i="1" s="1"/>
  <c r="CF86" i="7"/>
  <c r="CH8" i="7"/>
  <c r="CE86" i="7"/>
  <c r="D85" i="7"/>
  <c r="CF85" i="7" s="1"/>
  <c r="F85" i="7"/>
  <c r="F9" i="7" l="1"/>
  <c r="D9" i="7"/>
  <c r="CF9" i="7" s="1"/>
  <c r="CH85" i="7"/>
  <c r="D24" i="1"/>
  <c r="F24" i="1" s="1"/>
  <c r="BT24" i="1" l="1"/>
  <c r="BV24" i="1" s="1"/>
  <c r="D20" i="7" l="1"/>
  <c r="CF20" i="7" s="1"/>
  <c r="F20" i="7"/>
</calcChain>
</file>

<file path=xl/comments1.xml><?xml version="1.0" encoding="utf-8"?>
<comments xmlns="http://schemas.openxmlformats.org/spreadsheetml/2006/main">
  <authors>
    <author>Радецкая Елена Юрьевна</author>
  </authors>
  <commentList>
    <comment ref="AY6" authorId="0">
      <text>
        <r>
          <rPr>
            <b/>
            <sz val="9"/>
            <color indexed="81"/>
            <rFont val="Tahoma"/>
            <family val="2"/>
            <charset val="204"/>
          </rPr>
          <t>Радецкая Елена Юрьевна:</t>
        </r>
        <r>
          <rPr>
            <sz val="9"/>
            <color indexed="81"/>
            <rFont val="Tahoma"/>
            <family val="2"/>
            <charset val="204"/>
          </rPr>
          <t xml:space="preserve">
не юр.лицо</t>
        </r>
      </text>
    </comment>
  </commentList>
</comments>
</file>

<file path=xl/comments2.xml><?xml version="1.0" encoding="utf-8"?>
<comments xmlns="http://schemas.openxmlformats.org/spreadsheetml/2006/main">
  <authors>
    <author>Москвич Наталья Владимировна</author>
  </authors>
  <commentList>
    <comment ref="BA39" authorId="0">
      <text>
        <r>
          <rPr>
            <b/>
            <sz val="10"/>
            <color indexed="81"/>
            <rFont val="Tahoma"/>
            <family val="2"/>
            <charset val="204"/>
          </rPr>
          <t>Москвич Наталья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Солнечная ЦРБ разница</t>
        </r>
      </text>
    </comment>
  </commentList>
</comments>
</file>

<file path=xl/sharedStrings.xml><?xml version="1.0" encoding="utf-8"?>
<sst xmlns="http://schemas.openxmlformats.org/spreadsheetml/2006/main" count="2052" uniqueCount="393">
  <si>
    <t>Наименование показателя</t>
  </si>
  <si>
    <t>Единица измерения</t>
  </si>
  <si>
    <t>Объем оказанной медицинской помощи</t>
  </si>
  <si>
    <t>посещений</t>
  </si>
  <si>
    <t>ККБ 1</t>
  </si>
  <si>
    <t>ККБ 2</t>
  </si>
  <si>
    <t>ДККБ Пиотровича</t>
  </si>
  <si>
    <t>РАМН</t>
  </si>
  <si>
    <t>ФЦССХ</t>
  </si>
  <si>
    <t>УССУРИ</t>
  </si>
  <si>
    <t>КЦВМиР</t>
  </si>
  <si>
    <t>Вивея</t>
  </si>
  <si>
    <t>ККЦО</t>
  </si>
  <si>
    <t>ИПКСЗ</t>
  </si>
  <si>
    <t>СП Регион</t>
  </si>
  <si>
    <t>НКЦ ЛОР</t>
  </si>
  <si>
    <t>ПЦ</t>
  </si>
  <si>
    <t>МНТК</t>
  </si>
  <si>
    <t>Итого КЛПУ</t>
  </si>
  <si>
    <t>ГБ 2</t>
  </si>
  <si>
    <t>ГКБ 11</t>
  </si>
  <si>
    <t>ГКП 3</t>
  </si>
  <si>
    <t>ГП 5</t>
  </si>
  <si>
    <t>КДЦ Хабаровск</t>
  </si>
  <si>
    <t>ГП 7</t>
  </si>
  <si>
    <t>ГП 8</t>
  </si>
  <si>
    <t>ГП 11</t>
  </si>
  <si>
    <t>ГП 15</t>
  </si>
  <si>
    <t>ГП 16</t>
  </si>
  <si>
    <t>ДГП 1</t>
  </si>
  <si>
    <t>ДГКП 3</t>
  </si>
  <si>
    <t>ДГП 17</t>
  </si>
  <si>
    <t>ДГП 24</t>
  </si>
  <si>
    <t>СП 18</t>
  </si>
  <si>
    <t>СП 19</t>
  </si>
  <si>
    <t>СП 20</t>
  </si>
  <si>
    <t>СП 25</t>
  </si>
  <si>
    <t>ДСП 22</t>
  </si>
  <si>
    <t>РД 1</t>
  </si>
  <si>
    <t>РД 2</t>
  </si>
  <si>
    <t>РД 4</t>
  </si>
  <si>
    <t>Профи</t>
  </si>
  <si>
    <t>Щеглова</t>
  </si>
  <si>
    <t>ДС Амурский</t>
  </si>
  <si>
    <t>Истомина</t>
  </si>
  <si>
    <t>ДГБ 9</t>
  </si>
  <si>
    <t>ССМП Хабаровск</t>
  </si>
  <si>
    <t>Здравица</t>
  </si>
  <si>
    <t>Итого г.Хабаровск</t>
  </si>
  <si>
    <t>ГБ 3</t>
  </si>
  <si>
    <t>ГБ 4</t>
  </si>
  <si>
    <t>ГБ 7</t>
  </si>
  <si>
    <t>ТКДЦ</t>
  </si>
  <si>
    <t>РД 3</t>
  </si>
  <si>
    <t>ГОД</t>
  </si>
  <si>
    <t>ИБ</t>
  </si>
  <si>
    <t>ДСП 1</t>
  </si>
  <si>
    <t>СП 1</t>
  </si>
  <si>
    <t>СП 2</t>
  </si>
  <si>
    <t>ДГБ</t>
  </si>
  <si>
    <t>ГП 9</t>
  </si>
  <si>
    <t>ССМП Комсомольск</t>
  </si>
  <si>
    <t>Итого г.Комсомольск-на-Амуре</t>
  </si>
  <si>
    <t>Бикин ЦРБ</t>
  </si>
  <si>
    <t>УП Бикин</t>
  </si>
  <si>
    <t>Бикинский район</t>
  </si>
  <si>
    <t>Вяземск ЦРБ</t>
  </si>
  <si>
    <t>Амбулатория Вяземск</t>
  </si>
  <si>
    <t>Вяземский район</t>
  </si>
  <si>
    <t>Хор РБ</t>
  </si>
  <si>
    <t>Мухен РБ</t>
  </si>
  <si>
    <t>район им.Лазо</t>
  </si>
  <si>
    <t>Троицкая ЦРБ</t>
  </si>
  <si>
    <t>Князе-Волконская РБ</t>
  </si>
  <si>
    <t>Хабаровский район</t>
  </si>
  <si>
    <t>Хабаровские районы</t>
  </si>
  <si>
    <t>Амурская СП</t>
  </si>
  <si>
    <t>Амурский район</t>
  </si>
  <si>
    <t>Ванинская ЦРБ</t>
  </si>
  <si>
    <t>Ванино ДВОМЦ</t>
  </si>
  <si>
    <t>Ванинский район</t>
  </si>
  <si>
    <t>Советско-Гаванская РБ</t>
  </si>
  <si>
    <t>Сазонова</t>
  </si>
  <si>
    <t>Совгаванский район</t>
  </si>
  <si>
    <t>Комсомольская ЦРБ</t>
  </si>
  <si>
    <t>Солнечная ЦРБ</t>
  </si>
  <si>
    <t>Березовская РБ</t>
  </si>
  <si>
    <t>Солнечный район</t>
  </si>
  <si>
    <t>ЦРБ р-на им.П.Осипенко</t>
  </si>
  <si>
    <t>районы КП, СП</t>
  </si>
  <si>
    <t>Николаевская ЦРБ</t>
  </si>
  <si>
    <t>Николаевская ДВОМЦ</t>
  </si>
  <si>
    <t>Николаевский район</t>
  </si>
  <si>
    <t>Богородская РБ</t>
  </si>
  <si>
    <t>Де-Кастри</t>
  </si>
  <si>
    <t>Ульчский район</t>
  </si>
  <si>
    <t>Аян</t>
  </si>
  <si>
    <t>Тугуро-Чумиканская ЦРБ</t>
  </si>
  <si>
    <t>Охотская ЦРБ</t>
  </si>
  <si>
    <t>Николаевское представительство</t>
  </si>
  <si>
    <t>Верхнебуреинская ЦРБ</t>
  </si>
  <si>
    <t>ЧП</t>
  </si>
  <si>
    <t>КЛПУ</t>
  </si>
  <si>
    <t>г.Хабаровск</t>
  </si>
  <si>
    <t>Нанайский район</t>
  </si>
  <si>
    <t>г.Комсомольск-на-Амуре</t>
  </si>
  <si>
    <t>Комсомольский район</t>
  </si>
  <si>
    <t>Советско-Гаванский район</t>
  </si>
  <si>
    <t>район им.П.Осипенко</t>
  </si>
  <si>
    <t>Аяно-Майский район</t>
  </si>
  <si>
    <t>Тугуро-Чумиканский район</t>
  </si>
  <si>
    <t>Охотский район</t>
  </si>
  <si>
    <t>Верхнебуреинский район</t>
  </si>
  <si>
    <t>Нумерация по списку</t>
  </si>
  <si>
    <t>Код МО</t>
  </si>
  <si>
    <t>НКЦ отоларингологии</t>
  </si>
  <si>
    <t>Наименование МО</t>
  </si>
  <si>
    <t>ГБ 2 Матвеева</t>
  </si>
  <si>
    <t>Итого Хабаровские районы</t>
  </si>
  <si>
    <t>Итого КП и СП</t>
  </si>
  <si>
    <t>Березовская УБ</t>
  </si>
  <si>
    <t>Итого НП</t>
  </si>
  <si>
    <t>Итого ЧП</t>
  </si>
  <si>
    <t xml:space="preserve"> </t>
  </si>
  <si>
    <t>АПП по подушевому нормативу финансирования</t>
  </si>
  <si>
    <t>1. Посещения с профилактической целью</t>
  </si>
  <si>
    <t>в том числе:</t>
  </si>
  <si>
    <t>1.1. Посещение в Центре здоровья, всего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</si>
  <si>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</si>
  <si>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</si>
  <si>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</si>
  <si>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2. Обращения по поводу заболевания</t>
  </si>
  <si>
    <t>из них:</t>
  </si>
  <si>
    <t>Стоматология (УЕТ)</t>
  </si>
  <si>
    <t>3. Посещения в связи с оказанием неотложной помощи</t>
  </si>
  <si>
    <t>в т.ч. в травмпункте</t>
  </si>
  <si>
    <t>Всего  посещений (по подушевому нормативу)</t>
  </si>
  <si>
    <t>АПП по самостоятельным тарифам</t>
  </si>
  <si>
    <t>1.1. Посещения выполненные мобильными выездными бригадами (выезды в районы крайнего севера)</t>
  </si>
  <si>
    <t>1.2. Посещения выполненные ПКДЦ "Терапевт Матвей Мудров"</t>
  </si>
  <si>
    <t>1.3. Посещения выполненные "Теплоходом здоровья"</t>
  </si>
  <si>
    <t>1.4. Посещения в связи с диспансеризацией определенных групп населения - всего</t>
  </si>
  <si>
    <t>*диспансеризация взрослого населения I этап (законченный случай)</t>
  </si>
  <si>
    <t>диспансеризация мужчины 21-38 лет</t>
  </si>
  <si>
    <t>диспансеризация женщины 21-38 лет</t>
  </si>
  <si>
    <t>диспансеризация мужчины 39-44 лет</t>
  </si>
  <si>
    <t>диспансеризация женщины 39-44 лет</t>
  </si>
  <si>
    <t>диспансеризация мужчины 45 лет и старше</t>
  </si>
  <si>
    <t>**диспансеризация детей-сирот, находящихся в стационарных учреждениях (законченный случай)</t>
  </si>
  <si>
    <t>диспансеризация детей 0-2 лет</t>
  </si>
  <si>
    <t>диспансеризация детей 3-4 лет</t>
  </si>
  <si>
    <t>диспансеризация детей 5-14 лет</t>
  </si>
  <si>
    <t>диспансеризация детей 15-17 лет</t>
  </si>
  <si>
    <t>***диспансеризация детей-сирот, находящихся в семьях (законченный случай)</t>
  </si>
  <si>
    <t>1.5. Посещение в связи с профилактическими медицинскими осмотрами</t>
  </si>
  <si>
    <t>Профилактический медицинский осмотр лиц старше 18 лет</t>
  </si>
  <si>
    <t>Профилактичекие медицинские осмотры детей, всего</t>
  </si>
  <si>
    <t>Профилактический медицинский детей 1 месяца</t>
  </si>
  <si>
    <t>Профилактический медицинский осмотр детей новорожденных, 2, 4, 5, 7, 8, 9, 10, 11 месяцев, 1 г. 3 мес., 1 г. 6 мес., 1 г. 9 мес., 2 г. 6 мес., 8, 9, 13 лет</t>
  </si>
  <si>
    <t>Профилактический медицинский осмотр детей 12 месяцев</t>
  </si>
  <si>
    <t>Профилактический медицинский осмотр детей 2 лет</t>
  </si>
  <si>
    <t>Профилактический медицинский осмотр детей 3 лет</t>
  </si>
  <si>
    <t>Профилактический медицинский осмотр детей 4 лет, 5 лет</t>
  </si>
  <si>
    <t>Профилактический медицинский осмотр детей 6 лет</t>
  </si>
  <si>
    <t>Профилактический медицинский осмотр детей 7 лет</t>
  </si>
  <si>
    <t>Профилактический медицинский осмотр детей 10 лет</t>
  </si>
  <si>
    <t>Профилактический медицинский осмотр детей 11 лет</t>
  </si>
  <si>
    <t>Профилактический медицинский осмотр детей 12 лет</t>
  </si>
  <si>
    <t>Профилактический медицинский осмотр детей 14 лет</t>
  </si>
  <si>
    <t>Профилактический медицинский осмотр детей 15, 16, 17 лет</t>
  </si>
  <si>
    <t>Предварительные медицинские осмотры (при поступлении в ОУ)</t>
  </si>
  <si>
    <t>при поступлении в дошкольное образовательное учреждение</t>
  </si>
  <si>
    <t>при поступлении в общеобразовательное (начального общего, среднего (полного) общего образования) образовательное учреждение</t>
  </si>
  <si>
    <t xml:space="preserve">при поступлении в образовательные учреждения начального профессионального, среднего профессионального, высшего профессионального образования, специальные образовательные учреждения, образовательные учреждения для детей-сирот </t>
  </si>
  <si>
    <t>Периодические медицинские осмотры (ежегодно)</t>
  </si>
  <si>
    <t>при обучении в дошкольном образовательном учреждении</t>
  </si>
  <si>
    <t>при обучении в общеобразовательном (начального общего, среднего (полного) общего образования) образовательном учреждении</t>
  </si>
  <si>
    <t xml:space="preserve">при обучении в образовательном учреждении начального профессионального, среднего профессионального, высшего профессионального образования, специальных образовательных учреждениях, образовательных учреждениях для детей-сирот </t>
  </si>
  <si>
    <t>1.6. Посещения с иными целями</t>
  </si>
  <si>
    <t>Всего посещений (по самостоятельным тарифам)</t>
  </si>
  <si>
    <t xml:space="preserve">Всего посещений </t>
  </si>
  <si>
    <t>План 2015</t>
  </si>
  <si>
    <t>Факт</t>
  </si>
  <si>
    <t>%</t>
  </si>
  <si>
    <t>Стоматология</t>
  </si>
  <si>
    <t>Итого стоматология (посещения)</t>
  </si>
  <si>
    <t>1 Посещения по поводу заболевания (УЕТ)</t>
  </si>
  <si>
    <t>Всего посещений:</t>
  </si>
  <si>
    <t xml:space="preserve"> КГКУЗ "Центр по профилактике и борьбе со СПИД и инфекционными заболеваниями" МЗХК</t>
  </si>
  <si>
    <t>ЦЕНТР СПИД</t>
  </si>
  <si>
    <t xml:space="preserve">  ФГКУ "301 Военный клинический госпиталь" Минобороны РФ</t>
  </si>
  <si>
    <t>Браун</t>
  </si>
  <si>
    <t xml:space="preserve"> Компания "Б.Браун Авитум Руссланд"</t>
  </si>
  <si>
    <t>Профилактический медицинский осмотр детей 3 месяцев,6 месцев</t>
  </si>
  <si>
    <t xml:space="preserve"> ООО "НУЗ "Медицинский центр" </t>
  </si>
  <si>
    <t>ДКБ</t>
  </si>
  <si>
    <t xml:space="preserve"> ООО "ЮНИЛАБ-ХАБАРОВСК" </t>
  </si>
  <si>
    <t xml:space="preserve"> "ЮНИЛАБ-ХАБАРОВСК" ООО</t>
  </si>
  <si>
    <t>Профилактический медицинский осмотр детей 3 месяцев,6 месяцев</t>
  </si>
  <si>
    <t>1. Посещения в Центре здоровья</t>
  </si>
  <si>
    <t xml:space="preserve">в т.ч. в травмпункте </t>
  </si>
  <si>
    <t>Выездные реанимационные бригады (выезды)</t>
  </si>
  <si>
    <t>КГБУЗ "Вяземская районная больница" МЗХК</t>
  </si>
  <si>
    <t>КГБУЗ "ЦРБ района имени Лазо" МЗХК</t>
  </si>
  <si>
    <t>Профилактические медицинские осмотры детей, всего</t>
  </si>
  <si>
    <t>РБ им. Лазо</t>
  </si>
  <si>
    <t>КГБУЗ "Солнечная районная больница" МЗХК</t>
  </si>
  <si>
    <t>Проверка</t>
  </si>
  <si>
    <t xml:space="preserve">КГБУЗ "Ульчская районная больница" </t>
  </si>
  <si>
    <t>0301003</t>
  </si>
  <si>
    <t>0352007</t>
  </si>
  <si>
    <t>0352001</t>
  </si>
  <si>
    <t>0310001</t>
  </si>
  <si>
    <t>0252001</t>
  </si>
  <si>
    <t>0352006</t>
  </si>
  <si>
    <t>0352005</t>
  </si>
  <si>
    <t>0152001</t>
  </si>
  <si>
    <t>0301001</t>
  </si>
  <si>
    <t>0351001</t>
  </si>
  <si>
    <t>0307003</t>
  </si>
  <si>
    <t>0307002</t>
  </si>
  <si>
    <t>0252002</t>
  </si>
  <si>
    <t>0353001</t>
  </si>
  <si>
    <t>0352002</t>
  </si>
  <si>
    <t>2301165</t>
  </si>
  <si>
    <t>2141002</t>
  </si>
  <si>
    <t>2141010</t>
  </si>
  <si>
    <t>2144011</t>
  </si>
  <si>
    <t>2101003</t>
  </si>
  <si>
    <t>2141005</t>
  </si>
  <si>
    <t>2101006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</si>
  <si>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</si>
  <si>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</si>
  <si>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</si>
  <si>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</si>
  <si>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</si>
  <si>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</si>
  <si>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</si>
  <si>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</si>
  <si>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</si>
  <si>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2107018</t>
  </si>
  <si>
    <t>2107019</t>
  </si>
  <si>
    <t>2107020</t>
  </si>
  <si>
    <t>2107802</t>
  </si>
  <si>
    <t>2207022</t>
  </si>
  <si>
    <t>2148001</t>
  </si>
  <si>
    <t>2148002</t>
  </si>
  <si>
    <t>2148004</t>
  </si>
  <si>
    <t>2304002</t>
  </si>
  <si>
    <t>2304005</t>
  </si>
  <si>
    <t>6341001</t>
  </si>
  <si>
    <t>2138126</t>
  </si>
  <si>
    <t>2223001</t>
  </si>
  <si>
    <t>2241001</t>
  </si>
  <si>
    <t>2241009</t>
  </si>
  <si>
    <t>2310001</t>
  </si>
  <si>
    <t>2101001</t>
  </si>
  <si>
    <t>4147001</t>
  </si>
  <si>
    <t>8156001</t>
  </si>
  <si>
    <t>2101017</t>
  </si>
  <si>
    <t>1343001</t>
  </si>
  <si>
    <t>4350003</t>
  </si>
  <si>
    <t>0306001</t>
  </si>
  <si>
    <t>Справочно сняты объемы мед.помощи (дипспансеризация и профосмотры)</t>
  </si>
  <si>
    <t>6349008</t>
  </si>
  <si>
    <t>Выполнение планового задания по амбулаторно-поликлинической медицинской помощи в рамках Территориальной программы</t>
  </si>
  <si>
    <t>НУЗ "Отделенческая поликлиника на ст. Хабаровск-1 ОАО "РЖД"</t>
  </si>
  <si>
    <t>ГБОУ ВПО "ДВГМУ" МЗ РФ</t>
  </si>
  <si>
    <t>Хабаровская больница ФГБУЗ "Дальневосточный окружной медицинский центр ФМБА"</t>
  </si>
  <si>
    <t>ФКУЗ "Медико-санитарная часть МВД РФ по Хабаровскому краю"</t>
  </si>
  <si>
    <t>НУЗ "Дорожная клиническая больница на ст.Хабаровск-1 ОАО "Российские железные дороги"</t>
  </si>
  <si>
    <t>КГБУЗ "Городская клиническая больница № 10" МЗХК</t>
  </si>
  <si>
    <t>КГБУЗ "Городская клиническая поликлиника № 3" МЗХК</t>
  </si>
  <si>
    <t>КГБУЗ "Городская поликлиника № 5" МЗХК</t>
  </si>
  <si>
    <t>КГБУЗ "Городская поликлиника № 7" МЗХК</t>
  </si>
  <si>
    <t>КГБУЗ "Клинико-диагностический центр"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</si>
  <si>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</si>
  <si>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</si>
  <si>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</si>
  <si>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</si>
  <si>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</si>
  <si>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</si>
  <si>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</si>
  <si>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</si>
  <si>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 xml:space="preserve">КГБУЗ "Городская поликлиника № 9" МЗХК </t>
  </si>
  <si>
    <t xml:space="preserve"> НУЗ "Отделенческая больница на ст. Комсомольск-на-Амуре ОАО "РЖД"</t>
  </si>
  <si>
    <t>ФКУЗ "Медико-санитарная часть № 99</t>
  </si>
  <si>
    <t>КГБУЗ "Амурская центральная районная больница" МЗХК</t>
  </si>
  <si>
    <t>КГБУЗ "Аяно-Майская центральная районная больница" МЗХК</t>
  </si>
  <si>
    <t>КГБУЗ "Бикинская центральная районная больница" МЗХК</t>
  </si>
  <si>
    <t>НУЗ "Узловая поликлиника на ст.Бикин  ОАО "РЖД"</t>
  </si>
  <si>
    <t>КГБУЗ "Ванинская центральная районная больница" МЗХК</t>
  </si>
  <si>
    <t>Ванинская больница ФГБУ "Дальневосточный окружной медицинский центр ФМБА"</t>
  </si>
  <si>
    <t>КГБУЗ "Верхнебуреинская центральная районная больница" МЗХК</t>
  </si>
  <si>
    <t>КГБУЗ "Комсомольская центральная районная больница" МЗХК</t>
  </si>
  <si>
    <t>КГБУЗ "Районная больница района имени Лазо" МЗХК</t>
  </si>
  <si>
    <t>КГБУЗ "Троицкая центральная районная больница" МЗХК</t>
  </si>
  <si>
    <t>КГБУЗ "Николаевская-на-Амуре центральная районная больница" МЗХК</t>
  </si>
  <si>
    <t>Николаевская больница ФГБУ "ДВОМЦ ФМБА"</t>
  </si>
  <si>
    <t>КГБУЗ "Охотская центральная районная больница" МЗХК</t>
  </si>
  <si>
    <t>КГБУЗ "Центральная районная больница имени Полины Осипенко" МЗХК</t>
  </si>
  <si>
    <t>КГБУЗ "Советско-Гаванская центральная районная больница" МЗХК</t>
  </si>
  <si>
    <t>КГБУЗ "Тугуро-Чумиканская районная больница" МЗХК</t>
  </si>
  <si>
    <t>КГБУЗ "Князе-Волконская районная больница" МЗХК</t>
  </si>
  <si>
    <t>КГБУЗ "Хабаровская районная больница"МЗХК</t>
  </si>
  <si>
    <t xml:space="preserve">КГБУЗ "ДККБ" имени А.К. Пиотровича МЗХК </t>
  </si>
  <si>
    <t>КГБУЗ "ККБ N 2" МЗХК</t>
  </si>
  <si>
    <t>КГБУЗ "ККБ № 1" им.проф. С.И. Сергеева МЗХК</t>
  </si>
  <si>
    <t>ХФ ФГБУ РАМН "ДНЦ ФиПД" СО РАМН-НИИ ОМиД</t>
  </si>
  <si>
    <t>ФГБУ "ФЦССХ" МЗиСР РФ</t>
  </si>
  <si>
    <t>КГБУЗ "КЦВМиР" МЗХК</t>
  </si>
  <si>
    <t>КГБУЗ КДЦ  МЗХК "Вивея"</t>
  </si>
  <si>
    <t>КГБУЗ "Краевой клинический центр онкологии" МЗХК</t>
  </si>
  <si>
    <t>КГБОУ ДПО "ИПКСЗ" МЗХК</t>
  </si>
  <si>
    <t>КГБУЗ Стоматологическая поликлиника "Регион" МЗХК</t>
  </si>
  <si>
    <t>КГБУЗ "Перинатальный центр" МЗХК</t>
  </si>
  <si>
    <t>КГБУЗ "ДГП  N 1" МЗХК</t>
  </si>
  <si>
    <t>КГБУЗ "ДГКП N 3" МЗХК</t>
  </si>
  <si>
    <t>КГБУЗ "ДСП N 22" МЗХК</t>
  </si>
  <si>
    <t>КГБУЗ "СП N 25  "Ден-Тал-Из" МЗХК</t>
  </si>
  <si>
    <t>КГБУЗ "СП N 20"  МЗХК</t>
  </si>
  <si>
    <t>КГБУЗ "СП N 19"  МЗХК</t>
  </si>
  <si>
    <t>КГБУЗ "СП N 18"  МЗХК</t>
  </si>
  <si>
    <t>КГБУЗ "Родильный дом N 1" МЗХК</t>
  </si>
  <si>
    <t>КГБУЗ "Родильный дом N 2" МЗХК</t>
  </si>
  <si>
    <t>КГБУЗ "Родильный дом N 4" МЗХК</t>
  </si>
  <si>
    <t>ООО "Щеглова"</t>
  </si>
  <si>
    <t>ООО "Профи"</t>
  </si>
  <si>
    <t>КГБУЗ ДГКБ имени В.М. Истомина МЗХК</t>
  </si>
  <si>
    <t>КГБУЗ "ДГБ N 9" МЗХК</t>
  </si>
  <si>
    <t>ООО"Медицинский центр  ДК"</t>
  </si>
  <si>
    <t>КГБУЗ "Территориальный КДЦ" МЗХК</t>
  </si>
  <si>
    <t>КГБУЗ "Родильный дом № 3" МЗХК</t>
  </si>
  <si>
    <t>КГБУЗ "Онкологический диспансер" МЗХК</t>
  </si>
  <si>
    <t>КГБУЗ "Инфекционная больница"  МЗХК</t>
  </si>
  <si>
    <t>КГБУЗ "ДСП № 1" МЗХК</t>
  </si>
  <si>
    <t>КГБУЗ "СП № 1" МЗХК</t>
  </si>
  <si>
    <t>КГБУЗ "СП № 2" МЗХК</t>
  </si>
  <si>
    <t>КГБУЗ "Детская городская больница" МЗХК</t>
  </si>
  <si>
    <t xml:space="preserve">случай </t>
  </si>
  <si>
    <t>единица измерения</t>
  </si>
  <si>
    <t>Всего по Территориальной программе</t>
  </si>
  <si>
    <t>до 01.07.2015 диспансеризация женщины 45 лет и старше</t>
  </si>
  <si>
    <t>после 01.07.2015 диспансеризация женщины 45 лет и старше</t>
  </si>
  <si>
    <t>*диспансеризация взрослого населения II этап (законченный случай) до 01.07.2015</t>
  </si>
  <si>
    <t>*диспансеризация взрослого населения II этап (законченный случай) после 01.07.2015</t>
  </si>
  <si>
    <t>(-1 -1)</t>
  </si>
  <si>
    <t>Информация о выполнении планового задания по амбулаторно-поликлинической медицинской помощи в рамках Территориальной программы ОМС (январь-сентябрь 2015)</t>
  </si>
  <si>
    <t>справочно сняты объемы медицинской помощи</t>
  </si>
  <si>
    <t>(-14; )</t>
  </si>
  <si>
    <t>(-7;-71;-2;-1)</t>
  </si>
  <si>
    <t>(-5;;)</t>
  </si>
  <si>
    <t>(-7;-1</t>
  </si>
  <si>
    <t>План 12 мес. 2015 г.</t>
  </si>
  <si>
    <t>(-8)</t>
  </si>
  <si>
    <t>(-61; -5)</t>
  </si>
  <si>
    <t>(-103;-103)</t>
  </si>
  <si>
    <t>(-23;-1;)</t>
  </si>
  <si>
    <t>(-2)</t>
  </si>
  <si>
    <t>(-12; -4;-291;-11;-3)</t>
  </si>
  <si>
    <t>(-96;-96;)</t>
  </si>
  <si>
    <t>(-107; -3;-70;-4)</t>
  </si>
  <si>
    <t>(-11;-5)</t>
  </si>
  <si>
    <t>(-2;-522;-16;-20)</t>
  </si>
  <si>
    <t>(-82;)</t>
  </si>
  <si>
    <t>(-2;-185;-1;-1)</t>
  </si>
  <si>
    <t>(-1;-105;-7,-1)</t>
  </si>
  <si>
    <t>(-85;-3)</t>
  </si>
  <si>
    <t>(-5;-325;-10;-12)</t>
  </si>
  <si>
    <t>(-149;-3;-65;-3;-40)</t>
  </si>
  <si>
    <t>(-15;)</t>
  </si>
  <si>
    <t>(-112;-26;-11;-6)</t>
  </si>
  <si>
    <t>(-1;-8;-1)</t>
  </si>
  <si>
    <t>(-221, -1;-4;-121;-15 -60)</t>
  </si>
  <si>
    <t>(-17;-2;-1;23;-8;-4)</t>
  </si>
  <si>
    <t>(-73;-23;-15</t>
  </si>
  <si>
    <t>(-128;-4;-529;-7)</t>
  </si>
  <si>
    <t>(-80; -4 -27;-1;-74;-11;-33)</t>
  </si>
  <si>
    <t>(-8 -3;--3;-67;-12;-1)</t>
  </si>
  <si>
    <t>(-53;-12)</t>
  </si>
  <si>
    <t>(-6;-323;-8;-6)</t>
  </si>
  <si>
    <t>(-22;-35)</t>
  </si>
  <si>
    <t>(-114;-97;-3)</t>
  </si>
  <si>
    <t>(-97 -35;-6;-3;-93;-2;-1)</t>
  </si>
  <si>
    <t>(-5;-2;-15;-175;-25;-5)</t>
  </si>
  <si>
    <t>(-44;-1;-1-48;-18;-1)</t>
  </si>
  <si>
    <t>(-28;-2;-9;-175;-8)</t>
  </si>
  <si>
    <t>(-74;-6)</t>
  </si>
  <si>
    <t>(-325; -44; -28)</t>
  </si>
  <si>
    <t>(-5;--4)</t>
  </si>
  <si>
    <t>(-42;-18;-9;-1;-20)</t>
  </si>
  <si>
    <t>(-1;-1;-10)</t>
  </si>
  <si>
    <t>(5;-11;-3)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</si>
</sst>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  <numFmt numFmtId="166" formatCode="#,##0.0"/>
    <numFmt numFmtId="167" formatCode="#,##0.00_ ;\-#,##0.00\ "/>
  </numFmts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Arial Cyr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i/>
      <sz val="12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2" fillId="0" borderId="0" applyFill="0" applyBorder="0" applyProtection="0">
      <alignment wrapText="1"/>
      <protection locked="0"/>
    </xf>
    <xf numFmtId="0" fontId="16" fillId="0" borderId="0"/>
    <xf numFmtId="0" fontId="1" fillId="0" borderId="0"/>
    <xf numFmtId="43" fontId="1" fillId="0" borderId="0" applyFont="0" applyFill="0" applyBorder="0" applyAlignment="0" applyProtection="0"/>
    <xf numFmtId="0" fontId="24" fillId="0" borderId="0"/>
  </cellStyleXfs>
  <cellXfs count="504">
    <xf numFmtId="0" fontId="0" fillId="0" borderId="0" xfId="0"/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right" wrapText="1"/>
    </xf>
    <xf numFmtId="0" fontId="5" fillId="0" borderId="0" xfId="0" applyFont="1"/>
    <xf numFmtId="0" fontId="6" fillId="0" borderId="0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/>
    <xf numFmtId="0" fontId="6" fillId="0" borderId="1" xfId="0" applyFont="1" applyBorder="1"/>
    <xf numFmtId="0" fontId="5" fillId="0" borderId="1" xfId="0" applyFont="1" applyBorder="1"/>
    <xf numFmtId="43" fontId="2" fillId="0" borderId="1" xfId="1" applyFont="1" applyBorder="1" applyAlignment="1" applyProtection="1">
      <alignment vertical="center" wrapText="1"/>
      <protection locked="0"/>
    </xf>
    <xf numFmtId="164" fontId="2" fillId="0" borderId="1" xfId="1" applyNumberFormat="1" applyFont="1" applyBorder="1" applyAlignment="1" applyProtection="1">
      <alignment vertical="center" wrapText="1"/>
      <protection locked="0"/>
    </xf>
    <xf numFmtId="0" fontId="0" fillId="2" borderId="0" xfId="0" applyFill="1"/>
    <xf numFmtId="0" fontId="0" fillId="15" borderId="0" xfId="0" applyFill="1"/>
    <xf numFmtId="164" fontId="10" fillId="0" borderId="1" xfId="1" applyNumberFormat="1" applyFont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 applyProtection="1">
      <alignment vertical="center" wrapText="1"/>
      <protection locked="0"/>
    </xf>
    <xf numFmtId="43" fontId="2" fillId="0" borderId="1" xfId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2" fillId="0" borderId="1" xfId="0" applyFont="1" applyFill="1" applyBorder="1" applyAlignment="1" applyProtection="1">
      <alignment vertical="center" wrapText="1"/>
      <protection locked="0"/>
    </xf>
    <xf numFmtId="43" fontId="0" fillId="0" borderId="0" xfId="0" applyNumberFormat="1"/>
    <xf numFmtId="0" fontId="0" fillId="4" borderId="0" xfId="0" applyFill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9" fontId="13" fillId="0" borderId="1" xfId="2" applyFont="1" applyBorder="1" applyAlignment="1">
      <alignment horizontal="right" vertical="top" wrapText="1"/>
    </xf>
    <xf numFmtId="0" fontId="12" fillId="17" borderId="1" xfId="0" applyFont="1" applyFill="1" applyBorder="1" applyAlignment="1">
      <alignment horizontal="left" wrapText="1" indent="2"/>
    </xf>
    <xf numFmtId="9" fontId="13" fillId="0" borderId="1" xfId="2" applyFont="1" applyFill="1" applyBorder="1" applyAlignment="1">
      <alignment horizontal="right" vertical="top" wrapText="1"/>
    </xf>
    <xf numFmtId="9" fontId="14" fillId="0" borderId="1" xfId="2" applyFont="1" applyFill="1" applyBorder="1" applyAlignment="1">
      <alignment horizontal="right" vertical="top" wrapText="1"/>
    </xf>
    <xf numFmtId="0" fontId="12" fillId="17" borderId="1" xfId="0" applyFont="1" applyFill="1" applyBorder="1" applyAlignment="1">
      <alignment horizontal="center" wrapText="1"/>
    </xf>
    <xf numFmtId="0" fontId="3" fillId="17" borderId="1" xfId="3" applyFont="1" applyFill="1" applyBorder="1" applyAlignment="1" applyProtection="1">
      <alignment horizontal="left" indent="1"/>
    </xf>
    <xf numFmtId="0" fontId="12" fillId="2" borderId="1" xfId="0" applyFont="1" applyFill="1" applyBorder="1" applyAlignment="1">
      <alignment horizontal="left" vertical="top" wrapText="1"/>
    </xf>
    <xf numFmtId="0" fontId="12" fillId="11" borderId="1" xfId="0" applyFont="1" applyFill="1" applyBorder="1" applyAlignment="1">
      <alignment horizontal="left" vertical="top" wrapText="1"/>
    </xf>
    <xf numFmtId="0" fontId="0" fillId="11" borderId="0" xfId="0" applyFill="1"/>
    <xf numFmtId="0" fontId="12" fillId="11" borderId="1" xfId="0" applyFont="1" applyFill="1" applyBorder="1" applyAlignment="1">
      <alignment horizontal="left" wrapText="1" indent="2"/>
    </xf>
    <xf numFmtId="9" fontId="13" fillId="13" borderId="1" xfId="2" applyFont="1" applyFill="1" applyBorder="1" applyAlignment="1">
      <alignment horizontal="right" vertical="top" wrapText="1"/>
    </xf>
    <xf numFmtId="0" fontId="0" fillId="0" borderId="0" xfId="0" applyAlignment="1"/>
    <xf numFmtId="0" fontId="2" fillId="16" borderId="1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 indent="2"/>
    </xf>
    <xf numFmtId="0" fontId="3" fillId="17" borderId="13" xfId="3" applyFont="1" applyFill="1" applyBorder="1" applyAlignment="1" applyProtection="1">
      <alignment horizontal="left" inden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3" fillId="0" borderId="5" xfId="0" applyFont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12" fillId="0" borderId="1" xfId="0" applyFont="1" applyBorder="1" applyAlignment="1">
      <alignment horizontal="right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16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5" borderId="1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Alignment="1">
      <alignment wrapText="1"/>
    </xf>
    <xf numFmtId="0" fontId="12" fillId="0" borderId="0" xfId="0" applyFont="1" applyAlignment="1"/>
    <xf numFmtId="0" fontId="12" fillId="2" borderId="0" xfId="0" applyFont="1" applyFill="1"/>
    <xf numFmtId="0" fontId="12" fillId="0" borderId="0" xfId="0" applyFont="1" applyFill="1"/>
    <xf numFmtId="0" fontId="12" fillId="15" borderId="0" xfId="0" applyFont="1" applyFill="1"/>
    <xf numFmtId="0" fontId="12" fillId="11" borderId="0" xfId="0" applyFont="1" applyFill="1"/>
    <xf numFmtId="0" fontId="12" fillId="13" borderId="1" xfId="0" applyFont="1" applyFill="1" applyBorder="1"/>
    <xf numFmtId="0" fontId="12" fillId="13" borderId="0" xfId="0" applyFont="1" applyFill="1"/>
    <xf numFmtId="0" fontId="12" fillId="11" borderId="1" xfId="0" applyFont="1" applyFill="1" applyBorder="1"/>
    <xf numFmtId="0" fontId="12" fillId="0" borderId="1" xfId="0" applyFont="1" applyBorder="1"/>
    <xf numFmtId="0" fontId="12" fillId="17" borderId="14" xfId="0" applyFont="1" applyFill="1" applyBorder="1" applyAlignment="1">
      <alignment horizontal="left" wrapText="1" indent="2"/>
    </xf>
    <xf numFmtId="2" fontId="12" fillId="11" borderId="1" xfId="0" applyNumberFormat="1" applyFont="1" applyFill="1" applyBorder="1" applyAlignment="1">
      <alignment horizontal="left" vertical="center" wrapText="1"/>
    </xf>
    <xf numFmtId="2" fontId="12" fillId="11" borderId="1" xfId="0" applyNumberFormat="1" applyFont="1" applyFill="1" applyBorder="1" applyAlignment="1">
      <alignment horizontal="center" vertical="center" wrapText="1"/>
    </xf>
    <xf numFmtId="2" fontId="12" fillId="11" borderId="0" xfId="0" applyNumberFormat="1" applyFont="1" applyFill="1" applyAlignment="1">
      <alignment vertical="center"/>
    </xf>
    <xf numFmtId="0" fontId="17" fillId="2" borderId="1" xfId="4" applyNumberFormat="1" applyFont="1" applyFill="1" applyBorder="1" applyAlignment="1">
      <alignment vertical="center"/>
    </xf>
    <xf numFmtId="0" fontId="17" fillId="2" borderId="1" xfId="1" applyNumberFormat="1" applyFont="1" applyFill="1" applyBorder="1" applyAlignment="1" applyProtection="1">
      <alignment vertical="center" wrapText="1"/>
      <protection locked="0"/>
    </xf>
    <xf numFmtId="0" fontId="17" fillId="0" borderId="1" xfId="4" applyNumberFormat="1" applyFont="1" applyFill="1" applyBorder="1" applyAlignment="1">
      <alignment vertical="center"/>
    </xf>
    <xf numFmtId="0" fontId="17" fillId="17" borderId="1" xfId="1" applyNumberFormat="1" applyFont="1" applyFill="1" applyBorder="1" applyAlignment="1" applyProtection="1">
      <alignment vertical="center" wrapText="1"/>
      <protection locked="0"/>
    </xf>
    <xf numFmtId="0" fontId="17" fillId="11" borderId="1" xfId="4" applyNumberFormat="1" applyFont="1" applyFill="1" applyBorder="1" applyAlignment="1">
      <alignment vertical="center"/>
    </xf>
    <xf numFmtId="0" fontId="17" fillId="11" borderId="1" xfId="1" applyNumberFormat="1" applyFont="1" applyFill="1" applyBorder="1" applyAlignment="1" applyProtection="1">
      <alignment vertical="center" wrapText="1"/>
      <protection locked="0"/>
    </xf>
    <xf numFmtId="0" fontId="17" fillId="13" borderId="1" xfId="1" applyNumberFormat="1" applyFont="1" applyFill="1" applyBorder="1" applyAlignment="1" applyProtection="1">
      <alignment vertical="center" wrapText="1"/>
      <protection locked="0"/>
    </xf>
    <xf numFmtId="0" fontId="17" fillId="13" borderId="1" xfId="4" applyNumberFormat="1" applyFont="1" applyFill="1" applyBorder="1" applyAlignment="1">
      <alignment vertical="center"/>
    </xf>
    <xf numFmtId="0" fontId="2" fillId="16" borderId="5" xfId="0" applyFont="1" applyFill="1" applyBorder="1" applyAlignment="1">
      <alignment horizontal="center"/>
    </xf>
    <xf numFmtId="0" fontId="2" fillId="16" borderId="6" xfId="0" applyFont="1" applyFill="1" applyBorder="1" applyAlignment="1">
      <alignment horizontal="center"/>
    </xf>
    <xf numFmtId="0" fontId="2" fillId="16" borderId="7" xfId="0" applyFont="1" applyFill="1" applyBorder="1" applyAlignment="1">
      <alignment horizontal="center"/>
    </xf>
    <xf numFmtId="3" fontId="3" fillId="18" borderId="1" xfId="0" applyNumberFormat="1" applyFont="1" applyFill="1" applyBorder="1" applyAlignment="1">
      <alignment horizontal="left" indent="2"/>
    </xf>
    <xf numFmtId="0" fontId="15" fillId="17" borderId="14" xfId="0" applyFont="1" applyFill="1" applyBorder="1" applyAlignment="1">
      <alignment wrapText="1"/>
    </xf>
    <xf numFmtId="0" fontId="3" fillId="20" borderId="1" xfId="0" applyFont="1" applyFill="1" applyBorder="1" applyAlignment="1">
      <alignment horizontal="left" vertical="top" wrapText="1"/>
    </xf>
    <xf numFmtId="0" fontId="12" fillId="20" borderId="1" xfId="0" applyFont="1" applyFill="1" applyBorder="1" applyAlignment="1">
      <alignment horizontal="center" vertical="center" wrapText="1"/>
    </xf>
    <xf numFmtId="0" fontId="17" fillId="20" borderId="1" xfId="4" applyNumberFormat="1" applyFont="1" applyFill="1" applyBorder="1" applyAlignment="1">
      <alignment vertical="center"/>
    </xf>
    <xf numFmtId="0" fontId="17" fillId="20" borderId="1" xfId="1" applyNumberFormat="1" applyFont="1" applyFill="1" applyBorder="1" applyAlignment="1" applyProtection="1">
      <alignment vertical="center" wrapText="1"/>
      <protection locked="0"/>
    </xf>
    <xf numFmtId="0" fontId="12" fillId="20" borderId="0" xfId="0" applyFont="1" applyFill="1"/>
    <xf numFmtId="3" fontId="3" fillId="17" borderId="1" xfId="3" applyNumberFormat="1" applyFont="1" applyFill="1" applyBorder="1" applyAlignment="1" applyProtection="1">
      <alignment horizontal="left" indent="1"/>
    </xf>
    <xf numFmtId="3" fontId="12" fillId="0" borderId="1" xfId="0" applyNumberFormat="1" applyFont="1" applyBorder="1"/>
    <xf numFmtId="3" fontId="17" fillId="0" borderId="5" xfId="0" applyNumberFormat="1" applyFont="1" applyBorder="1" applyAlignment="1">
      <alignment vertical="center"/>
    </xf>
    <xf numFmtId="3" fontId="17" fillId="0" borderId="1" xfId="4" applyNumberFormat="1" applyFont="1" applyFill="1" applyBorder="1" applyAlignment="1">
      <alignment vertical="center"/>
    </xf>
    <xf numFmtId="3" fontId="17" fillId="0" borderId="7" xfId="0" applyNumberFormat="1" applyFont="1" applyBorder="1" applyAlignment="1">
      <alignment vertical="center"/>
    </xf>
    <xf numFmtId="3" fontId="17" fillId="17" borderId="1" xfId="1" applyNumberFormat="1" applyFont="1" applyFill="1" applyBorder="1" applyAlignment="1" applyProtection="1">
      <alignment vertical="center" wrapText="1"/>
      <protection locked="0"/>
    </xf>
    <xf numFmtId="3" fontId="12" fillId="0" borderId="0" xfId="0" applyNumberFormat="1" applyFont="1"/>
    <xf numFmtId="3" fontId="3" fillId="0" borderId="1" xfId="0" applyNumberFormat="1" applyFont="1" applyBorder="1"/>
    <xf numFmtId="3" fontId="18" fillId="0" borderId="5" xfId="0" applyNumberFormat="1" applyFont="1" applyBorder="1" applyAlignment="1">
      <alignment vertical="center"/>
    </xf>
    <xf numFmtId="3" fontId="18" fillId="0" borderId="1" xfId="4" applyNumberFormat="1" applyFont="1" applyFill="1" applyBorder="1" applyAlignment="1">
      <alignment vertical="center"/>
    </xf>
    <xf numFmtId="3" fontId="18" fillId="0" borderId="7" xfId="0" applyNumberFormat="1" applyFont="1" applyBorder="1" applyAlignment="1">
      <alignment vertical="center"/>
    </xf>
    <xf numFmtId="3" fontId="18" fillId="17" borderId="1" xfId="1" applyNumberFormat="1" applyFont="1" applyFill="1" applyBorder="1" applyAlignment="1" applyProtection="1">
      <alignment vertical="center" wrapText="1"/>
      <protection locked="0"/>
    </xf>
    <xf numFmtId="3" fontId="3" fillId="0" borderId="0" xfId="0" applyNumberFormat="1" applyFont="1"/>
    <xf numFmtId="3" fontId="3" fillId="17" borderId="14" xfId="3" applyNumberFormat="1" applyFont="1" applyFill="1" applyBorder="1" applyProtection="1">
      <alignment wrapText="1"/>
    </xf>
    <xf numFmtId="3" fontId="3" fillId="18" borderId="1" xfId="0" applyNumberFormat="1" applyFont="1" applyFill="1" applyBorder="1"/>
    <xf numFmtId="3" fontId="18" fillId="18" borderId="1" xfId="0" applyNumberFormat="1" applyFont="1" applyFill="1" applyBorder="1" applyAlignment="1">
      <alignment vertical="center"/>
    </xf>
    <xf numFmtId="3" fontId="18" fillId="18" borderId="1" xfId="1" applyNumberFormat="1" applyFont="1" applyFill="1" applyBorder="1" applyAlignment="1" applyProtection="1">
      <alignment vertical="center" wrapText="1"/>
      <protection locked="0"/>
    </xf>
    <xf numFmtId="3" fontId="3" fillId="18" borderId="0" xfId="0" applyNumberFormat="1" applyFont="1" applyFill="1"/>
    <xf numFmtId="3" fontId="12" fillId="2" borderId="1" xfId="0" applyNumberFormat="1" applyFont="1" applyFill="1" applyBorder="1" applyAlignment="1">
      <alignment horizontal="left" vertical="top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17" fillId="2" borderId="5" xfId="1" applyNumberFormat="1" applyFont="1" applyFill="1" applyBorder="1" applyAlignment="1" applyProtection="1">
      <alignment vertical="center" wrapText="1"/>
      <protection locked="0"/>
    </xf>
    <xf numFmtId="3" fontId="17" fillId="2" borderId="1" xfId="4" applyNumberFormat="1" applyFont="1" applyFill="1" applyBorder="1" applyAlignment="1">
      <alignment vertical="center"/>
    </xf>
    <xf numFmtId="3" fontId="17" fillId="2" borderId="7" xfId="1" applyNumberFormat="1" applyFont="1" applyFill="1" applyBorder="1" applyAlignment="1" applyProtection="1">
      <alignment vertical="center" wrapText="1"/>
      <protection locked="0"/>
    </xf>
    <xf numFmtId="3" fontId="17" fillId="2" borderId="1" xfId="1" applyNumberFormat="1" applyFont="1" applyFill="1" applyBorder="1" applyAlignment="1" applyProtection="1">
      <alignment vertical="center" wrapText="1"/>
      <protection locked="0"/>
    </xf>
    <xf numFmtId="3" fontId="3" fillId="2" borderId="1" xfId="0" applyNumberFormat="1" applyFont="1" applyFill="1" applyBorder="1" applyAlignment="1">
      <alignment horizontal="left" vertical="top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18" fillId="2" borderId="5" xfId="1" applyNumberFormat="1" applyFont="1" applyFill="1" applyBorder="1" applyAlignment="1" applyProtection="1">
      <alignment vertical="center" wrapText="1"/>
      <protection locked="0"/>
    </xf>
    <xf numFmtId="3" fontId="18" fillId="2" borderId="1" xfId="4" applyNumberFormat="1" applyFont="1" applyFill="1" applyBorder="1" applyAlignment="1">
      <alignment vertical="center"/>
    </xf>
    <xf numFmtId="3" fontId="18" fillId="2" borderId="7" xfId="1" applyNumberFormat="1" applyFont="1" applyFill="1" applyBorder="1" applyAlignment="1" applyProtection="1">
      <alignment vertical="center" wrapText="1"/>
      <protection locked="0"/>
    </xf>
    <xf numFmtId="3" fontId="18" fillId="2" borderId="1" xfId="1" applyNumberFormat="1" applyFont="1" applyFill="1" applyBorder="1" applyAlignment="1" applyProtection="1">
      <alignment vertical="center" wrapText="1"/>
      <protection locked="0"/>
    </xf>
    <xf numFmtId="3" fontId="3" fillId="2" borderId="0" xfId="0" applyNumberFormat="1" applyFont="1" applyFill="1"/>
    <xf numFmtId="0" fontId="15" fillId="17" borderId="13" xfId="0" applyFont="1" applyFill="1" applyBorder="1" applyAlignment="1">
      <alignment horizontal="left" wrapText="1" indent="2"/>
    </xf>
    <xf numFmtId="0" fontId="12" fillId="20" borderId="0" xfId="0" applyFont="1" applyFill="1" applyAlignment="1">
      <alignment horizontal="left"/>
    </xf>
    <xf numFmtId="3" fontId="0" fillId="0" borderId="0" xfId="0" applyNumberFormat="1"/>
    <xf numFmtId="3" fontId="5" fillId="0" borderId="5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wrapText="1"/>
    </xf>
    <xf numFmtId="3" fontId="6" fillId="0" borderId="5" xfId="0" applyNumberFormat="1" applyFont="1" applyFill="1" applyBorder="1" applyAlignment="1">
      <alignment horizontal="center" wrapText="1"/>
    </xf>
    <xf numFmtId="3" fontId="5" fillId="0" borderId="0" xfId="0" applyNumberFormat="1" applyFont="1"/>
    <xf numFmtId="3" fontId="2" fillId="0" borderId="0" xfId="0" applyNumberFormat="1" applyFont="1" applyAlignment="1">
      <alignment horizontal="right"/>
    </xf>
    <xf numFmtId="3" fontId="2" fillId="0" borderId="3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center"/>
    </xf>
    <xf numFmtId="3" fontId="2" fillId="20" borderId="0" xfId="0" applyNumberFormat="1" applyFont="1" applyFill="1" applyAlignment="1">
      <alignment horizontal="left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16" borderId="5" xfId="0" applyNumberFormat="1" applyFont="1" applyFill="1" applyBorder="1" applyAlignment="1">
      <alignment horizontal="center"/>
    </xf>
    <xf numFmtId="3" fontId="2" fillId="16" borderId="6" xfId="0" applyNumberFormat="1" applyFont="1" applyFill="1" applyBorder="1" applyAlignment="1">
      <alignment horizontal="center"/>
    </xf>
    <xf numFmtId="3" fontId="2" fillId="16" borderId="7" xfId="0" applyNumberFormat="1" applyFont="1" applyFill="1" applyBorder="1" applyAlignment="1">
      <alignment horizontal="center"/>
    </xf>
    <xf numFmtId="3" fontId="6" fillId="2" borderId="9" xfId="0" applyNumberFormat="1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12" fillId="16" borderId="2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/>
    <xf numFmtId="3" fontId="2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left" vertical="top" wrapText="1"/>
    </xf>
    <xf numFmtId="3" fontId="2" fillId="17" borderId="1" xfId="0" applyNumberFormat="1" applyFont="1" applyFill="1" applyBorder="1" applyAlignment="1">
      <alignment horizontal="center" vertical="center" wrapText="1"/>
    </xf>
    <xf numFmtId="3" fontId="2" fillId="17" borderId="1" xfId="1" applyNumberFormat="1" applyFont="1" applyFill="1" applyBorder="1" applyAlignment="1" applyProtection="1">
      <alignment vertical="center" wrapText="1"/>
      <protection locked="0"/>
    </xf>
    <xf numFmtId="3" fontId="2" fillId="17" borderId="1" xfId="0" applyNumberFormat="1" applyFont="1" applyFill="1" applyBorder="1" applyAlignment="1" applyProtection="1">
      <alignment vertical="center" wrapText="1"/>
      <protection locked="0"/>
    </xf>
    <xf numFmtId="3" fontId="0" fillId="17" borderId="0" xfId="0" applyNumberFormat="1" applyFill="1"/>
    <xf numFmtId="3" fontId="12" fillId="0" borderId="1" xfId="0" applyNumberFormat="1" applyFont="1" applyBorder="1" applyAlignment="1">
      <alignment horizontal="left" vertical="top" wrapText="1"/>
    </xf>
    <xf numFmtId="3" fontId="12" fillId="17" borderId="1" xfId="0" applyNumberFormat="1" applyFont="1" applyFill="1" applyBorder="1" applyAlignment="1">
      <alignment horizontal="center" vertical="center" wrapText="1"/>
    </xf>
    <xf numFmtId="3" fontId="17" fillId="17" borderId="5" xfId="1" applyNumberFormat="1" applyFont="1" applyFill="1" applyBorder="1" applyAlignment="1" applyProtection="1">
      <alignment vertical="center" wrapText="1"/>
      <protection locked="0"/>
    </xf>
    <xf numFmtId="3" fontId="17" fillId="17" borderId="7" xfId="1" applyNumberFormat="1" applyFont="1" applyFill="1" applyBorder="1" applyAlignment="1" applyProtection="1">
      <alignment vertical="center" wrapText="1"/>
      <protection locked="0"/>
    </xf>
    <xf numFmtId="3" fontId="2" fillId="2" borderId="1" xfId="0" applyNumberFormat="1" applyFont="1" applyFill="1" applyBorder="1" applyAlignment="1" applyProtection="1">
      <alignment vertical="center" wrapText="1"/>
      <protection locked="0"/>
    </xf>
    <xf numFmtId="3" fontId="12" fillId="11" borderId="1" xfId="0" applyNumberFormat="1" applyFont="1" applyFill="1" applyBorder="1" applyAlignment="1">
      <alignment horizontal="left" vertical="center" wrapText="1"/>
    </xf>
    <xf numFmtId="3" fontId="12" fillId="11" borderId="1" xfId="0" applyNumberFormat="1" applyFont="1" applyFill="1" applyBorder="1" applyAlignment="1">
      <alignment horizontal="center" vertical="center" wrapText="1"/>
    </xf>
    <xf numFmtId="3" fontId="17" fillId="11" borderId="5" xfId="1" applyNumberFormat="1" applyFont="1" applyFill="1" applyBorder="1" applyAlignment="1" applyProtection="1">
      <alignment vertical="center" wrapText="1"/>
      <protection locked="0"/>
    </xf>
    <xf numFmtId="3" fontId="17" fillId="11" borderId="1" xfId="4" applyNumberFormat="1" applyFont="1" applyFill="1" applyBorder="1" applyAlignment="1">
      <alignment vertical="center"/>
    </xf>
    <xf numFmtId="3" fontId="17" fillId="11" borderId="1" xfId="1" applyNumberFormat="1" applyFont="1" applyFill="1" applyBorder="1" applyAlignment="1" applyProtection="1">
      <alignment vertical="center" wrapText="1"/>
      <protection locked="0"/>
    </xf>
    <xf numFmtId="3" fontId="15" fillId="17" borderId="14" xfId="0" applyNumberFormat="1" applyFont="1" applyFill="1" applyBorder="1" applyAlignment="1">
      <alignment wrapText="1"/>
    </xf>
    <xf numFmtId="3" fontId="12" fillId="11" borderId="1" xfId="0" applyNumberFormat="1" applyFont="1" applyFill="1" applyBorder="1" applyAlignment="1">
      <alignment horizontal="left" vertical="top" wrapText="1"/>
    </xf>
    <xf numFmtId="3" fontId="12" fillId="0" borderId="1" xfId="0" applyNumberFormat="1" applyFont="1" applyBorder="1" applyAlignment="1">
      <alignment horizontal="center" vertical="center" wrapText="1"/>
    </xf>
    <xf numFmtId="3" fontId="17" fillId="0" borderId="5" xfId="1" applyNumberFormat="1" applyFont="1" applyBorder="1" applyAlignment="1" applyProtection="1">
      <alignment vertical="center" wrapText="1"/>
      <protection locked="0"/>
    </xf>
    <xf numFmtId="3" fontId="17" fillId="0" borderId="7" xfId="1" applyNumberFormat="1" applyFont="1" applyBorder="1" applyAlignment="1" applyProtection="1">
      <alignment vertical="center" wrapText="1"/>
      <protection locked="0"/>
    </xf>
    <xf numFmtId="3" fontId="13" fillId="0" borderId="1" xfId="2" applyNumberFormat="1" applyFont="1" applyBorder="1" applyAlignment="1">
      <alignment horizontal="right" vertical="top" wrapText="1"/>
    </xf>
    <xf numFmtId="3" fontId="12" fillId="15" borderId="1" xfId="0" applyNumberFormat="1" applyFont="1" applyFill="1" applyBorder="1" applyAlignment="1">
      <alignment horizontal="center" vertical="center" wrapText="1"/>
    </xf>
    <xf numFmtId="3" fontId="17" fillId="15" borderId="5" xfId="1" applyNumberFormat="1" applyFont="1" applyFill="1" applyBorder="1" applyAlignment="1" applyProtection="1">
      <alignment vertical="center" wrapText="1"/>
      <protection locked="0"/>
    </xf>
    <xf numFmtId="3" fontId="17" fillId="15" borderId="7" xfId="1" applyNumberFormat="1" applyFont="1" applyFill="1" applyBorder="1" applyAlignment="1" applyProtection="1">
      <alignment vertical="center" wrapText="1"/>
      <protection locked="0"/>
    </xf>
    <xf numFmtId="3" fontId="12" fillId="17" borderId="1" xfId="0" applyNumberFormat="1" applyFont="1" applyFill="1" applyBorder="1" applyAlignment="1">
      <alignment horizontal="left" wrapText="1" indent="2"/>
    </xf>
    <xf numFmtId="3" fontId="12" fillId="11" borderId="1" xfId="0" applyNumberFormat="1" applyFont="1" applyFill="1" applyBorder="1" applyAlignment="1">
      <alignment horizontal="left" wrapText="1" indent="2"/>
    </xf>
    <xf numFmtId="3" fontId="17" fillId="11" borderId="5" xfId="0" applyNumberFormat="1" applyFont="1" applyFill="1" applyBorder="1" applyAlignment="1">
      <alignment vertical="center"/>
    </xf>
    <xf numFmtId="3" fontId="13" fillId="13" borderId="1" xfId="2" applyNumberFormat="1" applyFont="1" applyFill="1" applyBorder="1" applyAlignment="1">
      <alignment horizontal="right" vertical="top" wrapText="1"/>
    </xf>
    <xf numFmtId="3" fontId="17" fillId="13" borderId="5" xfId="0" applyNumberFormat="1" applyFont="1" applyFill="1" applyBorder="1" applyAlignment="1">
      <alignment vertical="center"/>
    </xf>
    <xf numFmtId="3" fontId="17" fillId="13" borderId="7" xfId="0" applyNumberFormat="1" applyFont="1" applyFill="1" applyBorder="1" applyAlignment="1">
      <alignment vertical="center"/>
    </xf>
    <xf numFmtId="3" fontId="17" fillId="13" borderId="1" xfId="1" applyNumberFormat="1" applyFont="1" applyFill="1" applyBorder="1" applyAlignment="1" applyProtection="1">
      <alignment vertical="center" wrapText="1"/>
      <protection locked="0"/>
    </xf>
    <xf numFmtId="3" fontId="12" fillId="2" borderId="1" xfId="0" applyNumberFormat="1" applyFont="1" applyFill="1" applyBorder="1" applyAlignment="1">
      <alignment horizontal="left" wrapText="1" indent="2"/>
    </xf>
    <xf numFmtId="3" fontId="17" fillId="2" borderId="5" xfId="0" applyNumberFormat="1" applyFont="1" applyFill="1" applyBorder="1" applyAlignment="1">
      <alignment vertical="center"/>
    </xf>
    <xf numFmtId="3" fontId="17" fillId="2" borderId="7" xfId="0" applyNumberFormat="1" applyFont="1" applyFill="1" applyBorder="1" applyAlignment="1">
      <alignment vertical="center"/>
    </xf>
    <xf numFmtId="3" fontId="13" fillId="0" borderId="1" xfId="2" applyNumberFormat="1" applyFont="1" applyFill="1" applyBorder="1" applyAlignment="1">
      <alignment horizontal="right" vertical="top" wrapText="1"/>
    </xf>
    <xf numFmtId="3" fontId="17" fillId="13" borderId="1" xfId="4" applyNumberFormat="1" applyFont="1" applyFill="1" applyBorder="1" applyAlignment="1">
      <alignment vertical="center"/>
    </xf>
    <xf numFmtId="3" fontId="14" fillId="0" borderId="1" xfId="2" applyNumberFormat="1" applyFont="1" applyFill="1" applyBorder="1" applyAlignment="1">
      <alignment horizontal="right" vertical="top" wrapText="1"/>
    </xf>
    <xf numFmtId="3" fontId="12" fillId="11" borderId="1" xfId="0" applyNumberFormat="1" applyFont="1" applyFill="1" applyBorder="1"/>
    <xf numFmtId="3" fontId="17" fillId="11" borderId="7" xfId="0" applyNumberFormat="1" applyFont="1" applyFill="1" applyBorder="1" applyAlignment="1">
      <alignment vertical="center"/>
    </xf>
    <xf numFmtId="3" fontId="12" fillId="17" borderId="1" xfId="0" applyNumberFormat="1" applyFont="1" applyFill="1" applyBorder="1" applyAlignment="1">
      <alignment horizontal="center" wrapText="1"/>
    </xf>
    <xf numFmtId="3" fontId="12" fillId="0" borderId="7" xfId="0" applyNumberFormat="1" applyFont="1" applyBorder="1"/>
    <xf numFmtId="3" fontId="3" fillId="17" borderId="1" xfId="3" applyNumberFormat="1" applyFont="1" applyFill="1" applyBorder="1" applyProtection="1">
      <alignment wrapText="1"/>
    </xf>
    <xf numFmtId="1" fontId="6" fillId="0" borderId="5" xfId="0" applyNumberFormat="1" applyFont="1" applyBorder="1" applyAlignment="1">
      <alignment horizontal="center" wrapText="1"/>
    </xf>
    <xf numFmtId="1" fontId="5" fillId="0" borderId="0" xfId="0" applyNumberFormat="1" applyFont="1" applyAlignment="1">
      <alignment wrapText="1"/>
    </xf>
    <xf numFmtId="3" fontId="5" fillId="2" borderId="0" xfId="0" applyNumberFormat="1" applyFont="1" applyFill="1"/>
    <xf numFmtId="3" fontId="12" fillId="17" borderId="1" xfId="0" applyNumberFormat="1" applyFont="1" applyFill="1" applyBorder="1" applyAlignment="1">
      <alignment horizontal="left" vertical="top" wrapText="1"/>
    </xf>
    <xf numFmtId="3" fontId="17" fillId="17" borderId="1" xfId="4" applyNumberFormat="1" applyFont="1" applyFill="1" applyBorder="1" applyAlignment="1">
      <alignment vertical="center"/>
    </xf>
    <xf numFmtId="3" fontId="17" fillId="2" borderId="1" xfId="0" applyNumberFormat="1" applyFont="1" applyFill="1" applyBorder="1" applyAlignment="1">
      <alignment horizontal="center" vertical="center" wrapText="1"/>
    </xf>
    <xf numFmtId="3" fontId="17" fillId="17" borderId="1" xfId="0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7" fillId="11" borderId="1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3" fontId="17" fillId="15" borderId="1" xfId="0" applyNumberFormat="1" applyFont="1" applyFill="1" applyBorder="1" applyAlignment="1">
      <alignment horizontal="center" vertical="center" wrapText="1"/>
    </xf>
    <xf numFmtId="3" fontId="17" fillId="11" borderId="1" xfId="0" applyNumberFormat="1" applyFont="1" applyFill="1" applyBorder="1"/>
    <xf numFmtId="3" fontId="17" fillId="0" borderId="1" xfId="0" applyNumberFormat="1" applyFont="1" applyBorder="1"/>
    <xf numFmtId="3" fontId="17" fillId="0" borderId="7" xfId="0" applyNumberFormat="1" applyFont="1" applyBorder="1"/>
    <xf numFmtId="3" fontId="18" fillId="18" borderId="1" xfId="0" applyNumberFormat="1" applyFont="1" applyFill="1" applyBorder="1"/>
    <xf numFmtId="0" fontId="2" fillId="21" borderId="0" xfId="0" applyFont="1" applyFill="1" applyAlignment="1">
      <alignment horizontal="left"/>
    </xf>
    <xf numFmtId="3" fontId="12" fillId="19" borderId="2" xfId="0" applyNumberFormat="1" applyFont="1" applyFill="1" applyBorder="1" applyAlignment="1">
      <alignment horizontal="center" vertical="center" wrapText="1"/>
    </xf>
    <xf numFmtId="3" fontId="2" fillId="19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 applyProtection="1">
      <alignment vertical="center" wrapText="1"/>
      <protection locked="0"/>
    </xf>
    <xf numFmtId="3" fontId="2" fillId="0" borderId="1" xfId="0" applyNumberFormat="1" applyFont="1" applyFill="1" applyBorder="1" applyAlignment="1" applyProtection="1">
      <alignment vertical="center" wrapText="1"/>
      <protection locked="0"/>
    </xf>
    <xf numFmtId="3" fontId="2" fillId="11" borderId="1" xfId="0" applyNumberFormat="1" applyFont="1" applyFill="1" applyBorder="1" applyAlignment="1" applyProtection="1">
      <alignment vertical="center" wrapText="1"/>
      <protection locked="0"/>
    </xf>
    <xf numFmtId="3" fontId="17" fillId="0" borderId="1" xfId="1" applyNumberFormat="1" applyFont="1" applyBorder="1" applyAlignment="1" applyProtection="1">
      <alignment vertical="center" wrapText="1"/>
      <protection locked="0"/>
    </xf>
    <xf numFmtId="3" fontId="17" fillId="15" borderId="1" xfId="1" applyNumberFormat="1" applyFont="1" applyFill="1" applyBorder="1" applyAlignment="1" applyProtection="1">
      <alignment vertical="center" wrapText="1"/>
      <protection locked="0"/>
    </xf>
    <xf numFmtId="3" fontId="17" fillId="0" borderId="1" xfId="0" applyNumberFormat="1" applyFont="1" applyBorder="1" applyAlignment="1">
      <alignment vertical="center"/>
    </xf>
    <xf numFmtId="41" fontId="17" fillId="17" borderId="1" xfId="1" applyNumberFormat="1" applyFont="1" applyFill="1" applyBorder="1"/>
    <xf numFmtId="3" fontId="17" fillId="11" borderId="1" xfId="0" applyNumberFormat="1" applyFont="1" applyFill="1" applyBorder="1" applyAlignment="1">
      <alignment vertical="center"/>
    </xf>
    <xf numFmtId="3" fontId="17" fillId="2" borderId="1" xfId="0" applyNumberFormat="1" applyFont="1" applyFill="1" applyBorder="1" applyAlignment="1">
      <alignment vertical="center"/>
    </xf>
    <xf numFmtId="3" fontId="17" fillId="13" borderId="1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 applyProtection="1">
      <alignment vertical="center" wrapText="1"/>
      <protection locked="0"/>
    </xf>
    <xf numFmtId="3" fontId="6" fillId="18" borderId="1" xfId="0" applyNumberFormat="1" applyFont="1" applyFill="1" applyBorder="1" applyAlignment="1" applyProtection="1">
      <alignment vertical="center" wrapText="1"/>
      <protection locked="0"/>
    </xf>
    <xf numFmtId="3" fontId="5" fillId="18" borderId="0" xfId="0" applyNumberFormat="1" applyFont="1" applyFill="1"/>
    <xf numFmtId="4" fontId="2" fillId="0" borderId="1" xfId="0" applyNumberFormat="1" applyFont="1" applyFill="1" applyBorder="1" applyAlignment="1" applyProtection="1">
      <alignment vertical="center" wrapText="1"/>
      <protection locked="0"/>
    </xf>
    <xf numFmtId="0" fontId="0" fillId="22" borderId="0" xfId="0" applyFill="1"/>
    <xf numFmtId="0" fontId="2" fillId="22" borderId="1" xfId="0" applyFont="1" applyFill="1" applyBorder="1" applyAlignment="1">
      <alignment horizontal="center"/>
    </xf>
    <xf numFmtId="3" fontId="12" fillId="22" borderId="2" xfId="0" applyNumberFormat="1" applyFont="1" applyFill="1" applyBorder="1" applyAlignment="1">
      <alignment horizontal="center" vertical="center" wrapText="1"/>
    </xf>
    <xf numFmtId="0" fontId="2" fillId="22" borderId="1" xfId="0" applyFont="1" applyFill="1" applyBorder="1" applyAlignment="1">
      <alignment horizontal="center" vertical="center" wrapText="1"/>
    </xf>
    <xf numFmtId="43" fontId="2" fillId="22" borderId="1" xfId="1" applyFont="1" applyFill="1" applyBorder="1" applyAlignment="1" applyProtection="1">
      <alignment vertical="center" wrapText="1"/>
      <protection locked="0"/>
    </xf>
    <xf numFmtId="3" fontId="17" fillId="22" borderId="1" xfId="4" applyNumberFormat="1" applyFont="1" applyFill="1" applyBorder="1" applyAlignment="1">
      <alignment vertical="center"/>
    </xf>
    <xf numFmtId="3" fontId="18" fillId="22" borderId="1" xfId="0" applyNumberFormat="1" applyFont="1" applyFill="1" applyBorder="1" applyAlignment="1">
      <alignment vertical="center"/>
    </xf>
    <xf numFmtId="164" fontId="2" fillId="22" borderId="1" xfId="1" applyNumberFormat="1" applyFont="1" applyFill="1" applyBorder="1" applyAlignment="1" applyProtection="1">
      <alignment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3" fontId="12" fillId="17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18" fillId="0" borderId="7" xfId="0" applyNumberFormat="1" applyFont="1" applyBorder="1"/>
    <xf numFmtId="3" fontId="17" fillId="0" borderId="1" xfId="0" applyNumberFormat="1" applyFont="1" applyFill="1" applyBorder="1" applyAlignment="1" applyProtection="1">
      <alignment vertical="center" wrapText="1"/>
      <protection locked="0"/>
    </xf>
    <xf numFmtId="0" fontId="17" fillId="0" borderId="1" xfId="0" applyFont="1" applyFill="1" applyBorder="1" applyAlignment="1" applyProtection="1">
      <alignment vertical="center" wrapText="1"/>
      <protection locked="0"/>
    </xf>
    <xf numFmtId="3" fontId="18" fillId="0" borderId="1" xfId="0" applyNumberFormat="1" applyFont="1" applyFill="1" applyBorder="1" applyAlignment="1" applyProtection="1">
      <alignment vertical="center" wrapText="1"/>
      <protection locked="0"/>
    </xf>
    <xf numFmtId="0" fontId="17" fillId="0" borderId="0" xfId="0" applyFont="1" applyAlignment="1">
      <alignment horizontal="left"/>
    </xf>
    <xf numFmtId="3" fontId="17" fillId="2" borderId="1" xfId="0" applyNumberFormat="1" applyFont="1" applyFill="1" applyBorder="1" applyAlignment="1" applyProtection="1">
      <alignment vertical="center" wrapText="1"/>
      <protection locked="0"/>
    </xf>
    <xf numFmtId="3" fontId="18" fillId="18" borderId="1" xfId="4" applyNumberFormat="1" applyFont="1" applyFill="1" applyBorder="1" applyAlignment="1">
      <alignment vertical="center"/>
    </xf>
    <xf numFmtId="0" fontId="12" fillId="22" borderId="1" xfId="0" applyFont="1" applyFill="1" applyBorder="1" applyAlignment="1">
      <alignment horizontal="left" vertical="top" wrapText="1"/>
    </xf>
    <xf numFmtId="0" fontId="12" fillId="22" borderId="1" xfId="0" applyFont="1" applyFill="1" applyBorder="1" applyAlignment="1">
      <alignment horizontal="center" vertical="center" wrapText="1"/>
    </xf>
    <xf numFmtId="3" fontId="12" fillId="0" borderId="0" xfId="0" applyNumberFormat="1" applyFont="1" applyAlignment="1">
      <alignment horizontal="right"/>
    </xf>
    <xf numFmtId="3" fontId="17" fillId="20" borderId="1" xfId="1" applyNumberFormat="1" applyFont="1" applyFill="1" applyBorder="1" applyAlignment="1" applyProtection="1">
      <alignment vertical="center" wrapText="1"/>
      <protection locked="0"/>
    </xf>
    <xf numFmtId="164" fontId="17" fillId="2" borderId="1" xfId="0" applyNumberFormat="1" applyFont="1" applyFill="1" applyBorder="1" applyAlignment="1" applyProtection="1">
      <alignment vertical="center" wrapText="1"/>
      <protection locked="0"/>
    </xf>
    <xf numFmtId="0" fontId="17" fillId="20" borderId="1" xfId="0" applyFont="1" applyFill="1" applyBorder="1" applyAlignment="1" applyProtection="1">
      <alignment vertical="center" wrapText="1"/>
      <protection locked="0"/>
    </xf>
    <xf numFmtId="164" fontId="18" fillId="2" borderId="1" xfId="0" applyNumberFormat="1" applyFont="1" applyFill="1" applyBorder="1" applyAlignment="1" applyProtection="1">
      <alignment vertical="center" wrapText="1"/>
      <protection locked="0"/>
    </xf>
    <xf numFmtId="3" fontId="17" fillId="23" borderId="1" xfId="4" applyNumberFormat="1" applyFont="1" applyFill="1" applyBorder="1" applyAlignment="1">
      <alignment vertical="center"/>
    </xf>
    <xf numFmtId="3" fontId="18" fillId="23" borderId="1" xfId="0" applyNumberFormat="1" applyFont="1" applyFill="1" applyBorder="1" applyAlignment="1">
      <alignment vertical="center"/>
    </xf>
    <xf numFmtId="3" fontId="19" fillId="0" borderId="1" xfId="4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horizontal="center"/>
    </xf>
    <xf numFmtId="3" fontId="0" fillId="22" borderId="1" xfId="0" applyNumberFormat="1" applyFill="1" applyBorder="1"/>
    <xf numFmtId="3" fontId="0" fillId="22" borderId="1" xfId="0" applyNumberFormat="1" applyFill="1" applyBorder="1" applyAlignment="1">
      <alignment wrapText="1"/>
    </xf>
    <xf numFmtId="3" fontId="12" fillId="22" borderId="1" xfId="0" applyNumberFormat="1" applyFont="1" applyFill="1" applyBorder="1" applyAlignment="1">
      <alignment horizontal="left" vertical="top" wrapText="1"/>
    </xf>
    <xf numFmtId="3" fontId="12" fillId="22" borderId="1" xfId="0" applyNumberFormat="1" applyFont="1" applyFill="1" applyBorder="1" applyAlignment="1">
      <alignment horizontal="center" vertical="center" wrapText="1"/>
    </xf>
    <xf numFmtId="3" fontId="17" fillId="22" borderId="5" xfId="1" applyNumberFormat="1" applyFont="1" applyFill="1" applyBorder="1" applyAlignment="1" applyProtection="1">
      <alignment vertical="center" wrapText="1"/>
      <protection locked="0"/>
    </xf>
    <xf numFmtId="3" fontId="17" fillId="22" borderId="7" xfId="1" applyNumberFormat="1" applyFont="1" applyFill="1" applyBorder="1" applyAlignment="1" applyProtection="1">
      <alignment vertical="center" wrapText="1"/>
      <protection locked="0"/>
    </xf>
    <xf numFmtId="3" fontId="17" fillId="22" borderId="1" xfId="1" applyNumberFormat="1" applyFont="1" applyFill="1" applyBorder="1" applyAlignment="1" applyProtection="1">
      <alignment vertical="center" wrapText="1"/>
      <protection locked="0"/>
    </xf>
    <xf numFmtId="3" fontId="2" fillId="22" borderId="1" xfId="0" applyNumberFormat="1" applyFont="1" applyFill="1" applyBorder="1" applyAlignment="1" applyProtection="1">
      <alignment vertical="center" wrapText="1"/>
      <protection locked="0"/>
    </xf>
    <xf numFmtId="3" fontId="0" fillId="22" borderId="0" xfId="0" applyNumberFormat="1" applyFill="1"/>
    <xf numFmtId="3" fontId="12" fillId="22" borderId="1" xfId="0" applyNumberFormat="1" applyFont="1" applyFill="1" applyBorder="1" applyAlignment="1">
      <alignment horizontal="left" wrapText="1" indent="2"/>
    </xf>
    <xf numFmtId="3" fontId="17" fillId="22" borderId="5" xfId="0" applyNumberFormat="1" applyFont="1" applyFill="1" applyBorder="1" applyAlignment="1">
      <alignment vertical="center"/>
    </xf>
    <xf numFmtId="3" fontId="17" fillId="22" borderId="7" xfId="0" applyNumberFormat="1" applyFont="1" applyFill="1" applyBorder="1" applyAlignment="1">
      <alignment vertical="center"/>
    </xf>
    <xf numFmtId="3" fontId="17" fillId="22" borderId="1" xfId="0" applyNumberFormat="1" applyFont="1" applyFill="1" applyBorder="1" applyAlignment="1">
      <alignment vertical="center"/>
    </xf>
    <xf numFmtId="3" fontId="13" fillId="17" borderId="1" xfId="2" applyNumberFormat="1" applyFont="1" applyFill="1" applyBorder="1" applyAlignment="1">
      <alignment horizontal="right" vertical="top" wrapText="1"/>
    </xf>
    <xf numFmtId="3" fontId="12" fillId="17" borderId="1" xfId="0" applyNumberFormat="1" applyFont="1" applyFill="1" applyBorder="1"/>
    <xf numFmtId="3" fontId="17" fillId="17" borderId="5" xfId="0" applyNumberFormat="1" applyFont="1" applyFill="1" applyBorder="1" applyAlignment="1">
      <alignment vertical="center"/>
    </xf>
    <xf numFmtId="3" fontId="17" fillId="17" borderId="7" xfId="0" applyNumberFormat="1" applyFont="1" applyFill="1" applyBorder="1" applyAlignment="1">
      <alignment vertical="center"/>
    </xf>
    <xf numFmtId="3" fontId="17" fillId="17" borderId="1" xfId="0" applyNumberFormat="1" applyFont="1" applyFill="1" applyBorder="1" applyAlignment="1">
      <alignment vertical="center"/>
    </xf>
    <xf numFmtId="3" fontId="3" fillId="0" borderId="7" xfId="0" applyNumberFormat="1" applyFont="1" applyBorder="1"/>
    <xf numFmtId="3" fontId="6" fillId="17" borderId="1" xfId="0" applyNumberFormat="1" applyFont="1" applyFill="1" applyBorder="1" applyAlignment="1" applyProtection="1">
      <alignment vertical="center" wrapText="1"/>
      <protection locked="0"/>
    </xf>
    <xf numFmtId="3" fontId="18" fillId="0" borderId="1" xfId="0" applyNumberFormat="1" applyFont="1" applyBorder="1" applyAlignment="1">
      <alignment vertical="center"/>
    </xf>
    <xf numFmtId="3" fontId="2" fillId="2" borderId="1" xfId="0" applyNumberFormat="1" applyFont="1" applyFill="1" applyBorder="1" applyAlignment="1">
      <alignment horizontal="center"/>
    </xf>
    <xf numFmtId="3" fontId="17" fillId="17" borderId="1" xfId="0" applyNumberFormat="1" applyFont="1" applyFill="1" applyBorder="1"/>
    <xf numFmtId="0" fontId="0" fillId="17" borderId="0" xfId="0" applyFill="1"/>
    <xf numFmtId="3" fontId="0" fillId="0" borderId="1" xfId="0" applyNumberFormat="1" applyBorder="1"/>
    <xf numFmtId="0" fontId="0" fillId="22" borderId="1" xfId="0" applyFill="1" applyBorder="1"/>
    <xf numFmtId="3" fontId="17" fillId="17" borderId="1" xfId="0" applyNumberFormat="1" applyFont="1" applyFill="1" applyBorder="1" applyAlignment="1" applyProtection="1">
      <alignment vertical="center" wrapText="1"/>
      <protection locked="0"/>
    </xf>
    <xf numFmtId="0" fontId="17" fillId="17" borderId="1" xfId="0" applyFont="1" applyFill="1" applyBorder="1" applyAlignment="1" applyProtection="1">
      <alignment vertical="center" wrapText="1"/>
      <protection locked="0"/>
    </xf>
    <xf numFmtId="3" fontId="6" fillId="0" borderId="1" xfId="0" applyNumberFormat="1" applyFont="1" applyBorder="1" applyAlignment="1">
      <alignment horizontal="center" vertical="center" wrapText="1"/>
    </xf>
    <xf numFmtId="0" fontId="20" fillId="0" borderId="0" xfId="0" applyFont="1"/>
    <xf numFmtId="3" fontId="20" fillId="0" borderId="0" xfId="0" applyNumberFormat="1" applyFont="1"/>
    <xf numFmtId="0" fontId="20" fillId="0" borderId="1" xfId="0" applyFont="1" applyBorder="1"/>
    <xf numFmtId="3" fontId="20" fillId="0" borderId="1" xfId="0" applyNumberFormat="1" applyFont="1" applyBorder="1"/>
    <xf numFmtId="3" fontId="18" fillId="18" borderId="1" xfId="0" applyNumberFormat="1" applyFont="1" applyFill="1" applyBorder="1" applyAlignment="1" applyProtection="1">
      <alignment vertical="center" wrapText="1"/>
      <protection locked="0"/>
    </xf>
    <xf numFmtId="3" fontId="17" fillId="22" borderId="1" xfId="0" applyNumberFormat="1" applyFont="1" applyFill="1" applyBorder="1" applyAlignment="1">
      <alignment horizontal="center" vertical="center" wrapText="1"/>
    </xf>
    <xf numFmtId="3" fontId="17" fillId="22" borderId="1" xfId="0" applyNumberFormat="1" applyFont="1" applyFill="1" applyBorder="1" applyAlignment="1" applyProtection="1">
      <alignment vertical="center" wrapText="1"/>
      <protection locked="0"/>
    </xf>
    <xf numFmtId="0" fontId="17" fillId="0" borderId="1" xfId="0" applyNumberFormat="1" applyFont="1" applyBorder="1" applyAlignment="1">
      <alignment vertical="center"/>
    </xf>
    <xf numFmtId="0" fontId="15" fillId="17" borderId="1" xfId="0" applyFont="1" applyFill="1" applyBorder="1" applyAlignment="1">
      <alignment horizontal="left" wrapText="1" indent="2"/>
    </xf>
    <xf numFmtId="164" fontId="11" fillId="0" borderId="1" xfId="0" applyNumberFormat="1" applyFont="1" applyBorder="1"/>
    <xf numFmtId="164" fontId="0" fillId="0" borderId="1" xfId="0" applyNumberFormat="1" applyBorder="1"/>
    <xf numFmtId="164" fontId="17" fillId="0" borderId="1" xfId="1" applyNumberFormat="1" applyFont="1" applyBorder="1" applyAlignment="1" applyProtection="1">
      <alignment vertical="center" wrapText="1"/>
      <protection locked="0"/>
    </xf>
    <xf numFmtId="43" fontId="17" fillId="0" borderId="1" xfId="1" applyFont="1" applyBorder="1" applyAlignment="1" applyProtection="1">
      <alignment vertical="center" wrapText="1"/>
      <protection locked="0"/>
    </xf>
    <xf numFmtId="164" fontId="17" fillId="22" borderId="1" xfId="1" applyNumberFormat="1" applyFont="1" applyFill="1" applyBorder="1" applyAlignment="1" applyProtection="1">
      <alignment vertical="center" wrapText="1"/>
      <protection locked="0"/>
    </xf>
    <xf numFmtId="43" fontId="17" fillId="22" borderId="1" xfId="1" applyFont="1" applyFill="1" applyBorder="1" applyAlignment="1" applyProtection="1">
      <alignment vertical="center" wrapText="1"/>
      <protection locked="0"/>
    </xf>
    <xf numFmtId="164" fontId="20" fillId="0" borderId="1" xfId="0" applyNumberFormat="1" applyFont="1" applyBorder="1"/>
    <xf numFmtId="3" fontId="12" fillId="17" borderId="1" xfId="3" applyNumberFormat="1" applyFont="1" applyFill="1" applyBorder="1" applyAlignment="1" applyProtection="1">
      <alignment horizontal="left" indent="1"/>
    </xf>
    <xf numFmtId="0" fontId="0" fillId="0" borderId="0" xfId="0" applyFont="1"/>
    <xf numFmtId="164" fontId="6" fillId="0" borderId="1" xfId="1" applyNumberFormat="1" applyFont="1" applyBorder="1" applyAlignment="1" applyProtection="1">
      <alignment vertical="center" wrapText="1"/>
      <protection locked="0"/>
    </xf>
    <xf numFmtId="164" fontId="18" fillId="0" borderId="1" xfId="1" applyNumberFormat="1" applyFont="1" applyBorder="1" applyAlignment="1" applyProtection="1">
      <alignment vertical="center" wrapText="1"/>
      <protection locked="0"/>
    </xf>
    <xf numFmtId="43" fontId="18" fillId="0" borderId="1" xfId="1" applyFont="1" applyBorder="1" applyAlignment="1" applyProtection="1">
      <alignment vertical="center" wrapText="1"/>
      <protection locked="0"/>
    </xf>
    <xf numFmtId="0" fontId="0" fillId="0" borderId="0" xfId="0" applyAlignment="1">
      <alignment horizontal="center"/>
    </xf>
    <xf numFmtId="3" fontId="12" fillId="15" borderId="1" xfId="0" applyNumberFormat="1" applyFont="1" applyFill="1" applyBorder="1" applyAlignment="1">
      <alignment horizontal="left" vertical="top" wrapText="1"/>
    </xf>
    <xf numFmtId="3" fontId="17" fillId="15" borderId="1" xfId="4" applyNumberFormat="1" applyFont="1" applyFill="1" applyBorder="1" applyAlignment="1">
      <alignment vertical="center"/>
    </xf>
    <xf numFmtId="3" fontId="17" fillId="15" borderId="1" xfId="0" applyNumberFormat="1" applyFont="1" applyFill="1" applyBorder="1" applyAlignment="1" applyProtection="1">
      <alignment vertical="center" wrapText="1"/>
      <protection locked="0"/>
    </xf>
    <xf numFmtId="3" fontId="12" fillId="15" borderId="1" xfId="0" applyNumberFormat="1" applyFont="1" applyFill="1" applyBorder="1" applyAlignment="1">
      <alignment horizontal="left" wrapText="1" indent="2"/>
    </xf>
    <xf numFmtId="3" fontId="17" fillId="15" borderId="5" xfId="0" applyNumberFormat="1" applyFont="1" applyFill="1" applyBorder="1" applyAlignment="1">
      <alignment vertical="center"/>
    </xf>
    <xf numFmtId="3" fontId="17" fillId="15" borderId="7" xfId="0" applyNumberFormat="1" applyFont="1" applyFill="1" applyBorder="1" applyAlignment="1">
      <alignment vertical="center"/>
    </xf>
    <xf numFmtId="3" fontId="2" fillId="15" borderId="1" xfId="0" applyNumberFormat="1" applyFont="1" applyFill="1" applyBorder="1" applyAlignment="1" applyProtection="1">
      <alignment vertical="center" wrapText="1"/>
      <protection locked="0"/>
    </xf>
    <xf numFmtId="3" fontId="17" fillId="15" borderId="1" xfId="0" applyNumberFormat="1" applyFont="1" applyFill="1" applyBorder="1" applyAlignment="1">
      <alignment vertical="center"/>
    </xf>
    <xf numFmtId="0" fontId="17" fillId="15" borderId="1" xfId="0" applyFont="1" applyFill="1" applyBorder="1" applyAlignment="1" applyProtection="1">
      <alignment vertical="center" wrapText="1"/>
      <protection locked="0"/>
    </xf>
    <xf numFmtId="0" fontId="12" fillId="15" borderId="1" xfId="0" applyFont="1" applyFill="1" applyBorder="1" applyAlignment="1">
      <alignment horizontal="left" vertical="top" wrapText="1"/>
    </xf>
    <xf numFmtId="164" fontId="2" fillId="15" borderId="1" xfId="1" applyNumberFormat="1" applyFont="1" applyFill="1" applyBorder="1" applyAlignment="1" applyProtection="1">
      <alignment vertical="center" wrapText="1"/>
      <protection locked="0"/>
    </xf>
    <xf numFmtId="164" fontId="17" fillId="15" borderId="1" xfId="1" applyNumberFormat="1" applyFont="1" applyFill="1" applyBorder="1" applyAlignment="1" applyProtection="1">
      <alignment vertical="center" wrapText="1"/>
      <protection locked="0"/>
    </xf>
    <xf numFmtId="43" fontId="17" fillId="15" borderId="1" xfId="1" applyFont="1" applyFill="1" applyBorder="1" applyAlignment="1" applyProtection="1">
      <alignment vertical="center" wrapText="1"/>
      <protection locked="0"/>
    </xf>
    <xf numFmtId="3" fontId="12" fillId="24" borderId="1" xfId="0" applyNumberFormat="1" applyFont="1" applyFill="1" applyBorder="1" applyAlignment="1">
      <alignment horizontal="left" wrapText="1" indent="2"/>
    </xf>
    <xf numFmtId="3" fontId="17" fillId="24" borderId="1" xfId="0" applyNumberFormat="1" applyFont="1" applyFill="1" applyBorder="1" applyAlignment="1">
      <alignment horizontal="center" vertical="center" wrapText="1"/>
    </xf>
    <xf numFmtId="3" fontId="17" fillId="24" borderId="1" xfId="0" applyNumberFormat="1" applyFont="1" applyFill="1" applyBorder="1" applyAlignment="1">
      <alignment vertical="center"/>
    </xf>
    <xf numFmtId="3" fontId="17" fillId="24" borderId="1" xfId="1" applyNumberFormat="1" applyFont="1" applyFill="1" applyBorder="1" applyAlignment="1" applyProtection="1">
      <alignment vertical="center" wrapText="1"/>
      <protection locked="0"/>
    </xf>
    <xf numFmtId="3" fontId="17" fillId="24" borderId="1" xfId="4" applyNumberFormat="1" applyFont="1" applyFill="1" applyBorder="1" applyAlignment="1">
      <alignment vertical="center"/>
    </xf>
    <xf numFmtId="3" fontId="17" fillId="24" borderId="1" xfId="0" applyNumberFormat="1" applyFont="1" applyFill="1" applyBorder="1" applyAlignment="1" applyProtection="1">
      <alignment vertical="center" wrapText="1"/>
      <protection locked="0"/>
    </xf>
    <xf numFmtId="0" fontId="0" fillId="24" borderId="0" xfId="0" applyFill="1"/>
    <xf numFmtId="3" fontId="17" fillId="23" borderId="1" xfId="0" applyNumberFormat="1" applyFont="1" applyFill="1" applyBorder="1" applyAlignment="1">
      <alignment vertical="center"/>
    </xf>
    <xf numFmtId="3" fontId="12" fillId="15" borderId="7" xfId="0" applyNumberFormat="1" applyFont="1" applyFill="1" applyBorder="1"/>
    <xf numFmtId="3" fontId="0" fillId="15" borderId="0" xfId="0" applyNumberFormat="1" applyFont="1" applyFill="1"/>
    <xf numFmtId="3" fontId="17" fillId="15" borderId="7" xfId="0" applyNumberFormat="1" applyFont="1" applyFill="1" applyBorder="1"/>
    <xf numFmtId="164" fontId="2" fillId="0" borderId="2" xfId="1" applyNumberFormat="1" applyFont="1" applyFill="1" applyBorder="1" applyAlignment="1" applyProtection="1">
      <alignment vertical="center" wrapText="1"/>
      <protection locked="0"/>
    </xf>
    <xf numFmtId="2" fontId="3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right"/>
    </xf>
    <xf numFmtId="165" fontId="17" fillId="0" borderId="1" xfId="1" applyNumberFormat="1" applyFont="1" applyFill="1" applyBorder="1" applyAlignment="1">
      <alignment horizontal="right"/>
    </xf>
    <xf numFmtId="3" fontId="19" fillId="2" borderId="1" xfId="4" applyNumberFormat="1" applyFont="1" applyFill="1" applyBorder="1" applyAlignment="1">
      <alignment vertical="center"/>
    </xf>
    <xf numFmtId="164" fontId="2" fillId="17" borderId="1" xfId="1" applyNumberFormat="1" applyFont="1" applyFill="1" applyBorder="1" applyAlignment="1" applyProtection="1">
      <alignment vertical="center" wrapText="1"/>
      <protection locked="0"/>
    </xf>
    <xf numFmtId="164" fontId="17" fillId="17" borderId="1" xfId="1" applyNumberFormat="1" applyFont="1" applyFill="1" applyBorder="1" applyAlignment="1" applyProtection="1">
      <alignment vertical="center" wrapText="1"/>
      <protection locked="0"/>
    </xf>
    <xf numFmtId="43" fontId="17" fillId="17" borderId="1" xfId="1" applyFont="1" applyFill="1" applyBorder="1" applyAlignment="1" applyProtection="1">
      <alignment vertical="center" wrapText="1"/>
      <protection locked="0"/>
    </xf>
    <xf numFmtId="3" fontId="18" fillId="2" borderId="1" xfId="0" applyNumberFormat="1" applyFont="1" applyFill="1" applyBorder="1" applyAlignment="1" applyProtection="1">
      <alignment vertical="center" wrapText="1"/>
      <protection locked="0"/>
    </xf>
    <xf numFmtId="49" fontId="17" fillId="17" borderId="1" xfId="1" applyNumberFormat="1" applyFont="1" applyFill="1" applyBorder="1" applyAlignment="1" applyProtection="1">
      <alignment vertical="center" wrapText="1"/>
      <protection locked="0"/>
    </xf>
    <xf numFmtId="3" fontId="19" fillId="2" borderId="1" xfId="0" applyNumberFormat="1" applyFont="1" applyFill="1" applyBorder="1" applyAlignment="1">
      <alignment vertical="center"/>
    </xf>
    <xf numFmtId="9" fontId="13" fillId="2" borderId="1" xfId="2" applyFont="1" applyFill="1" applyBorder="1" applyAlignment="1">
      <alignment horizontal="right" vertical="top" wrapText="1"/>
    </xf>
    <xf numFmtId="3" fontId="19" fillId="17" borderId="1" xfId="0" applyNumberFormat="1" applyFont="1" applyFill="1" applyBorder="1" applyAlignment="1">
      <alignment vertical="center"/>
    </xf>
    <xf numFmtId="9" fontId="23" fillId="0" borderId="1" xfId="2" applyFont="1" applyBorder="1" applyAlignment="1">
      <alignment horizontal="right" vertical="top" wrapText="1"/>
    </xf>
    <xf numFmtId="0" fontId="9" fillId="0" borderId="0" xfId="0" applyFont="1"/>
    <xf numFmtId="9" fontId="13" fillId="25" borderId="1" xfId="2" applyFont="1" applyFill="1" applyBorder="1" applyAlignment="1">
      <alignment horizontal="right" vertical="top" wrapText="1"/>
    </xf>
    <xf numFmtId="0" fontId="12" fillId="25" borderId="1" xfId="0" applyFont="1" applyFill="1" applyBorder="1" applyAlignment="1">
      <alignment horizontal="center" vertical="center" wrapText="1"/>
    </xf>
    <xf numFmtId="0" fontId="17" fillId="25" borderId="1" xfId="4" applyNumberFormat="1" applyFont="1" applyFill="1" applyBorder="1" applyAlignment="1">
      <alignment vertical="center"/>
    </xf>
    <xf numFmtId="3" fontId="17" fillId="25" borderId="1" xfId="1" applyNumberFormat="1" applyFont="1" applyFill="1" applyBorder="1" applyAlignment="1" applyProtection="1">
      <alignment vertical="center" wrapText="1"/>
      <protection locked="0"/>
    </xf>
    <xf numFmtId="3" fontId="17" fillId="25" borderId="1" xfId="4" applyNumberFormat="1" applyFont="1" applyFill="1" applyBorder="1" applyAlignment="1">
      <alignment vertical="center"/>
    </xf>
    <xf numFmtId="0" fontId="17" fillId="25" borderId="1" xfId="1" applyNumberFormat="1" applyFont="1" applyFill="1" applyBorder="1" applyAlignment="1" applyProtection="1">
      <alignment vertical="center" wrapText="1"/>
      <protection locked="0"/>
    </xf>
    <xf numFmtId="164" fontId="17" fillId="25" borderId="1" xfId="0" applyNumberFormat="1" applyFont="1" applyFill="1" applyBorder="1" applyAlignment="1" applyProtection="1">
      <alignment vertical="center" wrapText="1"/>
      <protection locked="0"/>
    </xf>
    <xf numFmtId="3" fontId="17" fillId="25" borderId="1" xfId="0" applyNumberFormat="1" applyFont="1" applyFill="1" applyBorder="1" applyAlignment="1" applyProtection="1">
      <alignment vertical="center" wrapText="1"/>
      <protection locked="0"/>
    </xf>
    <xf numFmtId="0" fontId="12" fillId="25" borderId="0" xfId="0" applyFont="1" applyFill="1"/>
    <xf numFmtId="3" fontId="12" fillId="25" borderId="1" xfId="0" applyNumberFormat="1" applyFont="1" applyFill="1" applyBorder="1" applyAlignment="1">
      <alignment horizontal="center" vertical="center" wrapText="1"/>
    </xf>
    <xf numFmtId="3" fontId="17" fillId="25" borderId="5" xfId="0" applyNumberFormat="1" applyFont="1" applyFill="1" applyBorder="1" applyAlignment="1">
      <alignment vertical="center"/>
    </xf>
    <xf numFmtId="3" fontId="17" fillId="25" borderId="7" xfId="0" applyNumberFormat="1" applyFont="1" applyFill="1" applyBorder="1" applyAlignment="1">
      <alignment vertical="center"/>
    </xf>
    <xf numFmtId="3" fontId="2" fillId="25" borderId="1" xfId="0" applyNumberFormat="1" applyFont="1" applyFill="1" applyBorder="1" applyAlignment="1" applyProtection="1">
      <alignment vertical="center" wrapText="1"/>
      <protection locked="0"/>
    </xf>
    <xf numFmtId="3" fontId="0" fillId="25" borderId="0" xfId="0" applyNumberFormat="1" applyFill="1"/>
    <xf numFmtId="3" fontId="17" fillId="25" borderId="1" xfId="0" applyNumberFormat="1" applyFont="1" applyFill="1" applyBorder="1" applyAlignment="1">
      <alignment horizontal="center" vertical="center" wrapText="1"/>
    </xf>
    <xf numFmtId="3" fontId="17" fillId="25" borderId="1" xfId="0" applyNumberFormat="1" applyFont="1" applyFill="1" applyBorder="1" applyAlignment="1">
      <alignment vertical="center"/>
    </xf>
    <xf numFmtId="0" fontId="0" fillId="25" borderId="0" xfId="0" applyFill="1"/>
    <xf numFmtId="0" fontId="17" fillId="25" borderId="1" xfId="0" applyFont="1" applyFill="1" applyBorder="1" applyAlignment="1" applyProtection="1">
      <alignment vertical="center" wrapText="1"/>
      <protection locked="0"/>
    </xf>
    <xf numFmtId="3" fontId="19" fillId="17" borderId="1" xfId="4" applyNumberFormat="1" applyFont="1" applyFill="1" applyBorder="1" applyAlignment="1">
      <alignment vertical="center"/>
    </xf>
    <xf numFmtId="3" fontId="19" fillId="25" borderId="1" xfId="0" applyNumberFormat="1" applyFont="1" applyFill="1" applyBorder="1" applyAlignment="1">
      <alignment vertical="center"/>
    </xf>
    <xf numFmtId="166" fontId="17" fillId="0" borderId="1" xfId="0" applyNumberFormat="1" applyFont="1" applyBorder="1" applyAlignment="1">
      <alignment vertical="center"/>
    </xf>
    <xf numFmtId="164" fontId="0" fillId="0" borderId="0" xfId="0" applyNumberFormat="1"/>
    <xf numFmtId="167" fontId="0" fillId="0" borderId="0" xfId="0" applyNumberFormat="1"/>
    <xf numFmtId="4" fontId="0" fillId="0" borderId="0" xfId="0" applyNumberFormat="1" applyFill="1"/>
    <xf numFmtId="3" fontId="19" fillId="25" borderId="1" xfId="4" applyNumberFormat="1" applyFont="1" applyFill="1" applyBorder="1" applyAlignment="1">
      <alignment vertical="center"/>
    </xf>
    <xf numFmtId="3" fontId="19" fillId="22" borderId="1" xfId="4" applyNumberFormat="1" applyFont="1" applyFill="1" applyBorder="1" applyAlignment="1">
      <alignment vertical="center"/>
    </xf>
    <xf numFmtId="164" fontId="0" fillId="0" borderId="0" xfId="0" applyNumberFormat="1" applyFill="1"/>
    <xf numFmtId="3" fontId="0" fillId="15" borderId="0" xfId="0" applyNumberFormat="1" applyFill="1"/>
    <xf numFmtId="0" fontId="12" fillId="0" borderId="8" xfId="0" applyFont="1" applyBorder="1" applyAlignment="1">
      <alignment wrapText="1"/>
    </xf>
    <xf numFmtId="0" fontId="0" fillId="0" borderId="0" xfId="0" applyAlignment="1">
      <alignment wrapText="1"/>
    </xf>
    <xf numFmtId="0" fontId="12" fillId="16" borderId="5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16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2" fillId="16" borderId="6" xfId="0" applyFont="1" applyFill="1" applyBorder="1" applyAlignment="1">
      <alignment horizontal="center" vertical="center" wrapText="1"/>
    </xf>
    <xf numFmtId="0" fontId="12" fillId="16" borderId="7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wrapText="1"/>
    </xf>
    <xf numFmtId="0" fontId="3" fillId="5" borderId="6" xfId="0" applyFont="1" applyFill="1" applyBorder="1" applyAlignment="1">
      <alignment horizontal="center" wrapText="1"/>
    </xf>
    <xf numFmtId="0" fontId="3" fillId="5" borderId="7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49" fontId="3" fillId="8" borderId="1" xfId="0" applyNumberFormat="1" applyFont="1" applyFill="1" applyBorder="1" applyAlignment="1">
      <alignment horizontal="center" wrapText="1"/>
    </xf>
    <xf numFmtId="49" fontId="3" fillId="5" borderId="1" xfId="0" applyNumberFormat="1" applyFont="1" applyFill="1" applyBorder="1" applyAlignment="1">
      <alignment horizontal="center" wrapText="1"/>
    </xf>
    <xf numFmtId="0" fontId="12" fillId="16" borderId="5" xfId="0" applyFont="1" applyFill="1" applyBorder="1" applyAlignment="1">
      <alignment horizontal="center"/>
    </xf>
    <xf numFmtId="0" fontId="12" fillId="16" borderId="6" xfId="0" applyFont="1" applyFill="1" applyBorder="1" applyAlignment="1">
      <alignment horizontal="center"/>
    </xf>
    <xf numFmtId="0" fontId="12" fillId="16" borderId="7" xfId="0" applyFont="1" applyFill="1" applyBorder="1" applyAlignment="1">
      <alignment horizontal="center"/>
    </xf>
    <xf numFmtId="49" fontId="3" fillId="7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3" fillId="4" borderId="5" xfId="0" applyFont="1" applyFill="1" applyBorder="1" applyAlignment="1">
      <alignment horizontal="center" wrapText="1"/>
    </xf>
    <xf numFmtId="0" fontId="3" fillId="4" borderId="6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 wrapText="1"/>
    </xf>
    <xf numFmtId="49" fontId="3" fillId="6" borderId="5" xfId="0" applyNumberFormat="1" applyFont="1" applyFill="1" applyBorder="1" applyAlignment="1">
      <alignment horizontal="center" wrapText="1"/>
    </xf>
    <xf numFmtId="49" fontId="3" fillId="6" borderId="6" xfId="0" applyNumberFormat="1" applyFont="1" applyFill="1" applyBorder="1" applyAlignment="1">
      <alignment horizontal="center" wrapText="1"/>
    </xf>
    <xf numFmtId="49" fontId="3" fillId="6" borderId="7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3" fontId="6" fillId="16" borderId="1" xfId="0" applyNumberFormat="1" applyFont="1" applyFill="1" applyBorder="1" applyAlignment="1">
      <alignment horizontal="center" wrapText="1"/>
    </xf>
    <xf numFmtId="3" fontId="6" fillId="0" borderId="1" xfId="0" applyNumberFormat="1" applyFont="1" applyBorder="1" applyAlignment="1">
      <alignment horizontal="center" wrapText="1"/>
    </xf>
    <xf numFmtId="3" fontId="5" fillId="5" borderId="1" xfId="0" applyNumberFormat="1" applyFont="1" applyFill="1" applyBorder="1" applyAlignment="1">
      <alignment horizontal="center" wrapText="1"/>
    </xf>
    <xf numFmtId="3" fontId="6" fillId="0" borderId="5" xfId="0" applyNumberFormat="1" applyFont="1" applyBorder="1" applyAlignment="1">
      <alignment horizontal="center" wrapText="1"/>
    </xf>
    <xf numFmtId="3" fontId="6" fillId="0" borderId="6" xfId="0" applyNumberFormat="1" applyFont="1" applyBorder="1" applyAlignment="1">
      <alignment horizontal="center" wrapText="1"/>
    </xf>
    <xf numFmtId="3" fontId="6" fillId="0" borderId="7" xfId="0" applyNumberFormat="1" applyFont="1" applyBorder="1" applyAlignment="1">
      <alignment horizontal="center" wrapText="1"/>
    </xf>
    <xf numFmtId="49" fontId="6" fillId="7" borderId="1" xfId="0" applyNumberFormat="1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49" fontId="5" fillId="5" borderId="1" xfId="0" applyNumberFormat="1" applyFont="1" applyFill="1" applyBorder="1" applyAlignment="1">
      <alignment horizontal="center" wrapText="1"/>
    </xf>
    <xf numFmtId="49" fontId="5" fillId="6" borderId="1" xfId="0" applyNumberFormat="1" applyFont="1" applyFill="1" applyBorder="1" applyAlignment="1">
      <alignment horizontal="center" wrapText="1"/>
    </xf>
    <xf numFmtId="3" fontId="6" fillId="3" borderId="1" xfId="0" applyNumberFormat="1" applyFont="1" applyFill="1" applyBorder="1" applyAlignment="1">
      <alignment horizontal="center" wrapText="1"/>
    </xf>
    <xf numFmtId="49" fontId="5" fillId="7" borderId="1" xfId="0" applyNumberFormat="1" applyFont="1" applyFill="1" applyBorder="1" applyAlignment="1">
      <alignment horizontal="center" wrapText="1"/>
    </xf>
    <xf numFmtId="49" fontId="5" fillId="8" borderId="1" xfId="0" applyNumberFormat="1" applyFont="1" applyFill="1" applyBorder="1" applyAlignment="1">
      <alignment horizontal="center" wrapText="1"/>
    </xf>
    <xf numFmtId="3" fontId="5" fillId="6" borderId="1" xfId="0" applyNumberFormat="1" applyFont="1" applyFill="1" applyBorder="1" applyAlignment="1">
      <alignment horizontal="center" wrapText="1"/>
    </xf>
    <xf numFmtId="3" fontId="5" fillId="4" borderId="1" xfId="0" applyNumberFormat="1" applyFont="1" applyFill="1" applyBorder="1" applyAlignment="1">
      <alignment horizontal="center" wrapText="1"/>
    </xf>
    <xf numFmtId="3" fontId="3" fillId="6" borderId="5" xfId="0" applyNumberFormat="1" applyFont="1" applyFill="1" applyBorder="1" applyAlignment="1">
      <alignment horizontal="center" wrapText="1"/>
    </xf>
    <xf numFmtId="3" fontId="3" fillId="6" borderId="6" xfId="0" applyNumberFormat="1" applyFont="1" applyFill="1" applyBorder="1" applyAlignment="1">
      <alignment horizontal="center" wrapText="1"/>
    </xf>
    <xf numFmtId="3" fontId="5" fillId="7" borderId="1" xfId="0" applyNumberFormat="1" applyFont="1" applyFill="1" applyBorder="1" applyAlignment="1">
      <alignment horizontal="center" wrapText="1"/>
    </xf>
    <xf numFmtId="3" fontId="6" fillId="4" borderId="1" xfId="0" applyNumberFormat="1" applyFont="1" applyFill="1" applyBorder="1" applyAlignment="1">
      <alignment horizontal="center" wrapText="1"/>
    </xf>
    <xf numFmtId="3" fontId="6" fillId="16" borderId="1" xfId="0" applyNumberFormat="1" applyFont="1" applyFill="1" applyBorder="1" applyAlignment="1">
      <alignment horizontal="center"/>
    </xf>
    <xf numFmtId="3" fontId="5" fillId="0" borderId="2" xfId="0" applyNumberFormat="1" applyFont="1" applyBorder="1" applyAlignment="1">
      <alignment horizontal="center" wrapText="1"/>
    </xf>
    <xf numFmtId="3" fontId="5" fillId="0" borderId="4" xfId="0" applyNumberFormat="1" applyFont="1" applyBorder="1" applyAlignment="1">
      <alignment horizontal="center" wrapText="1"/>
    </xf>
    <xf numFmtId="3" fontId="2" fillId="16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12" fillId="16" borderId="5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center" vertical="center" wrapText="1"/>
    </xf>
    <xf numFmtId="3" fontId="12" fillId="0" borderId="7" xfId="0" applyNumberFormat="1" applyFont="1" applyBorder="1" applyAlignment="1">
      <alignment horizontal="center" vertical="center" wrapText="1"/>
    </xf>
    <xf numFmtId="3" fontId="2" fillId="16" borderId="5" xfId="0" applyNumberFormat="1" applyFont="1" applyFill="1" applyBorder="1" applyAlignment="1">
      <alignment horizontal="center"/>
    </xf>
    <xf numFmtId="3" fontId="2" fillId="16" borderId="6" xfId="0" applyNumberFormat="1" applyFont="1" applyFill="1" applyBorder="1" applyAlignment="1">
      <alignment horizontal="center"/>
    </xf>
    <xf numFmtId="3" fontId="2" fillId="16" borderId="7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3" fontId="6" fillId="2" borderId="8" xfId="0" applyNumberFormat="1" applyFont="1" applyFill="1" applyBorder="1" applyAlignment="1">
      <alignment horizontal="center" vertical="center" wrapText="1"/>
    </xf>
    <xf numFmtId="3" fontId="6" fillId="2" borderId="0" xfId="0" applyNumberFormat="1" applyFont="1" applyFill="1" applyBorder="1" applyAlignment="1">
      <alignment horizontal="center" vertical="center" wrapText="1"/>
    </xf>
    <xf numFmtId="3" fontId="6" fillId="2" borderId="9" xfId="0" applyNumberFormat="1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6" fillId="16" borderId="1" xfId="0" applyFont="1" applyFill="1" applyBorder="1" applyAlignment="1">
      <alignment horizontal="center" wrapText="1"/>
    </xf>
    <xf numFmtId="0" fontId="6" fillId="9" borderId="1" xfId="0" applyFont="1" applyFill="1" applyBorder="1" applyAlignment="1">
      <alignment horizontal="center" wrapText="1"/>
    </xf>
    <xf numFmtId="0" fontId="2" fillId="16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5" fillId="7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19" borderId="1" xfId="0" applyFont="1" applyFill="1" applyBorder="1" applyAlignment="1">
      <alignment horizontal="center" vertical="center" wrapText="1"/>
    </xf>
    <xf numFmtId="0" fontId="2" fillId="19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12" fillId="19" borderId="5" xfId="0" applyNumberFormat="1" applyFont="1" applyFill="1" applyBorder="1" applyAlignment="1">
      <alignment horizontal="center" vertical="center" wrapText="1"/>
    </xf>
    <xf numFmtId="3" fontId="12" fillId="19" borderId="6" xfId="0" applyNumberFormat="1" applyFont="1" applyFill="1" applyBorder="1" applyAlignment="1">
      <alignment horizontal="center" vertical="center" wrapText="1"/>
    </xf>
    <xf numFmtId="3" fontId="12" fillId="19" borderId="7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3" fontId="12" fillId="17" borderId="5" xfId="0" applyNumberFormat="1" applyFont="1" applyFill="1" applyBorder="1" applyAlignment="1">
      <alignment horizontal="center" vertical="center" wrapText="1"/>
    </xf>
    <xf numFmtId="3" fontId="12" fillId="17" borderId="6" xfId="0" applyNumberFormat="1" applyFont="1" applyFill="1" applyBorder="1" applyAlignment="1">
      <alignment horizontal="center" vertical="center" wrapText="1"/>
    </xf>
    <xf numFmtId="3" fontId="12" fillId="17" borderId="7" xfId="0" applyNumberFormat="1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1" fontId="5" fillId="7" borderId="5" xfId="0" applyNumberFormat="1" applyFont="1" applyFill="1" applyBorder="1" applyAlignment="1">
      <alignment horizontal="center" wrapText="1"/>
    </xf>
    <xf numFmtId="1" fontId="0" fillId="0" borderId="6" xfId="0" applyNumberFormat="1" applyBorder="1" applyAlignment="1">
      <alignment horizontal="center" wrapText="1"/>
    </xf>
    <xf numFmtId="1" fontId="0" fillId="0" borderId="7" xfId="0" applyNumberFormat="1" applyBorder="1" applyAlignment="1">
      <alignment horizontal="center" wrapText="1"/>
    </xf>
    <xf numFmtId="0" fontId="6" fillId="12" borderId="1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wrapText="1"/>
    </xf>
    <xf numFmtId="0" fontId="6" fillId="11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wrapText="1"/>
    </xf>
    <xf numFmtId="0" fontId="6" fillId="14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/>
    </xf>
    <xf numFmtId="0" fontId="6" fillId="17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6" fillId="0" borderId="1" xfId="0" applyFont="1" applyBorder="1" applyAlignment="1">
      <alignment horizontal="center"/>
    </xf>
    <xf numFmtId="2" fontId="3" fillId="0" borderId="0" xfId="0" applyNumberFormat="1" applyFont="1" applyAlignment="1">
      <alignment horizontal="center" vertical="center" wrapText="1"/>
    </xf>
    <xf numFmtId="0" fontId="17" fillId="0" borderId="1" xfId="1" applyNumberFormat="1" applyFont="1" applyBorder="1" applyAlignment="1" applyProtection="1">
      <alignment vertical="center" wrapText="1"/>
      <protection locked="0"/>
    </xf>
    <xf numFmtId="0" fontId="17" fillId="15" borderId="1" xfId="1" applyNumberFormat="1" applyFont="1" applyFill="1" applyBorder="1" applyAlignment="1" applyProtection="1">
      <alignment vertical="center" wrapText="1"/>
      <protection locked="0"/>
    </xf>
    <xf numFmtId="0" fontId="17" fillId="25" borderId="1" xfId="0" applyNumberFormat="1" applyFont="1" applyFill="1" applyBorder="1" applyAlignment="1">
      <alignment vertical="center"/>
    </xf>
    <xf numFmtId="0" fontId="19" fillId="2" borderId="1" xfId="0" applyNumberFormat="1" applyFont="1" applyFill="1" applyBorder="1" applyAlignment="1">
      <alignment vertical="center"/>
    </xf>
    <xf numFmtId="0" fontId="17" fillId="11" borderId="1" xfId="0" applyNumberFormat="1" applyFont="1" applyFill="1" applyBorder="1" applyAlignment="1">
      <alignment vertical="center"/>
    </xf>
    <xf numFmtId="0" fontId="17" fillId="13" borderId="1" xfId="0" applyNumberFormat="1" applyFont="1" applyFill="1" applyBorder="1" applyAlignment="1">
      <alignment vertical="center"/>
    </xf>
    <xf numFmtId="0" fontId="17" fillId="2" borderId="1" xfId="0" applyNumberFormat="1" applyFont="1" applyFill="1" applyBorder="1" applyAlignment="1">
      <alignment vertical="center"/>
    </xf>
    <xf numFmtId="41" fontId="17" fillId="17" borderId="1" xfId="3" applyNumberFormat="1" applyFont="1" applyFill="1" applyBorder="1" applyProtection="1">
      <alignment wrapText="1"/>
    </xf>
    <xf numFmtId="3" fontId="19" fillId="0" borderId="1" xfId="0" applyNumberFormat="1" applyFont="1" applyBorder="1" applyAlignment="1">
      <alignment vertical="center"/>
    </xf>
    <xf numFmtId="3" fontId="17" fillId="0" borderId="1" xfId="0" applyNumberFormat="1" applyFont="1" applyBorder="1" applyAlignment="1">
      <alignment horizontal="right" vertical="center"/>
    </xf>
    <xf numFmtId="43" fontId="2" fillId="0" borderId="2" xfId="1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vertical="center" wrapText="1"/>
      <protection locked="0"/>
    </xf>
    <xf numFmtId="3" fontId="2" fillId="0" borderId="2" xfId="0" applyNumberFormat="1" applyFont="1" applyFill="1" applyBorder="1" applyAlignment="1" applyProtection="1">
      <alignment vertical="center" wrapText="1"/>
      <protection locked="0"/>
    </xf>
    <xf numFmtId="3" fontId="18" fillId="22" borderId="1" xfId="1" applyNumberFormat="1" applyFont="1" applyFill="1" applyBorder="1" applyAlignment="1" applyProtection="1">
      <alignment vertical="center" wrapText="1"/>
      <protection locked="0"/>
    </xf>
    <xf numFmtId="3" fontId="19" fillId="15" borderId="1" xfId="1" applyNumberFormat="1" applyFont="1" applyFill="1" applyBorder="1" applyAlignment="1" applyProtection="1">
      <alignment vertical="center" wrapText="1"/>
      <protection locked="0"/>
    </xf>
  </cellXfs>
  <cellStyles count="8">
    <cellStyle name="Обычный" xfId="0" builtinId="0"/>
    <cellStyle name="Обычный 2" xfId="7"/>
    <cellStyle name="Обычный 3" xfId="5"/>
    <cellStyle name="Обычный Лена" xfId="3"/>
    <cellStyle name="Обычный_Таблицы Мун.заказ Стационар" xfId="4"/>
    <cellStyle name="Процентный" xfId="2" builtinId="5"/>
    <cellStyle name="Финансовый" xfId="1" builtinId="3"/>
    <cellStyle name="Финансовый 3" xfId="6"/>
  </cellStyles>
  <dxfs count="0"/>
  <tableStyles count="0" defaultTableStyle="TableStyleMedium9" defaultPivotStyle="PivotStyleLight16"/>
  <colors>
    <mruColors>
      <color rgb="FFFFFFCC"/>
      <color rgb="FFCC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4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M90"/>
  <sheetViews>
    <sheetView zoomScaleNormal="100" zoomScaleSheetLayoutView="85" workbookViewId="0">
      <pane xSplit="1" ySplit="9" topLeftCell="B10" activePane="bottomRight" state="frozen"/>
      <selection pane="topRight" activeCell="C1" sqref="C1"/>
      <selection pane="bottomLeft" activeCell="A11" sqref="A11"/>
      <selection pane="bottomRight" activeCell="E34" sqref="E34"/>
    </sheetView>
  </sheetViews>
  <sheetFormatPr defaultRowHeight="15.75" x14ac:dyDescent="0.25"/>
  <cols>
    <col min="1" max="1" width="63.5703125" style="61" customWidth="1"/>
    <col min="2" max="2" width="12.28515625" style="61" customWidth="1"/>
    <col min="3" max="3" width="12.140625" style="61" customWidth="1"/>
    <col min="4" max="4" width="13.140625" style="61" hidden="1" customWidth="1"/>
    <col min="5" max="5" width="14.28515625" style="61" customWidth="1"/>
    <col min="6" max="6" width="14.28515625" style="100" customWidth="1"/>
    <col min="7" max="7" width="12.140625" style="61" customWidth="1"/>
    <col min="8" max="8" width="13.140625" style="61" hidden="1" customWidth="1"/>
    <col min="9" max="9" width="14.28515625" style="61" customWidth="1"/>
    <col min="10" max="10" width="16.28515625" style="100" customWidth="1"/>
    <col min="11" max="11" width="12.140625" style="61" customWidth="1"/>
    <col min="12" max="12" width="13.140625" style="61" hidden="1" customWidth="1"/>
    <col min="13" max="13" width="14.28515625" style="61" customWidth="1"/>
    <col min="14" max="14" width="17.85546875" style="100" customWidth="1"/>
    <col min="15" max="15" width="12.140625" style="61" customWidth="1"/>
    <col min="16" max="16" width="13.140625" style="61" hidden="1" customWidth="1"/>
    <col min="17" max="17" width="14.28515625" style="61" customWidth="1"/>
    <col min="18" max="18" width="15.42578125" style="100" customWidth="1"/>
    <col min="19" max="19" width="12.140625" style="61" customWidth="1"/>
    <col min="20" max="20" width="13.140625" style="61" hidden="1" customWidth="1"/>
    <col min="21" max="21" width="14.28515625" style="61" customWidth="1"/>
    <col min="22" max="22" width="11.28515625" style="100" customWidth="1"/>
    <col min="23" max="23" width="12.140625" style="61" customWidth="1"/>
    <col min="24" max="24" width="13.140625" style="61" hidden="1" customWidth="1"/>
    <col min="25" max="25" width="14.28515625" style="61" customWidth="1"/>
    <col min="26" max="26" width="13.5703125" style="100" customWidth="1"/>
    <col min="27" max="27" width="12.140625" style="61" hidden="1" customWidth="1"/>
    <col min="28" max="28" width="13.140625" style="61" hidden="1" customWidth="1"/>
    <col min="29" max="29" width="14.28515625" style="61" hidden="1" customWidth="1"/>
    <col min="30" max="30" width="11.28515625" style="61" hidden="1" customWidth="1"/>
    <col min="31" max="31" width="12.140625" style="61" customWidth="1"/>
    <col min="32" max="32" width="13.140625" style="61" hidden="1" customWidth="1"/>
    <col min="33" max="33" width="14.28515625" style="61" customWidth="1"/>
    <col min="34" max="34" width="15.140625" style="100" customWidth="1"/>
    <col min="35" max="35" width="12.140625" style="61" customWidth="1"/>
    <col min="36" max="36" width="13.140625" style="61" hidden="1" customWidth="1"/>
    <col min="37" max="37" width="14.28515625" style="61" customWidth="1"/>
    <col min="38" max="38" width="16.28515625" style="100" customWidth="1"/>
    <col min="39" max="39" width="12.140625" style="61" customWidth="1"/>
    <col min="40" max="40" width="13.140625" style="61" hidden="1" customWidth="1"/>
    <col min="41" max="41" width="14.28515625" style="61" customWidth="1"/>
    <col min="42" max="42" width="15.5703125" style="100" customWidth="1"/>
    <col min="43" max="43" width="12.140625" style="61" customWidth="1"/>
    <col min="44" max="44" width="13.140625" style="61" hidden="1" customWidth="1"/>
    <col min="45" max="45" width="14.28515625" style="61" customWidth="1"/>
    <col min="46" max="46" width="11.28515625" style="100" customWidth="1"/>
    <col min="47" max="47" width="12.140625" style="61" customWidth="1"/>
    <col min="48" max="48" width="13.140625" style="61" hidden="1" customWidth="1"/>
    <col min="49" max="49" width="14.28515625" style="61" customWidth="1"/>
    <col min="50" max="50" width="11.28515625" style="100" customWidth="1"/>
    <col min="51" max="51" width="12.140625" style="61" hidden="1" customWidth="1"/>
    <col min="52" max="52" width="13.140625" style="61" hidden="1" customWidth="1"/>
    <col min="53" max="53" width="14.28515625" style="61" hidden="1" customWidth="1"/>
    <col min="54" max="54" width="11.28515625" style="61" hidden="1" customWidth="1"/>
    <col min="55" max="55" width="12.140625" style="61" customWidth="1"/>
    <col min="56" max="56" width="13.140625" style="61" hidden="1" customWidth="1"/>
    <col min="57" max="57" width="14.28515625" style="61" customWidth="1"/>
    <col min="58" max="58" width="15.5703125" style="100" customWidth="1"/>
    <col min="59" max="59" width="12.140625" style="61" customWidth="1"/>
    <col min="60" max="60" width="13.140625" style="61" hidden="1" customWidth="1"/>
    <col min="61" max="61" width="14.28515625" style="61" customWidth="1"/>
    <col min="62" max="62" width="15.28515625" style="61" customWidth="1"/>
    <col min="63" max="70" width="15.28515625" style="61" hidden="1" customWidth="1"/>
    <col min="71" max="71" width="14.140625" style="61" customWidth="1"/>
    <col min="72" max="72" width="15" style="61" hidden="1" customWidth="1"/>
    <col min="73" max="73" width="14.28515625" style="61" customWidth="1"/>
    <col min="74" max="74" width="11.28515625" style="100" customWidth="1"/>
    <col min="75" max="75" width="9.140625" style="61"/>
    <col min="76" max="76" width="10.28515625" style="61" customWidth="1"/>
    <col min="77" max="16384" width="9.140625" style="61"/>
  </cols>
  <sheetData>
    <row r="1" spans="1:91" ht="37.5" customHeight="1" x14ac:dyDescent="0.25">
      <c r="A1" s="404" t="s">
        <v>265</v>
      </c>
      <c r="B1" s="404"/>
      <c r="C1" s="404"/>
      <c r="D1" s="404"/>
      <c r="E1" s="404"/>
      <c r="F1" s="404"/>
      <c r="G1" s="404"/>
      <c r="H1" s="404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</row>
    <row r="2" spans="1:91" x14ac:dyDescent="0.25">
      <c r="A2" s="404"/>
      <c r="B2" s="404"/>
      <c r="C2" s="404"/>
      <c r="D2" s="404"/>
      <c r="E2" s="404"/>
      <c r="F2" s="404"/>
      <c r="G2" s="404"/>
      <c r="H2" s="404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</row>
    <row r="3" spans="1:91" x14ac:dyDescent="0.25">
      <c r="A3" s="49"/>
      <c r="B3" s="49"/>
      <c r="C3" s="49"/>
      <c r="D3" s="49"/>
      <c r="E3" s="49"/>
      <c r="F3" s="243"/>
    </row>
    <row r="4" spans="1:91" s="62" customFormat="1" ht="15.75" customHeight="1" x14ac:dyDescent="0.25">
      <c r="A4" s="50" t="s">
        <v>113</v>
      </c>
      <c r="B4" s="384"/>
      <c r="C4" s="383">
        <v>1</v>
      </c>
      <c r="D4" s="383"/>
      <c r="E4" s="383"/>
      <c r="F4" s="383"/>
      <c r="G4" s="378">
        <v>2</v>
      </c>
      <c r="H4" s="378"/>
      <c r="I4" s="378"/>
      <c r="J4" s="378"/>
      <c r="K4" s="390">
        <v>3</v>
      </c>
      <c r="L4" s="390"/>
      <c r="M4" s="390"/>
      <c r="N4" s="390"/>
      <c r="O4" s="383">
        <v>4</v>
      </c>
      <c r="P4" s="383"/>
      <c r="Q4" s="383"/>
      <c r="R4" s="383"/>
      <c r="S4" s="378">
        <v>5</v>
      </c>
      <c r="T4" s="378"/>
      <c r="U4" s="378"/>
      <c r="V4" s="378"/>
      <c r="W4" s="390">
        <v>6</v>
      </c>
      <c r="X4" s="390"/>
      <c r="Y4" s="390"/>
      <c r="Z4" s="390"/>
      <c r="AA4" s="398">
        <v>7</v>
      </c>
      <c r="AB4" s="399"/>
      <c r="AC4" s="399"/>
      <c r="AD4" s="400"/>
      <c r="AE4" s="378">
        <v>8</v>
      </c>
      <c r="AF4" s="378"/>
      <c r="AG4" s="378"/>
      <c r="AH4" s="378"/>
      <c r="AI4" s="390">
        <v>9</v>
      </c>
      <c r="AJ4" s="390"/>
      <c r="AK4" s="390"/>
      <c r="AL4" s="390"/>
      <c r="AM4" s="383">
        <v>10</v>
      </c>
      <c r="AN4" s="383"/>
      <c r="AO4" s="383"/>
      <c r="AP4" s="383"/>
      <c r="AQ4" s="378">
        <v>11</v>
      </c>
      <c r="AR4" s="378"/>
      <c r="AS4" s="378"/>
      <c r="AT4" s="378"/>
      <c r="AU4" s="384">
        <v>12</v>
      </c>
      <c r="AV4" s="384"/>
      <c r="AW4" s="384"/>
      <c r="AX4" s="384"/>
      <c r="AY4" s="383">
        <v>13</v>
      </c>
      <c r="AZ4" s="383"/>
      <c r="BA4" s="383"/>
      <c r="BB4" s="383"/>
      <c r="BC4" s="378">
        <v>14</v>
      </c>
      <c r="BD4" s="378"/>
      <c r="BE4" s="378"/>
      <c r="BF4" s="378"/>
      <c r="BG4" s="376">
        <v>15</v>
      </c>
      <c r="BH4" s="376"/>
      <c r="BI4" s="376"/>
      <c r="BJ4" s="376"/>
      <c r="BK4" s="376">
        <v>16</v>
      </c>
      <c r="BL4" s="376"/>
      <c r="BM4" s="376"/>
      <c r="BN4" s="376"/>
      <c r="BO4" s="376">
        <v>17</v>
      </c>
      <c r="BP4" s="376"/>
      <c r="BQ4" s="376"/>
      <c r="BR4" s="376"/>
      <c r="BS4" s="379" t="s">
        <v>18</v>
      </c>
      <c r="BT4" s="380"/>
      <c r="BU4" s="380"/>
      <c r="BV4" s="380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</row>
    <row r="5" spans="1:91" s="62" customFormat="1" ht="15.75" customHeight="1" x14ac:dyDescent="0.25">
      <c r="A5" s="50" t="s">
        <v>114</v>
      </c>
      <c r="B5" s="384"/>
      <c r="C5" s="396" t="s">
        <v>211</v>
      </c>
      <c r="D5" s="396"/>
      <c r="E5" s="396"/>
      <c r="F5" s="396"/>
      <c r="G5" s="377" t="s">
        <v>212</v>
      </c>
      <c r="H5" s="377"/>
      <c r="I5" s="377"/>
      <c r="J5" s="377"/>
      <c r="K5" s="392" t="s">
        <v>213</v>
      </c>
      <c r="L5" s="392"/>
      <c r="M5" s="392"/>
      <c r="N5" s="392"/>
      <c r="O5" s="397" t="s">
        <v>214</v>
      </c>
      <c r="P5" s="397"/>
      <c r="Q5" s="397"/>
      <c r="R5" s="397"/>
      <c r="S5" s="377" t="s">
        <v>215</v>
      </c>
      <c r="T5" s="377"/>
      <c r="U5" s="377"/>
      <c r="V5" s="377"/>
      <c r="W5" s="392">
        <v>5155001</v>
      </c>
      <c r="X5" s="392"/>
      <c r="Y5" s="392"/>
      <c r="Z5" s="392"/>
      <c r="AA5" s="401" t="s">
        <v>216</v>
      </c>
      <c r="AB5" s="402"/>
      <c r="AC5" s="402"/>
      <c r="AD5" s="403"/>
      <c r="AE5" s="377" t="s">
        <v>209</v>
      </c>
      <c r="AF5" s="377"/>
      <c r="AG5" s="377"/>
      <c r="AH5" s="377"/>
      <c r="AI5" s="392" t="s">
        <v>217</v>
      </c>
      <c r="AJ5" s="392"/>
      <c r="AK5" s="392"/>
      <c r="AL5" s="392"/>
      <c r="AM5" s="397" t="s">
        <v>218</v>
      </c>
      <c r="AN5" s="397"/>
      <c r="AO5" s="397"/>
      <c r="AP5" s="397"/>
      <c r="AQ5" s="377" t="s">
        <v>219</v>
      </c>
      <c r="AR5" s="377"/>
      <c r="AS5" s="377"/>
      <c r="AT5" s="377"/>
      <c r="AU5" s="392" t="s">
        <v>220</v>
      </c>
      <c r="AV5" s="392"/>
      <c r="AW5" s="392"/>
      <c r="AX5" s="392"/>
      <c r="AY5" s="396" t="s">
        <v>210</v>
      </c>
      <c r="AZ5" s="396"/>
      <c r="BA5" s="396"/>
      <c r="BB5" s="396"/>
      <c r="BC5" s="391" t="s">
        <v>221</v>
      </c>
      <c r="BD5" s="391"/>
      <c r="BE5" s="391"/>
      <c r="BF5" s="391"/>
      <c r="BG5" s="377" t="s">
        <v>222</v>
      </c>
      <c r="BH5" s="377"/>
      <c r="BI5" s="377"/>
      <c r="BJ5" s="377"/>
      <c r="BK5" s="377" t="s">
        <v>223</v>
      </c>
      <c r="BL5" s="377"/>
      <c r="BM5" s="377"/>
      <c r="BN5" s="377"/>
      <c r="BO5" s="377" t="s">
        <v>224</v>
      </c>
      <c r="BP5" s="377"/>
      <c r="BQ5" s="377"/>
      <c r="BR5" s="377"/>
      <c r="BS5" s="379"/>
      <c r="BT5" s="380"/>
      <c r="BU5" s="380"/>
      <c r="BV5" s="380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</row>
    <row r="6" spans="1:91" s="62" customFormat="1" ht="30.75" customHeight="1" x14ac:dyDescent="0.25">
      <c r="B6" s="384"/>
      <c r="C6" s="378" t="s">
        <v>307</v>
      </c>
      <c r="D6" s="378"/>
      <c r="E6" s="378"/>
      <c r="F6" s="378"/>
      <c r="G6" s="390" t="s">
        <v>306</v>
      </c>
      <c r="H6" s="390"/>
      <c r="I6" s="390"/>
      <c r="J6" s="390"/>
      <c r="K6" s="383" t="s">
        <v>305</v>
      </c>
      <c r="L6" s="383"/>
      <c r="M6" s="383"/>
      <c r="N6" s="383"/>
      <c r="O6" s="378" t="s">
        <v>308</v>
      </c>
      <c r="P6" s="378"/>
      <c r="Q6" s="378"/>
      <c r="R6" s="378"/>
      <c r="S6" s="390" t="s">
        <v>309</v>
      </c>
      <c r="T6" s="390"/>
      <c r="U6" s="390"/>
      <c r="V6" s="390"/>
      <c r="W6" s="378" t="s">
        <v>190</v>
      </c>
      <c r="X6" s="378"/>
      <c r="Y6" s="378"/>
      <c r="Z6" s="378"/>
      <c r="AA6" s="387" t="s">
        <v>9</v>
      </c>
      <c r="AB6" s="388"/>
      <c r="AC6" s="388"/>
      <c r="AD6" s="389"/>
      <c r="AE6" s="390" t="s">
        <v>310</v>
      </c>
      <c r="AF6" s="390"/>
      <c r="AG6" s="390"/>
      <c r="AH6" s="390"/>
      <c r="AI6" s="383" t="s">
        <v>311</v>
      </c>
      <c r="AJ6" s="383"/>
      <c r="AK6" s="383"/>
      <c r="AL6" s="383"/>
      <c r="AM6" s="378" t="s">
        <v>312</v>
      </c>
      <c r="AN6" s="378"/>
      <c r="AO6" s="378"/>
      <c r="AP6" s="378"/>
      <c r="AQ6" s="390" t="s">
        <v>313</v>
      </c>
      <c r="AR6" s="390"/>
      <c r="AS6" s="390"/>
      <c r="AT6" s="390"/>
      <c r="AU6" s="383" t="s">
        <v>314</v>
      </c>
      <c r="AV6" s="383"/>
      <c r="AW6" s="383"/>
      <c r="AX6" s="383"/>
      <c r="AY6" s="378" t="s">
        <v>115</v>
      </c>
      <c r="AZ6" s="378"/>
      <c r="BA6" s="378"/>
      <c r="BB6" s="378"/>
      <c r="BC6" s="376" t="s">
        <v>315</v>
      </c>
      <c r="BD6" s="376"/>
      <c r="BE6" s="376"/>
      <c r="BF6" s="376"/>
      <c r="BG6" s="378" t="s">
        <v>17</v>
      </c>
      <c r="BH6" s="378"/>
      <c r="BI6" s="378"/>
      <c r="BJ6" s="378"/>
      <c r="BK6" s="378" t="s">
        <v>188</v>
      </c>
      <c r="BL6" s="378"/>
      <c r="BM6" s="378"/>
      <c r="BN6" s="378"/>
      <c r="BO6" s="378" t="s">
        <v>192</v>
      </c>
      <c r="BP6" s="378"/>
      <c r="BQ6" s="378"/>
      <c r="BR6" s="378"/>
      <c r="BS6" s="379"/>
      <c r="BT6" s="380"/>
      <c r="BU6" s="380"/>
      <c r="BV6" s="380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</row>
    <row r="7" spans="1:91" x14ac:dyDescent="0.25">
      <c r="A7" s="126">
        <v>12</v>
      </c>
      <c r="B7" s="52"/>
      <c r="C7" s="375" t="s">
        <v>4</v>
      </c>
      <c r="D7" s="375"/>
      <c r="E7" s="375"/>
      <c r="F7" s="375"/>
      <c r="G7" s="375" t="s">
        <v>5</v>
      </c>
      <c r="H7" s="375"/>
      <c r="I7" s="375"/>
      <c r="J7" s="375"/>
      <c r="K7" s="375" t="s">
        <v>6</v>
      </c>
      <c r="L7" s="375"/>
      <c r="M7" s="375"/>
      <c r="N7" s="375"/>
      <c r="O7" s="375" t="s">
        <v>7</v>
      </c>
      <c r="P7" s="375"/>
      <c r="Q7" s="375"/>
      <c r="R7" s="375"/>
      <c r="S7" s="375" t="s">
        <v>8</v>
      </c>
      <c r="T7" s="375"/>
      <c r="U7" s="375"/>
      <c r="V7" s="375"/>
      <c r="W7" s="375">
        <v>301</v>
      </c>
      <c r="X7" s="375"/>
      <c r="Y7" s="375"/>
      <c r="Z7" s="375"/>
      <c r="AA7" s="393" t="s">
        <v>9</v>
      </c>
      <c r="AB7" s="394"/>
      <c r="AC7" s="394"/>
      <c r="AD7" s="395"/>
      <c r="AE7" s="375" t="s">
        <v>10</v>
      </c>
      <c r="AF7" s="375"/>
      <c r="AG7" s="375"/>
      <c r="AH7" s="375"/>
      <c r="AI7" s="375" t="s">
        <v>11</v>
      </c>
      <c r="AJ7" s="375"/>
      <c r="AK7" s="375"/>
      <c r="AL7" s="375"/>
      <c r="AM7" s="375" t="s">
        <v>12</v>
      </c>
      <c r="AN7" s="375"/>
      <c r="AO7" s="375"/>
      <c r="AP7" s="375"/>
      <c r="AQ7" s="375" t="s">
        <v>13</v>
      </c>
      <c r="AR7" s="375"/>
      <c r="AS7" s="375"/>
      <c r="AT7" s="375"/>
      <c r="AU7" s="405" t="s">
        <v>14</v>
      </c>
      <c r="AV7" s="405"/>
      <c r="AW7" s="405"/>
      <c r="AX7" s="405"/>
      <c r="AY7" s="375" t="s">
        <v>15</v>
      </c>
      <c r="AZ7" s="375"/>
      <c r="BA7" s="375"/>
      <c r="BB7" s="375"/>
      <c r="BC7" s="375" t="s">
        <v>16</v>
      </c>
      <c r="BD7" s="375"/>
      <c r="BE7" s="375"/>
      <c r="BF7" s="375"/>
      <c r="BG7" s="375" t="s">
        <v>17</v>
      </c>
      <c r="BH7" s="375"/>
      <c r="BI7" s="375"/>
      <c r="BJ7" s="375"/>
      <c r="BK7" s="375" t="s">
        <v>189</v>
      </c>
      <c r="BL7" s="375"/>
      <c r="BM7" s="375"/>
      <c r="BN7" s="375"/>
      <c r="BO7" s="375" t="s">
        <v>191</v>
      </c>
      <c r="BP7" s="375"/>
      <c r="BQ7" s="375"/>
      <c r="BR7" s="375"/>
      <c r="BS7" s="381"/>
      <c r="BT7" s="382"/>
      <c r="BU7" s="382"/>
      <c r="BV7" s="382"/>
    </row>
    <row r="8" spans="1:91" ht="30" customHeight="1" x14ac:dyDescent="0.25">
      <c r="A8" s="53" t="s">
        <v>0</v>
      </c>
      <c r="B8" s="53" t="s">
        <v>340</v>
      </c>
      <c r="C8" s="372" t="s">
        <v>2</v>
      </c>
      <c r="D8" s="373"/>
      <c r="E8" s="373"/>
      <c r="F8" s="374"/>
      <c r="G8" s="372" t="s">
        <v>2</v>
      </c>
      <c r="H8" s="373"/>
      <c r="I8" s="373"/>
      <c r="J8" s="374"/>
      <c r="K8" s="372" t="s">
        <v>2</v>
      </c>
      <c r="L8" s="373"/>
      <c r="M8" s="373"/>
      <c r="N8" s="374"/>
      <c r="O8" s="372" t="s">
        <v>2</v>
      </c>
      <c r="P8" s="373"/>
      <c r="Q8" s="373"/>
      <c r="R8" s="374"/>
      <c r="S8" s="372" t="s">
        <v>2</v>
      </c>
      <c r="T8" s="373"/>
      <c r="U8" s="373"/>
      <c r="V8" s="374"/>
      <c r="W8" s="372" t="s">
        <v>2</v>
      </c>
      <c r="X8" s="373"/>
      <c r="Y8" s="373"/>
      <c r="Z8" s="374"/>
      <c r="AA8" s="372" t="s">
        <v>2</v>
      </c>
      <c r="AB8" s="385"/>
      <c r="AC8" s="385"/>
      <c r="AD8" s="386"/>
      <c r="AE8" s="372" t="s">
        <v>2</v>
      </c>
      <c r="AF8" s="373"/>
      <c r="AG8" s="373"/>
      <c r="AH8" s="374"/>
      <c r="AI8" s="372" t="s">
        <v>2</v>
      </c>
      <c r="AJ8" s="373"/>
      <c r="AK8" s="373"/>
      <c r="AL8" s="374"/>
      <c r="AM8" s="372" t="s">
        <v>2</v>
      </c>
      <c r="AN8" s="373"/>
      <c r="AO8" s="373"/>
      <c r="AP8" s="374"/>
      <c r="AQ8" s="372" t="s">
        <v>2</v>
      </c>
      <c r="AR8" s="373"/>
      <c r="AS8" s="373"/>
      <c r="AT8" s="374"/>
      <c r="AU8" s="372" t="s">
        <v>2</v>
      </c>
      <c r="AV8" s="373"/>
      <c r="AW8" s="373"/>
      <c r="AX8" s="374"/>
      <c r="AY8" s="372" t="s">
        <v>2</v>
      </c>
      <c r="AZ8" s="373"/>
      <c r="BA8" s="373"/>
      <c r="BB8" s="374"/>
      <c r="BC8" s="372" t="s">
        <v>2</v>
      </c>
      <c r="BD8" s="373"/>
      <c r="BE8" s="373"/>
      <c r="BF8" s="374"/>
      <c r="BG8" s="372" t="s">
        <v>2</v>
      </c>
      <c r="BH8" s="373"/>
      <c r="BI8" s="373"/>
      <c r="BJ8" s="374"/>
      <c r="BK8" s="372" t="s">
        <v>2</v>
      </c>
      <c r="BL8" s="373"/>
      <c r="BM8" s="373"/>
      <c r="BN8" s="374"/>
      <c r="BO8" s="372" t="s">
        <v>2</v>
      </c>
      <c r="BP8" s="373"/>
      <c r="BQ8" s="373"/>
      <c r="BR8" s="374"/>
      <c r="BS8" s="372" t="s">
        <v>2</v>
      </c>
      <c r="BT8" s="373"/>
      <c r="BU8" s="373"/>
      <c r="BV8" s="374"/>
      <c r="BW8" s="370"/>
      <c r="BX8" s="371"/>
      <c r="BY8" s="371"/>
    </row>
    <row r="9" spans="1:91" s="63" customFormat="1" ht="76.5" customHeight="1" x14ac:dyDescent="0.25">
      <c r="A9" s="54"/>
      <c r="B9" s="54"/>
      <c r="C9" s="55" t="s">
        <v>181</v>
      </c>
      <c r="D9" s="55" t="s">
        <v>353</v>
      </c>
      <c r="E9" s="55" t="s">
        <v>182</v>
      </c>
      <c r="F9" s="146" t="s">
        <v>183</v>
      </c>
      <c r="G9" s="55" t="s">
        <v>181</v>
      </c>
      <c r="H9" s="55" t="s">
        <v>353</v>
      </c>
      <c r="I9" s="55" t="s">
        <v>182</v>
      </c>
      <c r="J9" s="146" t="s">
        <v>183</v>
      </c>
      <c r="K9" s="55" t="s">
        <v>181</v>
      </c>
      <c r="L9" s="55" t="s">
        <v>353</v>
      </c>
      <c r="M9" s="55" t="s">
        <v>182</v>
      </c>
      <c r="N9" s="146" t="s">
        <v>183</v>
      </c>
      <c r="O9" s="55" t="s">
        <v>181</v>
      </c>
      <c r="P9" s="55" t="s">
        <v>353</v>
      </c>
      <c r="Q9" s="55" t="s">
        <v>182</v>
      </c>
      <c r="R9" s="146" t="s">
        <v>183</v>
      </c>
      <c r="S9" s="55" t="s">
        <v>181</v>
      </c>
      <c r="T9" s="55" t="s">
        <v>353</v>
      </c>
      <c r="U9" s="55" t="s">
        <v>182</v>
      </c>
      <c r="V9" s="146" t="s">
        <v>183</v>
      </c>
      <c r="W9" s="55" t="s">
        <v>181</v>
      </c>
      <c r="X9" s="55" t="s">
        <v>353</v>
      </c>
      <c r="Y9" s="55" t="s">
        <v>182</v>
      </c>
      <c r="Z9" s="146" t="s">
        <v>183</v>
      </c>
      <c r="AA9" s="55" t="s">
        <v>181</v>
      </c>
      <c r="AB9" s="55" t="s">
        <v>353</v>
      </c>
      <c r="AC9" s="55" t="s">
        <v>182</v>
      </c>
      <c r="AD9" s="55" t="s">
        <v>183</v>
      </c>
      <c r="AE9" s="55" t="s">
        <v>181</v>
      </c>
      <c r="AF9" s="55" t="s">
        <v>353</v>
      </c>
      <c r="AG9" s="55" t="s">
        <v>182</v>
      </c>
      <c r="AH9" s="146" t="s">
        <v>183</v>
      </c>
      <c r="AI9" s="55" t="s">
        <v>181</v>
      </c>
      <c r="AJ9" s="55" t="s">
        <v>353</v>
      </c>
      <c r="AK9" s="55" t="s">
        <v>182</v>
      </c>
      <c r="AL9" s="146" t="s">
        <v>183</v>
      </c>
      <c r="AM9" s="55" t="s">
        <v>181</v>
      </c>
      <c r="AN9" s="55" t="s">
        <v>353</v>
      </c>
      <c r="AO9" s="55" t="s">
        <v>182</v>
      </c>
      <c r="AP9" s="146" t="s">
        <v>183</v>
      </c>
      <c r="AQ9" s="55" t="s">
        <v>181</v>
      </c>
      <c r="AR9" s="55" t="s">
        <v>353</v>
      </c>
      <c r="AS9" s="55" t="s">
        <v>182</v>
      </c>
      <c r="AT9" s="146" t="s">
        <v>183</v>
      </c>
      <c r="AU9" s="55" t="s">
        <v>181</v>
      </c>
      <c r="AV9" s="55" t="s">
        <v>353</v>
      </c>
      <c r="AW9" s="55" t="s">
        <v>182</v>
      </c>
      <c r="AX9" s="146" t="s">
        <v>183</v>
      </c>
      <c r="AY9" s="55" t="s">
        <v>181</v>
      </c>
      <c r="AZ9" s="55" t="s">
        <v>353</v>
      </c>
      <c r="BA9" s="55" t="s">
        <v>182</v>
      </c>
      <c r="BB9" s="55" t="s">
        <v>183</v>
      </c>
      <c r="BC9" s="55" t="s">
        <v>181</v>
      </c>
      <c r="BD9" s="55" t="s">
        <v>353</v>
      </c>
      <c r="BE9" s="55" t="s">
        <v>182</v>
      </c>
      <c r="BF9" s="146" t="s">
        <v>183</v>
      </c>
      <c r="BG9" s="55" t="s">
        <v>181</v>
      </c>
      <c r="BH9" s="55" t="s">
        <v>353</v>
      </c>
      <c r="BI9" s="55" t="s">
        <v>182</v>
      </c>
      <c r="BJ9" s="55" t="s">
        <v>183</v>
      </c>
      <c r="BK9" s="55" t="s">
        <v>181</v>
      </c>
      <c r="BL9" s="55" t="s">
        <v>353</v>
      </c>
      <c r="BM9" s="55" t="s">
        <v>182</v>
      </c>
      <c r="BN9" s="55" t="s">
        <v>183</v>
      </c>
      <c r="BO9" s="55" t="s">
        <v>181</v>
      </c>
      <c r="BP9" s="55" t="s">
        <v>353</v>
      </c>
      <c r="BQ9" s="55" t="s">
        <v>182</v>
      </c>
      <c r="BR9" s="55" t="s">
        <v>183</v>
      </c>
      <c r="BS9" s="55" t="s">
        <v>181</v>
      </c>
      <c r="BT9" s="55" t="s">
        <v>353</v>
      </c>
      <c r="BU9" s="55" t="s">
        <v>182</v>
      </c>
      <c r="BV9" s="146" t="s">
        <v>183</v>
      </c>
    </row>
    <row r="10" spans="1:91" ht="15.75" customHeight="1" x14ac:dyDescent="0.25">
      <c r="A10" s="56">
        <v>1</v>
      </c>
      <c r="B10" s="56">
        <v>2</v>
      </c>
      <c r="C10" s="56">
        <v>4</v>
      </c>
      <c r="D10" s="56">
        <v>5</v>
      </c>
      <c r="E10" s="56">
        <v>6</v>
      </c>
      <c r="F10" s="166">
        <v>7</v>
      </c>
      <c r="G10" s="56">
        <v>4</v>
      </c>
      <c r="H10" s="56">
        <v>5</v>
      </c>
      <c r="I10" s="56">
        <v>6</v>
      </c>
      <c r="J10" s="166">
        <v>7</v>
      </c>
      <c r="K10" s="56">
        <v>4</v>
      </c>
      <c r="L10" s="56">
        <v>5</v>
      </c>
      <c r="M10" s="56">
        <v>6</v>
      </c>
      <c r="N10" s="166">
        <v>7</v>
      </c>
      <c r="O10" s="56">
        <v>4</v>
      </c>
      <c r="P10" s="56">
        <v>5</v>
      </c>
      <c r="Q10" s="56">
        <v>6</v>
      </c>
      <c r="R10" s="166">
        <v>7</v>
      </c>
      <c r="S10" s="56">
        <v>4</v>
      </c>
      <c r="T10" s="56">
        <v>5</v>
      </c>
      <c r="U10" s="56">
        <v>6</v>
      </c>
      <c r="V10" s="166">
        <v>7</v>
      </c>
      <c r="W10" s="56">
        <v>4</v>
      </c>
      <c r="X10" s="56">
        <v>5</v>
      </c>
      <c r="Y10" s="56">
        <v>6</v>
      </c>
      <c r="Z10" s="166">
        <v>7</v>
      </c>
      <c r="AA10" s="56">
        <v>4</v>
      </c>
      <c r="AB10" s="56">
        <v>5</v>
      </c>
      <c r="AC10" s="56">
        <v>6</v>
      </c>
      <c r="AD10" s="166">
        <v>7</v>
      </c>
      <c r="AE10" s="56">
        <v>4</v>
      </c>
      <c r="AF10" s="56">
        <v>5</v>
      </c>
      <c r="AG10" s="56">
        <v>6</v>
      </c>
      <c r="AH10" s="166">
        <v>7</v>
      </c>
      <c r="AI10" s="56">
        <v>4</v>
      </c>
      <c r="AJ10" s="56">
        <v>5</v>
      </c>
      <c r="AK10" s="56">
        <v>6</v>
      </c>
      <c r="AL10" s="166">
        <v>7</v>
      </c>
      <c r="AM10" s="56">
        <v>4</v>
      </c>
      <c r="AN10" s="56">
        <v>5</v>
      </c>
      <c r="AO10" s="56">
        <v>6</v>
      </c>
      <c r="AP10" s="166">
        <v>7</v>
      </c>
      <c r="AQ10" s="56">
        <v>4</v>
      </c>
      <c r="AR10" s="56">
        <v>5</v>
      </c>
      <c r="AS10" s="56">
        <v>6</v>
      </c>
      <c r="AT10" s="166">
        <v>7</v>
      </c>
      <c r="AU10" s="56">
        <v>4</v>
      </c>
      <c r="AV10" s="56">
        <v>5</v>
      </c>
      <c r="AW10" s="56">
        <v>6</v>
      </c>
      <c r="AX10" s="166">
        <v>7</v>
      </c>
      <c r="AY10" s="56">
        <v>4</v>
      </c>
      <c r="AZ10" s="56">
        <v>5</v>
      </c>
      <c r="BA10" s="56">
        <v>6</v>
      </c>
      <c r="BB10" s="166">
        <v>7</v>
      </c>
      <c r="BC10" s="56">
        <v>4</v>
      </c>
      <c r="BD10" s="56">
        <v>5</v>
      </c>
      <c r="BE10" s="56">
        <v>6</v>
      </c>
      <c r="BF10" s="166">
        <v>7</v>
      </c>
      <c r="BG10" s="56">
        <v>4</v>
      </c>
      <c r="BH10" s="56">
        <v>5</v>
      </c>
      <c r="BI10" s="56">
        <v>6</v>
      </c>
      <c r="BJ10" s="166">
        <v>7</v>
      </c>
      <c r="BK10" s="56">
        <v>4</v>
      </c>
      <c r="BL10" s="56">
        <v>5</v>
      </c>
      <c r="BM10" s="56">
        <v>6</v>
      </c>
      <c r="BN10" s="166">
        <v>7</v>
      </c>
      <c r="BO10" s="56">
        <v>4</v>
      </c>
      <c r="BP10" s="56">
        <v>5</v>
      </c>
      <c r="BQ10" s="56">
        <v>6</v>
      </c>
      <c r="BR10" s="166">
        <v>7</v>
      </c>
      <c r="BS10" s="56">
        <v>4</v>
      </c>
      <c r="BT10" s="56">
        <v>5</v>
      </c>
      <c r="BU10" s="56">
        <v>6</v>
      </c>
      <c r="BV10" s="166">
        <v>7</v>
      </c>
    </row>
    <row r="11" spans="1:91" x14ac:dyDescent="0.25">
      <c r="A11" s="27" t="s">
        <v>124</v>
      </c>
      <c r="B11" s="57"/>
      <c r="C11" s="57"/>
      <c r="D11" s="57"/>
      <c r="E11" s="57"/>
      <c r="F11" s="155"/>
      <c r="G11" s="57"/>
      <c r="H11" s="57"/>
      <c r="I11" s="57"/>
      <c r="J11" s="155"/>
      <c r="K11" s="57"/>
      <c r="L11" s="57"/>
      <c r="M11" s="57"/>
      <c r="N11" s="155"/>
      <c r="O11" s="57"/>
      <c r="P11" s="57"/>
      <c r="Q11" s="57"/>
      <c r="R11" s="155"/>
      <c r="S11" s="57"/>
      <c r="T11" s="57"/>
      <c r="U11" s="57"/>
      <c r="V11" s="155"/>
      <c r="W11" s="57"/>
      <c r="X11" s="57"/>
      <c r="Y11" s="57"/>
      <c r="Z11" s="155"/>
      <c r="AA11" s="57"/>
      <c r="AB11" s="57"/>
      <c r="AC11" s="57"/>
      <c r="AD11" s="57"/>
      <c r="AE11" s="57"/>
      <c r="AF11" s="57"/>
      <c r="AG11" s="57"/>
      <c r="AH11" s="155"/>
      <c r="AI11" s="57"/>
      <c r="AJ11" s="57"/>
      <c r="AK11" s="57"/>
      <c r="AL11" s="155"/>
      <c r="AM11" s="57"/>
      <c r="AN11" s="57"/>
      <c r="AO11" s="57"/>
      <c r="AP11" s="155"/>
      <c r="AQ11" s="57"/>
      <c r="AR11" s="57"/>
      <c r="AS11" s="57"/>
      <c r="AT11" s="155"/>
      <c r="AU11" s="57"/>
      <c r="AV11" s="57"/>
      <c r="AW11" s="57"/>
      <c r="AX11" s="155"/>
      <c r="AY11" s="57"/>
      <c r="AZ11" s="57"/>
      <c r="BA11" s="57"/>
      <c r="BB11" s="57"/>
      <c r="BC11" s="57"/>
      <c r="BD11" s="57"/>
      <c r="BE11" s="57"/>
      <c r="BF11" s="155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6"/>
      <c r="BT11" s="56"/>
      <c r="BU11" s="56"/>
      <c r="BV11" s="166"/>
    </row>
    <row r="12" spans="1:91" s="64" customFormat="1" ht="14.1" customHeight="1" x14ac:dyDescent="0.25">
      <c r="A12" s="35" t="s">
        <v>125</v>
      </c>
      <c r="B12" s="58" t="s">
        <v>3</v>
      </c>
      <c r="C12" s="77">
        <f>C14+C15+C16+C17</f>
        <v>0</v>
      </c>
      <c r="D12" s="76">
        <f>ROUND(C12/12*$A$7,0)</f>
        <v>0</v>
      </c>
      <c r="E12" s="77">
        <f>E14+E15+E16+E17</f>
        <v>0</v>
      </c>
      <c r="F12" s="117">
        <f>IF(D12=0,0,E12/D12*100)</f>
        <v>0</v>
      </c>
      <c r="G12" s="77">
        <f t="shared" ref="G12" si="0">G14+G15+G16+G17</f>
        <v>0</v>
      </c>
      <c r="H12" s="76">
        <f t="shared" ref="H12:L28" si="1">ROUND(G12/12*$A$7,0)</f>
        <v>0</v>
      </c>
      <c r="I12" s="77">
        <f t="shared" ref="I12" si="2">I14+I15+I16+I17</f>
        <v>0</v>
      </c>
      <c r="J12" s="117">
        <f>IF(H12=0,0,I12/H12*100)</f>
        <v>0</v>
      </c>
      <c r="K12" s="77">
        <f t="shared" ref="K12" si="3">K14+K15+K16+K17</f>
        <v>0</v>
      </c>
      <c r="L12" s="76">
        <f t="shared" ref="L12" si="4">ROUND(K12/12*$A$7,0)</f>
        <v>0</v>
      </c>
      <c r="M12" s="77">
        <f t="shared" ref="M12" si="5">M14+M15+M16+M17</f>
        <v>0</v>
      </c>
      <c r="N12" s="117">
        <f>IF(L12=0,0,M12/L12*100)</f>
        <v>0</v>
      </c>
      <c r="O12" s="77">
        <f t="shared" ref="O12" si="6">O14+O15+O16+O17</f>
        <v>0</v>
      </c>
      <c r="P12" s="76">
        <f t="shared" ref="P12" si="7">ROUND(O12/12*$A$7,0)</f>
        <v>0</v>
      </c>
      <c r="Q12" s="77">
        <f t="shared" ref="Q12" si="8">Q14+Q15+Q16+Q17</f>
        <v>0</v>
      </c>
      <c r="R12" s="117">
        <f>IF(P12=0,0,Q12/P12*100)</f>
        <v>0</v>
      </c>
      <c r="S12" s="77">
        <f t="shared" ref="S12" si="9">S14+S15+S16+S17</f>
        <v>0</v>
      </c>
      <c r="T12" s="76">
        <f t="shared" ref="T12" si="10">ROUND(S12/12*$A$7,0)</f>
        <v>0</v>
      </c>
      <c r="U12" s="77">
        <f t="shared" ref="U12" si="11">U14+U15+U16+U17</f>
        <v>0</v>
      </c>
      <c r="V12" s="117">
        <f>IF(T12=0,0,U12/T12*100)</f>
        <v>0</v>
      </c>
      <c r="W12" s="77">
        <f t="shared" ref="W12:X12" si="12">W14+W15+W16+W17</f>
        <v>3890</v>
      </c>
      <c r="X12" s="77">
        <f t="shared" si="12"/>
        <v>3890</v>
      </c>
      <c r="Y12" s="77">
        <f t="shared" ref="Y12" si="13">Y14+Y15+Y16+Y17</f>
        <v>11082</v>
      </c>
      <c r="Z12" s="117">
        <f>IF(X12=0,0,Y12/X12*100)</f>
        <v>284.88431876606683</v>
      </c>
      <c r="AA12" s="77">
        <f t="shared" ref="AA12" si="14">AA14+AA15+AA16+AA17</f>
        <v>0</v>
      </c>
      <c r="AB12" s="76">
        <f t="shared" ref="AB12" si="15">ROUND(AA12/12*$A$7,0)</f>
        <v>0</v>
      </c>
      <c r="AC12" s="77">
        <f t="shared" ref="AC12" si="16">AC14+AC15+AC16+AC17</f>
        <v>0</v>
      </c>
      <c r="AD12" s="77" t="e">
        <f t="shared" ref="AD12:AD26" si="17">AC12/AB12*100</f>
        <v>#DIV/0!</v>
      </c>
      <c r="AE12" s="77">
        <f t="shared" ref="AE12" si="18">AE14+AE15+AE16+AE17</f>
        <v>0</v>
      </c>
      <c r="AF12" s="76">
        <f t="shared" ref="AF12" si="19">ROUND(AE12/12*$A$7,0)</f>
        <v>0</v>
      </c>
      <c r="AG12" s="77">
        <f t="shared" ref="AG12" si="20">AG14+AG15+AG16+AG17</f>
        <v>0</v>
      </c>
      <c r="AH12" s="117">
        <f>IF(AF12=0,0,AG12/AF12*100)</f>
        <v>0</v>
      </c>
      <c r="AI12" s="77">
        <f t="shared" ref="AI12" si="21">AI14+AI15+AI16+AI17</f>
        <v>0</v>
      </c>
      <c r="AJ12" s="76">
        <f t="shared" ref="AJ12" si="22">ROUND(AI12/12*$A$7,0)</f>
        <v>0</v>
      </c>
      <c r="AK12" s="77">
        <f t="shared" ref="AK12" si="23">AK14+AK15+AK16+AK17</f>
        <v>0</v>
      </c>
      <c r="AL12" s="117">
        <f>IF(AJ12=0,0,AK12/AJ12*100)</f>
        <v>0</v>
      </c>
      <c r="AM12" s="77">
        <f t="shared" ref="AM12" si="24">AM14+AM15+AM16+AM17</f>
        <v>0</v>
      </c>
      <c r="AN12" s="76">
        <f t="shared" ref="AN12" si="25">ROUND(AM12/12*$A$7,0)</f>
        <v>0</v>
      </c>
      <c r="AO12" s="77">
        <f t="shared" ref="AO12" si="26">AO14+AO15+AO16+AO17</f>
        <v>0</v>
      </c>
      <c r="AP12" s="117">
        <f>IF(AN12=0,0,AO12/AN12*100)</f>
        <v>0</v>
      </c>
      <c r="AQ12" s="77">
        <f t="shared" ref="AQ12" si="27">AQ14+AQ15+AQ16+AQ17</f>
        <v>0</v>
      </c>
      <c r="AR12" s="76">
        <f t="shared" ref="AR12" si="28">ROUND(AQ12/12*$A$7,0)</f>
        <v>0</v>
      </c>
      <c r="AS12" s="77">
        <f t="shared" ref="AS12" si="29">AS14+AS15+AS16+AS17</f>
        <v>0</v>
      </c>
      <c r="AT12" s="117">
        <f>IF(AR12=0,0,AS12/AR12*100)</f>
        <v>0</v>
      </c>
      <c r="AU12" s="77">
        <f t="shared" ref="AU12" si="30">AU14+AU15+AU16+AU17</f>
        <v>0</v>
      </c>
      <c r="AV12" s="76">
        <f t="shared" ref="AV12" si="31">ROUND(AU12/12*$A$7,0)</f>
        <v>0</v>
      </c>
      <c r="AW12" s="77">
        <f t="shared" ref="AW12" si="32">AW14+AW15+AW16+AW17</f>
        <v>0</v>
      </c>
      <c r="AX12" s="117">
        <f>IF(AV12=0,0,AW12/AV12*100)</f>
        <v>0</v>
      </c>
      <c r="AY12" s="77">
        <f t="shared" ref="AY12" si="33">AY14+AY15+AY16+AY17</f>
        <v>0</v>
      </c>
      <c r="AZ12" s="76">
        <f t="shared" ref="AZ12" si="34">ROUND(AY12/12*$A$7,0)</f>
        <v>0</v>
      </c>
      <c r="BA12" s="77">
        <f t="shared" ref="BA12" si="35">BA14+BA15+BA16+BA17</f>
        <v>0</v>
      </c>
      <c r="BB12" s="77" t="e">
        <f t="shared" ref="BB12:BB26" si="36">BA12/AZ12*100</f>
        <v>#DIV/0!</v>
      </c>
      <c r="BC12" s="77">
        <f t="shared" ref="BC12" si="37">BC14+BC15+BC16+BC17</f>
        <v>0</v>
      </c>
      <c r="BD12" s="76">
        <f t="shared" ref="BD12" si="38">ROUND(BC12/12*$A$7,0)</f>
        <v>0</v>
      </c>
      <c r="BE12" s="77">
        <f t="shared" ref="BE12" si="39">BE14+BE15+BE16+BE17</f>
        <v>0</v>
      </c>
      <c r="BF12" s="117">
        <f>IF(BD12=0,0,BE12/BD12*100)</f>
        <v>0</v>
      </c>
      <c r="BG12" s="77">
        <f t="shared" ref="BG12" si="40">BG14+BG15+BG16+BG17</f>
        <v>0</v>
      </c>
      <c r="BH12" s="76">
        <f t="shared" ref="BH12" si="41">ROUND(BG12/12*$A$7,0)</f>
        <v>0</v>
      </c>
      <c r="BI12" s="77">
        <f t="shared" ref="BI12" si="42">BI14+BI15+BI16+BI17</f>
        <v>0</v>
      </c>
      <c r="BJ12" s="77"/>
      <c r="BK12" s="77">
        <f t="shared" ref="BK12" si="43">BK14+BK15+BK16+BK17</f>
        <v>0</v>
      </c>
      <c r="BL12" s="76">
        <f t="shared" ref="BL12" si="44">ROUND(BK12/12*$A$7,0)</f>
        <v>0</v>
      </c>
      <c r="BM12" s="77">
        <f t="shared" ref="BM12" si="45">BM14+BM15+BM16+BM17</f>
        <v>0</v>
      </c>
      <c r="BN12" s="77" t="e">
        <f t="shared" ref="BN12:BN26" si="46">BM12/BL12*100</f>
        <v>#DIV/0!</v>
      </c>
      <c r="BO12" s="77">
        <f t="shared" ref="BO12" si="47">BO14+BO15+BO16+BO17</f>
        <v>0</v>
      </c>
      <c r="BP12" s="76">
        <f t="shared" ref="BP12" si="48">ROUND(BO12/12*$A$7,0)</f>
        <v>0</v>
      </c>
      <c r="BQ12" s="77">
        <f t="shared" ref="BQ12" si="49">BQ14+BQ15+BQ16+BQ17</f>
        <v>0</v>
      </c>
      <c r="BR12" s="77" t="e">
        <f t="shared" ref="BR12:BR26" si="50">BQ12/BP12*100</f>
        <v>#DIV/0!</v>
      </c>
      <c r="BS12" s="245">
        <f t="shared" ref="BS12:BS23" si="51">SUM(BG12,BC12,AY12,AU12,AQ12,AM12,AI12,AE12,AA12,W12,S12,O12,K12,G12,C12)+BK12+BO12</f>
        <v>3890</v>
      </c>
      <c r="BT12" s="245">
        <f t="shared" ref="BT12:BT23" si="52">SUM(BH12,BD12,AZ12,AV12,AR12,AN12,AJ12,AF12,AB12,X12,T12,P12,L12,H12,D12)+BL12+BP12</f>
        <v>3890</v>
      </c>
      <c r="BU12" s="245">
        <f t="shared" ref="BU12:BU23" si="53">SUM(BI12,BE12,BA12,AW12,AS12,AO12,AK12,AG12,AC12,Y12,U12,Q12,M12,I12,E12)+BM12+BQ12</f>
        <v>11082</v>
      </c>
      <c r="BV12" s="239">
        <f>IF(BT12=0,0,BU12/BT12*100)</f>
        <v>284.88431876606683</v>
      </c>
    </row>
    <row r="13" spans="1:91" ht="14.1" customHeight="1" x14ac:dyDescent="0.25">
      <c r="A13" s="28" t="s">
        <v>126</v>
      </c>
      <c r="B13" s="57" t="s">
        <v>3</v>
      </c>
      <c r="C13" s="79"/>
      <c r="D13" s="78">
        <f t="shared" ref="D13:D78" si="54">ROUND(C13/12*$A$7,0)</f>
        <v>0</v>
      </c>
      <c r="E13" s="79"/>
      <c r="F13" s="99">
        <f t="shared" ref="F13:F78" si="55">IF(D13=0,0,E13/D13*100)</f>
        <v>0</v>
      </c>
      <c r="G13" s="79"/>
      <c r="H13" s="78">
        <f t="shared" si="1"/>
        <v>0</v>
      </c>
      <c r="I13" s="79"/>
      <c r="J13" s="99">
        <f t="shared" ref="J13:J78" si="56">IF(H13=0,0,I13/H13*100)</f>
        <v>0</v>
      </c>
      <c r="K13" s="79"/>
      <c r="L13" s="78">
        <f t="shared" si="1"/>
        <v>0</v>
      </c>
      <c r="M13" s="79"/>
      <c r="N13" s="99">
        <f t="shared" ref="N13:N78" si="57">IF(L13=0,0,M13/L13*100)</f>
        <v>0</v>
      </c>
      <c r="O13" s="79"/>
      <c r="P13" s="78">
        <f t="shared" ref="P13" si="58">ROUND(O13/12*$A$7,0)</f>
        <v>0</v>
      </c>
      <c r="Q13" s="79"/>
      <c r="R13" s="99">
        <f t="shared" ref="R13:R78" si="59">IF(P13=0,0,Q13/P13*100)</f>
        <v>0</v>
      </c>
      <c r="S13" s="79"/>
      <c r="T13" s="78">
        <f t="shared" ref="T13" si="60">ROUND(S13/12*$A$7,0)</f>
        <v>0</v>
      </c>
      <c r="U13" s="79"/>
      <c r="V13" s="99">
        <f t="shared" ref="V13:V78" si="61">IF(T13=0,0,U13/T13*100)</f>
        <v>0</v>
      </c>
      <c r="W13" s="79"/>
      <c r="X13" s="78">
        <f t="shared" ref="X13" si="62">ROUND(W13/12*$A$7,0)</f>
        <v>0</v>
      </c>
      <c r="Y13" s="79"/>
      <c r="Z13" s="99">
        <f t="shared" ref="Z13:Z78" si="63">IF(X13=0,0,Y13/X13*100)</f>
        <v>0</v>
      </c>
      <c r="AA13" s="79"/>
      <c r="AB13" s="78">
        <f t="shared" ref="AB13" si="64">ROUND(AA13/12*$A$7,0)</f>
        <v>0</v>
      </c>
      <c r="AC13" s="79"/>
      <c r="AD13" s="79" t="e">
        <f t="shared" si="17"/>
        <v>#DIV/0!</v>
      </c>
      <c r="AE13" s="79"/>
      <c r="AF13" s="78">
        <f t="shared" ref="AF13" si="65">ROUND(AE13/12*$A$7,0)</f>
        <v>0</v>
      </c>
      <c r="AG13" s="79"/>
      <c r="AH13" s="99">
        <f t="shared" ref="AH13:AH78" si="66">IF(AF13=0,0,AG13/AF13*100)</f>
        <v>0</v>
      </c>
      <c r="AI13" s="79"/>
      <c r="AJ13" s="78">
        <f t="shared" ref="AJ13" si="67">ROUND(AI13/12*$A$7,0)</f>
        <v>0</v>
      </c>
      <c r="AK13" s="79"/>
      <c r="AL13" s="99">
        <f t="shared" ref="AL13:AL78" si="68">IF(AJ13=0,0,AK13/AJ13*100)</f>
        <v>0</v>
      </c>
      <c r="AM13" s="79"/>
      <c r="AN13" s="78">
        <f t="shared" ref="AN13" si="69">ROUND(AM13/12*$A$7,0)</f>
        <v>0</v>
      </c>
      <c r="AO13" s="79"/>
      <c r="AP13" s="99">
        <f t="shared" ref="AP13:AP78" si="70">IF(AN13=0,0,AO13/AN13*100)</f>
        <v>0</v>
      </c>
      <c r="AQ13" s="79"/>
      <c r="AR13" s="78">
        <f t="shared" ref="AR13" si="71">ROUND(AQ13/12*$A$7,0)</f>
        <v>0</v>
      </c>
      <c r="AS13" s="79"/>
      <c r="AT13" s="99">
        <f t="shared" ref="AT13:AT78" si="72">IF(AR13=0,0,AS13/AR13*100)</f>
        <v>0</v>
      </c>
      <c r="AU13" s="79"/>
      <c r="AV13" s="78">
        <f t="shared" ref="AV13" si="73">ROUND(AU13/12*$A$7,0)</f>
        <v>0</v>
      </c>
      <c r="AW13" s="79"/>
      <c r="AX13" s="99">
        <f t="shared" ref="AX13:AX78" si="74">IF(AV13=0,0,AW13/AV13*100)</f>
        <v>0</v>
      </c>
      <c r="AY13" s="79"/>
      <c r="AZ13" s="78">
        <f t="shared" ref="AZ13" si="75">ROUND(AY13/12*$A$7,0)</f>
        <v>0</v>
      </c>
      <c r="BA13" s="79"/>
      <c r="BB13" s="79" t="e">
        <f t="shared" si="36"/>
        <v>#DIV/0!</v>
      </c>
      <c r="BC13" s="79"/>
      <c r="BD13" s="78">
        <f t="shared" ref="BD13" si="76">ROUND(BC13/12*$A$7,0)</f>
        <v>0</v>
      </c>
      <c r="BE13" s="79"/>
      <c r="BF13" s="99">
        <f t="shared" ref="BF13:BF78" si="77">IF(BD13=0,0,BE13/BD13*100)</f>
        <v>0</v>
      </c>
      <c r="BG13" s="79"/>
      <c r="BH13" s="78">
        <f t="shared" ref="BH13" si="78">ROUND(BG13/12*$A$7,0)</f>
        <v>0</v>
      </c>
      <c r="BI13" s="79"/>
      <c r="BJ13" s="79"/>
      <c r="BK13" s="79"/>
      <c r="BL13" s="78">
        <f t="shared" ref="BL13" si="79">ROUND(BK13/12*$A$7,0)</f>
        <v>0</v>
      </c>
      <c r="BM13" s="79"/>
      <c r="BN13" s="79" t="e">
        <f t="shared" si="46"/>
        <v>#DIV/0!</v>
      </c>
      <c r="BO13" s="79"/>
      <c r="BP13" s="78">
        <f t="shared" ref="BP13" si="80">ROUND(BO13/12*$A$7,0)</f>
        <v>0</v>
      </c>
      <c r="BQ13" s="79"/>
      <c r="BR13" s="79" t="e">
        <f t="shared" si="50"/>
        <v>#DIV/0!</v>
      </c>
      <c r="BS13" s="245">
        <f t="shared" si="51"/>
        <v>0</v>
      </c>
      <c r="BT13" s="245">
        <f t="shared" si="52"/>
        <v>0</v>
      </c>
      <c r="BU13" s="245">
        <f t="shared" si="53"/>
        <v>0</v>
      </c>
      <c r="BV13" s="239">
        <f t="shared" ref="BV13:BV78" si="81">IF(BT13=0,0,BU13/BT13*100)</f>
        <v>0</v>
      </c>
    </row>
    <row r="14" spans="1:91" s="65" customFormat="1" ht="15" customHeight="1" x14ac:dyDescent="0.25">
      <c r="A14" s="28" t="s">
        <v>127</v>
      </c>
      <c r="B14" s="57" t="s">
        <v>3</v>
      </c>
      <c r="C14" s="79"/>
      <c r="D14" s="78">
        <f t="shared" si="54"/>
        <v>0</v>
      </c>
      <c r="E14" s="79"/>
      <c r="F14" s="99">
        <f t="shared" si="55"/>
        <v>0</v>
      </c>
      <c r="G14" s="79"/>
      <c r="H14" s="78">
        <f t="shared" si="1"/>
        <v>0</v>
      </c>
      <c r="I14" s="79"/>
      <c r="J14" s="99">
        <f t="shared" si="56"/>
        <v>0</v>
      </c>
      <c r="K14" s="79"/>
      <c r="L14" s="78">
        <f t="shared" si="1"/>
        <v>0</v>
      </c>
      <c r="M14" s="79"/>
      <c r="N14" s="99">
        <f t="shared" si="57"/>
        <v>0</v>
      </c>
      <c r="O14" s="79"/>
      <c r="P14" s="78">
        <f t="shared" ref="P14" si="82">ROUND(O14/12*$A$7,0)</f>
        <v>0</v>
      </c>
      <c r="Q14" s="79"/>
      <c r="R14" s="99">
        <f t="shared" si="59"/>
        <v>0</v>
      </c>
      <c r="S14" s="79"/>
      <c r="T14" s="78">
        <f t="shared" ref="T14" si="83">ROUND(S14/12*$A$7,0)</f>
        <v>0</v>
      </c>
      <c r="U14" s="79"/>
      <c r="V14" s="99">
        <f t="shared" si="61"/>
        <v>0</v>
      </c>
      <c r="W14" s="79"/>
      <c r="X14" s="78">
        <f t="shared" ref="X14" si="84">ROUND(W14/12*$A$7,0)</f>
        <v>0</v>
      </c>
      <c r="Y14" s="79"/>
      <c r="Z14" s="99">
        <f t="shared" si="63"/>
        <v>0</v>
      </c>
      <c r="AA14" s="79"/>
      <c r="AB14" s="78">
        <f t="shared" ref="AB14" si="85">ROUND(AA14/12*$A$7,0)</f>
        <v>0</v>
      </c>
      <c r="AC14" s="79"/>
      <c r="AD14" s="79" t="e">
        <f t="shared" si="17"/>
        <v>#DIV/0!</v>
      </c>
      <c r="AE14" s="79"/>
      <c r="AF14" s="78">
        <f t="shared" ref="AF14" si="86">ROUND(AE14/12*$A$7,0)</f>
        <v>0</v>
      </c>
      <c r="AG14" s="79"/>
      <c r="AH14" s="99">
        <f t="shared" si="66"/>
        <v>0</v>
      </c>
      <c r="AI14" s="79"/>
      <c r="AJ14" s="78">
        <f t="shared" ref="AJ14" si="87">ROUND(AI14/12*$A$7,0)</f>
        <v>0</v>
      </c>
      <c r="AK14" s="79"/>
      <c r="AL14" s="99">
        <f t="shared" si="68"/>
        <v>0</v>
      </c>
      <c r="AM14" s="79"/>
      <c r="AN14" s="78">
        <f t="shared" ref="AN14" si="88">ROUND(AM14/12*$A$7,0)</f>
        <v>0</v>
      </c>
      <c r="AO14" s="79"/>
      <c r="AP14" s="99">
        <f t="shared" si="70"/>
        <v>0</v>
      </c>
      <c r="AQ14" s="79"/>
      <c r="AR14" s="78">
        <f t="shared" ref="AR14" si="89">ROUND(AQ14/12*$A$7,0)</f>
        <v>0</v>
      </c>
      <c r="AS14" s="79"/>
      <c r="AT14" s="99">
        <f t="shared" si="72"/>
        <v>0</v>
      </c>
      <c r="AU14" s="79"/>
      <c r="AV14" s="78">
        <f t="shared" ref="AV14" si="90">ROUND(AU14/12*$A$7,0)</f>
        <v>0</v>
      </c>
      <c r="AW14" s="79"/>
      <c r="AX14" s="99">
        <f t="shared" si="74"/>
        <v>0</v>
      </c>
      <c r="AY14" s="79"/>
      <c r="AZ14" s="78">
        <f t="shared" ref="AZ14" si="91">ROUND(AY14/12*$A$7,0)</f>
        <v>0</v>
      </c>
      <c r="BA14" s="79"/>
      <c r="BB14" s="79" t="e">
        <f t="shared" si="36"/>
        <v>#DIV/0!</v>
      </c>
      <c r="BC14" s="79"/>
      <c r="BD14" s="78">
        <f t="shared" ref="BD14" si="92">ROUND(BC14/12*$A$7,0)</f>
        <v>0</v>
      </c>
      <c r="BE14" s="79"/>
      <c r="BF14" s="99">
        <f t="shared" si="77"/>
        <v>0</v>
      </c>
      <c r="BG14" s="79"/>
      <c r="BH14" s="78">
        <f t="shared" ref="BH14" si="93">ROUND(BG14/12*$A$7,0)</f>
        <v>0</v>
      </c>
      <c r="BI14" s="79"/>
      <c r="BJ14" s="79"/>
      <c r="BK14" s="79"/>
      <c r="BL14" s="78">
        <f t="shared" ref="BL14" si="94">ROUND(BK14/12*$A$7,0)</f>
        <v>0</v>
      </c>
      <c r="BM14" s="79"/>
      <c r="BN14" s="79" t="e">
        <f t="shared" si="46"/>
        <v>#DIV/0!</v>
      </c>
      <c r="BO14" s="79"/>
      <c r="BP14" s="78">
        <f t="shared" ref="BP14" si="95">ROUND(BO14/12*$A$7,0)</f>
        <v>0</v>
      </c>
      <c r="BQ14" s="79"/>
      <c r="BR14" s="79" t="e">
        <f t="shared" si="50"/>
        <v>#DIV/0!</v>
      </c>
      <c r="BS14" s="245">
        <f t="shared" si="51"/>
        <v>0</v>
      </c>
      <c r="BT14" s="245">
        <f t="shared" si="52"/>
        <v>0</v>
      </c>
      <c r="BU14" s="245">
        <f t="shared" si="53"/>
        <v>0</v>
      </c>
      <c r="BV14" s="239">
        <f t="shared" si="81"/>
        <v>0</v>
      </c>
    </row>
    <row r="15" spans="1:91" s="65" customFormat="1" x14ac:dyDescent="0.25">
      <c r="A15" s="28" t="s">
        <v>128</v>
      </c>
      <c r="B15" s="57" t="s">
        <v>3</v>
      </c>
      <c r="C15" s="79"/>
      <c r="D15" s="78">
        <f t="shared" si="54"/>
        <v>0</v>
      </c>
      <c r="E15" s="79"/>
      <c r="F15" s="99">
        <f t="shared" si="55"/>
        <v>0</v>
      </c>
      <c r="G15" s="79"/>
      <c r="H15" s="78">
        <f t="shared" si="1"/>
        <v>0</v>
      </c>
      <c r="I15" s="79"/>
      <c r="J15" s="99">
        <f t="shared" si="56"/>
        <v>0</v>
      </c>
      <c r="K15" s="79"/>
      <c r="L15" s="78">
        <f t="shared" si="1"/>
        <v>0</v>
      </c>
      <c r="M15" s="79"/>
      <c r="N15" s="99">
        <f t="shared" si="57"/>
        <v>0</v>
      </c>
      <c r="O15" s="79"/>
      <c r="P15" s="78">
        <f t="shared" ref="P15" si="96">ROUND(O15/12*$A$7,0)</f>
        <v>0</v>
      </c>
      <c r="Q15" s="79"/>
      <c r="R15" s="99">
        <f t="shared" si="59"/>
        <v>0</v>
      </c>
      <c r="S15" s="79"/>
      <c r="T15" s="78">
        <f t="shared" ref="T15" si="97">ROUND(S15/12*$A$7,0)</f>
        <v>0</v>
      </c>
      <c r="U15" s="79"/>
      <c r="V15" s="99">
        <f t="shared" si="61"/>
        <v>0</v>
      </c>
      <c r="W15" s="79">
        <v>600</v>
      </c>
      <c r="X15" s="78">
        <f t="shared" ref="X15" si="98">ROUND(W15/12*$A$7,0)</f>
        <v>600</v>
      </c>
      <c r="Y15" s="79">
        <v>101</v>
      </c>
      <c r="Z15" s="99">
        <f t="shared" si="63"/>
        <v>16.833333333333332</v>
      </c>
      <c r="AA15" s="79"/>
      <c r="AB15" s="78">
        <f t="shared" ref="AB15" si="99">ROUND(AA15/12*$A$7,0)</f>
        <v>0</v>
      </c>
      <c r="AC15" s="79"/>
      <c r="AD15" s="79" t="e">
        <f t="shared" si="17"/>
        <v>#DIV/0!</v>
      </c>
      <c r="AE15" s="79"/>
      <c r="AF15" s="78">
        <f t="shared" ref="AF15" si="100">ROUND(AE15/12*$A$7,0)</f>
        <v>0</v>
      </c>
      <c r="AG15" s="79"/>
      <c r="AH15" s="99">
        <f t="shared" si="66"/>
        <v>0</v>
      </c>
      <c r="AI15" s="79"/>
      <c r="AJ15" s="78">
        <f t="shared" ref="AJ15" si="101">ROUND(AI15/12*$A$7,0)</f>
        <v>0</v>
      </c>
      <c r="AK15" s="79"/>
      <c r="AL15" s="99">
        <f t="shared" si="68"/>
        <v>0</v>
      </c>
      <c r="AM15" s="79"/>
      <c r="AN15" s="78">
        <f t="shared" ref="AN15" si="102">ROUND(AM15/12*$A$7,0)</f>
        <v>0</v>
      </c>
      <c r="AO15" s="79"/>
      <c r="AP15" s="99">
        <f t="shared" si="70"/>
        <v>0</v>
      </c>
      <c r="AQ15" s="79"/>
      <c r="AR15" s="78">
        <f t="shared" ref="AR15" si="103">ROUND(AQ15/12*$A$7,0)</f>
        <v>0</v>
      </c>
      <c r="AS15" s="79"/>
      <c r="AT15" s="99">
        <f t="shared" si="72"/>
        <v>0</v>
      </c>
      <c r="AU15" s="79"/>
      <c r="AV15" s="78">
        <f t="shared" ref="AV15" si="104">ROUND(AU15/12*$A$7,0)</f>
        <v>0</v>
      </c>
      <c r="AW15" s="79"/>
      <c r="AX15" s="99">
        <f t="shared" si="74"/>
        <v>0</v>
      </c>
      <c r="AY15" s="79"/>
      <c r="AZ15" s="78">
        <f t="shared" ref="AZ15" si="105">ROUND(AY15/12*$A$7,0)</f>
        <v>0</v>
      </c>
      <c r="BA15" s="79"/>
      <c r="BB15" s="79" t="e">
        <f t="shared" si="36"/>
        <v>#DIV/0!</v>
      </c>
      <c r="BC15" s="79"/>
      <c r="BD15" s="78">
        <f t="shared" ref="BD15" si="106">ROUND(BC15/12*$A$7,0)</f>
        <v>0</v>
      </c>
      <c r="BE15" s="79"/>
      <c r="BF15" s="99">
        <f t="shared" si="77"/>
        <v>0</v>
      </c>
      <c r="BG15" s="79"/>
      <c r="BH15" s="78">
        <f t="shared" ref="BH15" si="107">ROUND(BG15/12*$A$7,0)</f>
        <v>0</v>
      </c>
      <c r="BI15" s="79"/>
      <c r="BJ15" s="79"/>
      <c r="BK15" s="79"/>
      <c r="BL15" s="78">
        <f t="shared" ref="BL15" si="108">ROUND(BK15/12*$A$7,0)</f>
        <v>0</v>
      </c>
      <c r="BM15" s="79"/>
      <c r="BN15" s="79" t="e">
        <f t="shared" si="46"/>
        <v>#DIV/0!</v>
      </c>
      <c r="BO15" s="79"/>
      <c r="BP15" s="78">
        <f t="shared" ref="BP15" si="109">ROUND(BO15/12*$A$7,0)</f>
        <v>0</v>
      </c>
      <c r="BQ15" s="79"/>
      <c r="BR15" s="79" t="e">
        <f t="shared" si="50"/>
        <v>#DIV/0!</v>
      </c>
      <c r="BS15" s="245">
        <f t="shared" si="51"/>
        <v>600</v>
      </c>
      <c r="BT15" s="245">
        <f t="shared" si="52"/>
        <v>600</v>
      </c>
      <c r="BU15" s="245">
        <f t="shared" si="53"/>
        <v>101</v>
      </c>
      <c r="BV15" s="239">
        <f t="shared" si="81"/>
        <v>16.833333333333332</v>
      </c>
    </row>
    <row r="16" spans="1:91" s="65" customFormat="1" ht="31.5" x14ac:dyDescent="0.25">
      <c r="A16" s="28" t="s">
        <v>129</v>
      </c>
      <c r="B16" s="57" t="s">
        <v>3</v>
      </c>
      <c r="C16" s="79"/>
      <c r="D16" s="78">
        <f t="shared" si="54"/>
        <v>0</v>
      </c>
      <c r="E16" s="79"/>
      <c r="F16" s="99">
        <f t="shared" si="55"/>
        <v>0</v>
      </c>
      <c r="G16" s="79"/>
      <c r="H16" s="78">
        <f t="shared" si="1"/>
        <v>0</v>
      </c>
      <c r="I16" s="79"/>
      <c r="J16" s="99">
        <f t="shared" si="56"/>
        <v>0</v>
      </c>
      <c r="K16" s="79"/>
      <c r="L16" s="78">
        <f t="shared" si="1"/>
        <v>0</v>
      </c>
      <c r="M16" s="79"/>
      <c r="N16" s="99">
        <f t="shared" si="57"/>
        <v>0</v>
      </c>
      <c r="O16" s="79"/>
      <c r="P16" s="78">
        <f t="shared" ref="P16" si="110">ROUND(O16/12*$A$7,0)</f>
        <v>0</v>
      </c>
      <c r="Q16" s="79"/>
      <c r="R16" s="99">
        <f t="shared" si="59"/>
        <v>0</v>
      </c>
      <c r="S16" s="79"/>
      <c r="T16" s="78">
        <f t="shared" ref="T16" si="111">ROUND(S16/12*$A$7,0)</f>
        <v>0</v>
      </c>
      <c r="U16" s="79"/>
      <c r="V16" s="99">
        <f t="shared" si="61"/>
        <v>0</v>
      </c>
      <c r="W16" s="79"/>
      <c r="X16" s="78">
        <f t="shared" ref="X16" si="112">ROUND(W16/12*$A$7,0)</f>
        <v>0</v>
      </c>
      <c r="Y16" s="79">
        <v>0</v>
      </c>
      <c r="Z16" s="99">
        <f t="shared" si="63"/>
        <v>0</v>
      </c>
      <c r="AA16" s="79"/>
      <c r="AB16" s="78">
        <f t="shared" ref="AB16" si="113">ROUND(AA16/12*$A$7,0)</f>
        <v>0</v>
      </c>
      <c r="AC16" s="79"/>
      <c r="AD16" s="79" t="e">
        <f t="shared" si="17"/>
        <v>#DIV/0!</v>
      </c>
      <c r="AE16" s="79"/>
      <c r="AF16" s="78">
        <f t="shared" ref="AF16" si="114">ROUND(AE16/12*$A$7,0)</f>
        <v>0</v>
      </c>
      <c r="AG16" s="79"/>
      <c r="AH16" s="99">
        <f t="shared" si="66"/>
        <v>0</v>
      </c>
      <c r="AI16" s="79"/>
      <c r="AJ16" s="78">
        <f t="shared" ref="AJ16" si="115">ROUND(AI16/12*$A$7,0)</f>
        <v>0</v>
      </c>
      <c r="AK16" s="79"/>
      <c r="AL16" s="99">
        <f t="shared" si="68"/>
        <v>0</v>
      </c>
      <c r="AM16" s="79"/>
      <c r="AN16" s="78">
        <f t="shared" ref="AN16" si="116">ROUND(AM16/12*$A$7,0)</f>
        <v>0</v>
      </c>
      <c r="AO16" s="79"/>
      <c r="AP16" s="99">
        <f t="shared" si="70"/>
        <v>0</v>
      </c>
      <c r="AQ16" s="79"/>
      <c r="AR16" s="78">
        <f t="shared" ref="AR16" si="117">ROUND(AQ16/12*$A$7,0)</f>
        <v>0</v>
      </c>
      <c r="AS16" s="79"/>
      <c r="AT16" s="99">
        <f t="shared" si="72"/>
        <v>0</v>
      </c>
      <c r="AU16" s="79"/>
      <c r="AV16" s="78">
        <f t="shared" ref="AV16" si="118">ROUND(AU16/12*$A$7,0)</f>
        <v>0</v>
      </c>
      <c r="AW16" s="79"/>
      <c r="AX16" s="99">
        <f t="shared" si="74"/>
        <v>0</v>
      </c>
      <c r="AY16" s="79"/>
      <c r="AZ16" s="78">
        <f t="shared" ref="AZ16" si="119">ROUND(AY16/12*$A$7,0)</f>
        <v>0</v>
      </c>
      <c r="BA16" s="79"/>
      <c r="BB16" s="79" t="e">
        <f t="shared" si="36"/>
        <v>#DIV/0!</v>
      </c>
      <c r="BC16" s="79"/>
      <c r="BD16" s="78">
        <f t="shared" ref="BD16" si="120">ROUND(BC16/12*$A$7,0)</f>
        <v>0</v>
      </c>
      <c r="BE16" s="79"/>
      <c r="BF16" s="99">
        <f t="shared" si="77"/>
        <v>0</v>
      </c>
      <c r="BG16" s="79"/>
      <c r="BH16" s="78">
        <f t="shared" ref="BH16" si="121">ROUND(BG16/12*$A$7,0)</f>
        <v>0</v>
      </c>
      <c r="BI16" s="79"/>
      <c r="BJ16" s="79"/>
      <c r="BK16" s="79"/>
      <c r="BL16" s="78">
        <f t="shared" ref="BL16" si="122">ROUND(BK16/12*$A$7,0)</f>
        <v>0</v>
      </c>
      <c r="BM16" s="79"/>
      <c r="BN16" s="79" t="e">
        <f t="shared" si="46"/>
        <v>#DIV/0!</v>
      </c>
      <c r="BO16" s="79"/>
      <c r="BP16" s="78">
        <f t="shared" ref="BP16" si="123">ROUND(BO16/12*$A$7,0)</f>
        <v>0</v>
      </c>
      <c r="BQ16" s="79"/>
      <c r="BR16" s="79" t="e">
        <f t="shared" si="50"/>
        <v>#DIV/0!</v>
      </c>
      <c r="BS16" s="245">
        <f t="shared" si="51"/>
        <v>0</v>
      </c>
      <c r="BT16" s="245">
        <f t="shared" si="52"/>
        <v>0</v>
      </c>
      <c r="BU16" s="245">
        <f t="shared" si="53"/>
        <v>0</v>
      </c>
      <c r="BV16" s="239">
        <f t="shared" si="81"/>
        <v>0</v>
      </c>
    </row>
    <row r="17" spans="1:74" ht="14.1" customHeight="1" x14ac:dyDescent="0.25">
      <c r="A17" s="28" t="s">
        <v>130</v>
      </c>
      <c r="B17" s="57" t="s">
        <v>3</v>
      </c>
      <c r="C17" s="79"/>
      <c r="D17" s="78">
        <f t="shared" si="54"/>
        <v>0</v>
      </c>
      <c r="E17" s="79"/>
      <c r="F17" s="99">
        <f t="shared" si="55"/>
        <v>0</v>
      </c>
      <c r="G17" s="79"/>
      <c r="H17" s="78">
        <f t="shared" si="1"/>
        <v>0</v>
      </c>
      <c r="I17" s="79"/>
      <c r="J17" s="99">
        <f t="shared" si="56"/>
        <v>0</v>
      </c>
      <c r="K17" s="79"/>
      <c r="L17" s="78">
        <f t="shared" si="1"/>
        <v>0</v>
      </c>
      <c r="M17" s="79"/>
      <c r="N17" s="99">
        <f t="shared" si="57"/>
        <v>0</v>
      </c>
      <c r="O17" s="79"/>
      <c r="P17" s="78">
        <f t="shared" ref="P17" si="124">ROUND(O17/12*$A$7,0)</f>
        <v>0</v>
      </c>
      <c r="Q17" s="79"/>
      <c r="R17" s="99">
        <f t="shared" si="59"/>
        <v>0</v>
      </c>
      <c r="S17" s="79"/>
      <c r="T17" s="78">
        <f t="shared" ref="T17" si="125">ROUND(S17/12*$A$7,0)</f>
        <v>0</v>
      </c>
      <c r="U17" s="79"/>
      <c r="V17" s="99">
        <f t="shared" si="61"/>
        <v>0</v>
      </c>
      <c r="W17" s="79">
        <v>3290</v>
      </c>
      <c r="X17" s="78">
        <f t="shared" ref="X17" si="126">ROUND(W17/12*$A$7,0)</f>
        <v>3290</v>
      </c>
      <c r="Y17" s="79">
        <v>10981</v>
      </c>
      <c r="Z17" s="99">
        <f t="shared" si="63"/>
        <v>333.76899696048633</v>
      </c>
      <c r="AA17" s="79"/>
      <c r="AB17" s="78">
        <f t="shared" ref="AB17" si="127">ROUND(AA17/12*$A$7,0)</f>
        <v>0</v>
      </c>
      <c r="AC17" s="79"/>
      <c r="AD17" s="79" t="e">
        <f t="shared" si="17"/>
        <v>#DIV/0!</v>
      </c>
      <c r="AE17" s="79"/>
      <c r="AF17" s="78">
        <f t="shared" ref="AF17" si="128">ROUND(AE17/12*$A$7,0)</f>
        <v>0</v>
      </c>
      <c r="AG17" s="79"/>
      <c r="AH17" s="99">
        <f t="shared" si="66"/>
        <v>0</v>
      </c>
      <c r="AI17" s="79"/>
      <c r="AJ17" s="78">
        <f t="shared" ref="AJ17" si="129">ROUND(AI17/12*$A$7,0)</f>
        <v>0</v>
      </c>
      <c r="AK17" s="79"/>
      <c r="AL17" s="99">
        <f t="shared" si="68"/>
        <v>0</v>
      </c>
      <c r="AM17" s="79"/>
      <c r="AN17" s="78">
        <f t="shared" ref="AN17" si="130">ROUND(AM17/12*$A$7,0)</f>
        <v>0</v>
      </c>
      <c r="AO17" s="79"/>
      <c r="AP17" s="99">
        <f t="shared" si="70"/>
        <v>0</v>
      </c>
      <c r="AQ17" s="79"/>
      <c r="AR17" s="78">
        <f t="shared" ref="AR17" si="131">ROUND(AQ17/12*$A$7,0)</f>
        <v>0</v>
      </c>
      <c r="AS17" s="79"/>
      <c r="AT17" s="99">
        <f t="shared" si="72"/>
        <v>0</v>
      </c>
      <c r="AU17" s="79"/>
      <c r="AV17" s="78">
        <f t="shared" ref="AV17" si="132">ROUND(AU17/12*$A$7,0)</f>
        <v>0</v>
      </c>
      <c r="AW17" s="79"/>
      <c r="AX17" s="99">
        <f t="shared" si="74"/>
        <v>0</v>
      </c>
      <c r="AY17" s="79"/>
      <c r="AZ17" s="78">
        <f t="shared" ref="AZ17" si="133">ROUND(AY17/12*$A$7,0)</f>
        <v>0</v>
      </c>
      <c r="BA17" s="79"/>
      <c r="BB17" s="79" t="e">
        <f t="shared" si="36"/>
        <v>#DIV/0!</v>
      </c>
      <c r="BC17" s="79"/>
      <c r="BD17" s="78">
        <f t="shared" ref="BD17" si="134">ROUND(BC17/12*$A$7,0)</f>
        <v>0</v>
      </c>
      <c r="BE17" s="79"/>
      <c r="BF17" s="99">
        <f t="shared" si="77"/>
        <v>0</v>
      </c>
      <c r="BG17" s="79"/>
      <c r="BH17" s="78">
        <f t="shared" ref="BH17" si="135">ROUND(BG17/12*$A$7,0)</f>
        <v>0</v>
      </c>
      <c r="BI17" s="79"/>
      <c r="BJ17" s="79"/>
      <c r="BK17" s="79"/>
      <c r="BL17" s="78">
        <f t="shared" ref="BL17" si="136">ROUND(BK17/12*$A$7,0)</f>
        <v>0</v>
      </c>
      <c r="BM17" s="79"/>
      <c r="BN17" s="79" t="e">
        <f t="shared" si="46"/>
        <v>#DIV/0!</v>
      </c>
      <c r="BO17" s="79"/>
      <c r="BP17" s="78">
        <f t="shared" ref="BP17" si="137">ROUND(BO17/12*$A$7,0)</f>
        <v>0</v>
      </c>
      <c r="BQ17" s="79"/>
      <c r="BR17" s="79" t="e">
        <f t="shared" si="50"/>
        <v>#DIV/0!</v>
      </c>
      <c r="BS17" s="245">
        <f t="shared" si="51"/>
        <v>3290</v>
      </c>
      <c r="BT17" s="245">
        <f t="shared" si="52"/>
        <v>3290</v>
      </c>
      <c r="BU17" s="245">
        <f t="shared" si="53"/>
        <v>10981</v>
      </c>
      <c r="BV17" s="239">
        <f t="shared" si="81"/>
        <v>333.76899696048633</v>
      </c>
    </row>
    <row r="18" spans="1:74" s="64" customFormat="1" x14ac:dyDescent="0.25">
      <c r="A18" s="35" t="s">
        <v>131</v>
      </c>
      <c r="B18" s="58"/>
      <c r="C18" s="77"/>
      <c r="D18" s="76">
        <f t="shared" si="54"/>
        <v>0</v>
      </c>
      <c r="E18" s="77"/>
      <c r="F18" s="117">
        <f t="shared" si="55"/>
        <v>0</v>
      </c>
      <c r="G18" s="77"/>
      <c r="H18" s="76">
        <f t="shared" si="1"/>
        <v>0</v>
      </c>
      <c r="I18" s="77"/>
      <c r="J18" s="117">
        <f t="shared" si="56"/>
        <v>0</v>
      </c>
      <c r="K18" s="77"/>
      <c r="L18" s="76">
        <f t="shared" si="1"/>
        <v>0</v>
      </c>
      <c r="M18" s="77"/>
      <c r="N18" s="117">
        <f t="shared" si="57"/>
        <v>0</v>
      </c>
      <c r="O18" s="77"/>
      <c r="P18" s="76">
        <f t="shared" ref="P18" si="138">ROUND(O18/12*$A$7,0)</f>
        <v>0</v>
      </c>
      <c r="Q18" s="77"/>
      <c r="R18" s="117">
        <f t="shared" si="59"/>
        <v>0</v>
      </c>
      <c r="S18" s="77"/>
      <c r="T18" s="76">
        <f t="shared" ref="T18" si="139">ROUND(S18/12*$A$7,0)</f>
        <v>0</v>
      </c>
      <c r="U18" s="77"/>
      <c r="V18" s="117">
        <f t="shared" si="61"/>
        <v>0</v>
      </c>
      <c r="W18" s="77">
        <v>7019</v>
      </c>
      <c r="X18" s="76">
        <f t="shared" ref="X18" si="140">ROUND(W18/12*$A$7,0)</f>
        <v>7019</v>
      </c>
      <c r="Y18" s="117">
        <f>1359+Y20/4/3.2</f>
        <v>2912.2421875</v>
      </c>
      <c r="Z18" s="117">
        <f t="shared" si="63"/>
        <v>41.490841822196892</v>
      </c>
      <c r="AA18" s="77"/>
      <c r="AB18" s="76">
        <f t="shared" ref="AB18" si="141">ROUND(AA18/12*$A$7,0)</f>
        <v>0</v>
      </c>
      <c r="AC18" s="77"/>
      <c r="AD18" s="77" t="e">
        <f t="shared" si="17"/>
        <v>#DIV/0!</v>
      </c>
      <c r="AE18" s="77"/>
      <c r="AF18" s="76">
        <f t="shared" ref="AF18" si="142">ROUND(AE18/12*$A$7,0)</f>
        <v>0</v>
      </c>
      <c r="AG18" s="77"/>
      <c r="AH18" s="117">
        <f t="shared" si="66"/>
        <v>0</v>
      </c>
      <c r="AI18" s="77"/>
      <c r="AJ18" s="76">
        <f t="shared" ref="AJ18" si="143">ROUND(AI18/12*$A$7,0)</f>
        <v>0</v>
      </c>
      <c r="AK18" s="77"/>
      <c r="AL18" s="117">
        <f t="shared" si="68"/>
        <v>0</v>
      </c>
      <c r="AM18" s="77"/>
      <c r="AN18" s="76">
        <f t="shared" ref="AN18" si="144">ROUND(AM18/12*$A$7,0)</f>
        <v>0</v>
      </c>
      <c r="AO18" s="77"/>
      <c r="AP18" s="117">
        <f t="shared" si="70"/>
        <v>0</v>
      </c>
      <c r="AQ18" s="77"/>
      <c r="AR18" s="76">
        <f t="shared" ref="AR18" si="145">ROUND(AQ18/12*$A$7,0)</f>
        <v>0</v>
      </c>
      <c r="AS18" s="77"/>
      <c r="AT18" s="117">
        <f t="shared" si="72"/>
        <v>0</v>
      </c>
      <c r="AU18" s="77"/>
      <c r="AV18" s="76">
        <f t="shared" ref="AV18" si="146">ROUND(AU18/12*$A$7,0)</f>
        <v>0</v>
      </c>
      <c r="AW18" s="77"/>
      <c r="AX18" s="117">
        <f t="shared" si="74"/>
        <v>0</v>
      </c>
      <c r="AY18" s="77"/>
      <c r="AZ18" s="76">
        <f t="shared" ref="AZ18" si="147">ROUND(AY18/12*$A$7,0)</f>
        <v>0</v>
      </c>
      <c r="BA18" s="77"/>
      <c r="BB18" s="77" t="e">
        <f t="shared" si="36"/>
        <v>#DIV/0!</v>
      </c>
      <c r="BC18" s="77"/>
      <c r="BD18" s="76">
        <f t="shared" ref="BD18" si="148">ROUND(BC18/12*$A$7,0)</f>
        <v>0</v>
      </c>
      <c r="BE18" s="77"/>
      <c r="BF18" s="117">
        <f t="shared" si="77"/>
        <v>0</v>
      </c>
      <c r="BG18" s="77"/>
      <c r="BH18" s="76">
        <f t="shared" ref="BH18" si="149">ROUND(BG18/12*$A$7,0)</f>
        <v>0</v>
      </c>
      <c r="BI18" s="77"/>
      <c r="BJ18" s="77"/>
      <c r="BK18" s="77"/>
      <c r="BL18" s="76">
        <f t="shared" ref="BL18" si="150">ROUND(BK18/12*$A$7,0)</f>
        <v>0</v>
      </c>
      <c r="BM18" s="77"/>
      <c r="BN18" s="77" t="e">
        <f t="shared" si="46"/>
        <v>#DIV/0!</v>
      </c>
      <c r="BO18" s="77"/>
      <c r="BP18" s="76">
        <f t="shared" ref="BP18" si="151">ROUND(BO18/12*$A$7,0)</f>
        <v>0</v>
      </c>
      <c r="BQ18" s="77"/>
      <c r="BR18" s="77" t="e">
        <f t="shared" si="50"/>
        <v>#DIV/0!</v>
      </c>
      <c r="BS18" s="245">
        <f t="shared" si="51"/>
        <v>7019</v>
      </c>
      <c r="BT18" s="245">
        <f t="shared" si="52"/>
        <v>7019</v>
      </c>
      <c r="BU18" s="245">
        <f t="shared" si="53"/>
        <v>2912.2421875</v>
      </c>
      <c r="BV18" s="239">
        <f t="shared" si="81"/>
        <v>41.490841822196892</v>
      </c>
    </row>
    <row r="19" spans="1:74" s="66" customFormat="1" x14ac:dyDescent="0.25">
      <c r="A19" s="28" t="s">
        <v>132</v>
      </c>
      <c r="B19" s="57"/>
      <c r="C19" s="79"/>
      <c r="D19" s="78">
        <f t="shared" si="54"/>
        <v>0</v>
      </c>
      <c r="E19" s="79"/>
      <c r="F19" s="99">
        <f t="shared" si="55"/>
        <v>0</v>
      </c>
      <c r="G19" s="79"/>
      <c r="H19" s="78">
        <f t="shared" si="1"/>
        <v>0</v>
      </c>
      <c r="I19" s="79"/>
      <c r="J19" s="99">
        <f t="shared" si="56"/>
        <v>0</v>
      </c>
      <c r="K19" s="79"/>
      <c r="L19" s="78">
        <f t="shared" si="1"/>
        <v>0</v>
      </c>
      <c r="M19" s="79"/>
      <c r="N19" s="99">
        <f t="shared" si="57"/>
        <v>0</v>
      </c>
      <c r="O19" s="79"/>
      <c r="P19" s="78">
        <f t="shared" ref="P19" si="152">ROUND(O19/12*$A$7,0)</f>
        <v>0</v>
      </c>
      <c r="Q19" s="79"/>
      <c r="R19" s="99">
        <f t="shared" si="59"/>
        <v>0</v>
      </c>
      <c r="S19" s="79"/>
      <c r="T19" s="78">
        <f t="shared" ref="T19" si="153">ROUND(S19/12*$A$7,0)</f>
        <v>0</v>
      </c>
      <c r="U19" s="79"/>
      <c r="V19" s="99">
        <f t="shared" si="61"/>
        <v>0</v>
      </c>
      <c r="W19" s="79"/>
      <c r="X19" s="78">
        <f t="shared" ref="X19" si="154">ROUND(W19/12*$A$7,0)</f>
        <v>0</v>
      </c>
      <c r="Y19" s="79"/>
      <c r="Z19" s="99">
        <f t="shared" si="63"/>
        <v>0</v>
      </c>
      <c r="AA19" s="79"/>
      <c r="AB19" s="78">
        <f t="shared" ref="AB19" si="155">ROUND(AA19/12*$A$7,0)</f>
        <v>0</v>
      </c>
      <c r="AC19" s="79"/>
      <c r="AD19" s="79" t="e">
        <f t="shared" si="17"/>
        <v>#DIV/0!</v>
      </c>
      <c r="AE19" s="79"/>
      <c r="AF19" s="78">
        <f t="shared" ref="AF19" si="156">ROUND(AE19/12*$A$7,0)</f>
        <v>0</v>
      </c>
      <c r="AG19" s="79"/>
      <c r="AH19" s="99">
        <f t="shared" si="66"/>
        <v>0</v>
      </c>
      <c r="AI19" s="79"/>
      <c r="AJ19" s="78">
        <f t="shared" ref="AJ19" si="157">ROUND(AI19/12*$A$7,0)</f>
        <v>0</v>
      </c>
      <c r="AK19" s="79"/>
      <c r="AL19" s="99">
        <f t="shared" si="68"/>
        <v>0</v>
      </c>
      <c r="AM19" s="79"/>
      <c r="AN19" s="78">
        <f t="shared" ref="AN19" si="158">ROUND(AM19/12*$A$7,0)</f>
        <v>0</v>
      </c>
      <c r="AO19" s="79"/>
      <c r="AP19" s="99">
        <f t="shared" si="70"/>
        <v>0</v>
      </c>
      <c r="AQ19" s="79"/>
      <c r="AR19" s="78">
        <f t="shared" ref="AR19" si="159">ROUND(AQ19/12*$A$7,0)</f>
        <v>0</v>
      </c>
      <c r="AS19" s="79"/>
      <c r="AT19" s="99">
        <f t="shared" si="72"/>
        <v>0</v>
      </c>
      <c r="AU19" s="79"/>
      <c r="AV19" s="78">
        <f t="shared" ref="AV19" si="160">ROUND(AU19/12*$A$7,0)</f>
        <v>0</v>
      </c>
      <c r="AW19" s="79"/>
      <c r="AX19" s="99">
        <f t="shared" si="74"/>
        <v>0</v>
      </c>
      <c r="AY19" s="79"/>
      <c r="AZ19" s="78">
        <f t="shared" ref="AZ19" si="161">ROUND(AY19/12*$A$7,0)</f>
        <v>0</v>
      </c>
      <c r="BA19" s="79"/>
      <c r="BB19" s="79" t="e">
        <f t="shared" si="36"/>
        <v>#DIV/0!</v>
      </c>
      <c r="BC19" s="79"/>
      <c r="BD19" s="78">
        <f t="shared" ref="BD19" si="162">ROUND(BC19/12*$A$7,0)</f>
        <v>0</v>
      </c>
      <c r="BE19" s="79"/>
      <c r="BF19" s="99">
        <f t="shared" si="77"/>
        <v>0</v>
      </c>
      <c r="BG19" s="79"/>
      <c r="BH19" s="78">
        <f t="shared" ref="BH19" si="163">ROUND(BG19/12*$A$7,0)</f>
        <v>0</v>
      </c>
      <c r="BI19" s="79"/>
      <c r="BJ19" s="79"/>
      <c r="BK19" s="79"/>
      <c r="BL19" s="78">
        <f t="shared" ref="BL19" si="164">ROUND(BK19/12*$A$7,0)</f>
        <v>0</v>
      </c>
      <c r="BM19" s="79"/>
      <c r="BN19" s="79" t="e">
        <f t="shared" si="46"/>
        <v>#DIV/0!</v>
      </c>
      <c r="BO19" s="79"/>
      <c r="BP19" s="78">
        <f t="shared" ref="BP19" si="165">ROUND(BO19/12*$A$7,0)</f>
        <v>0</v>
      </c>
      <c r="BQ19" s="79"/>
      <c r="BR19" s="79" t="e">
        <f t="shared" si="50"/>
        <v>#DIV/0!</v>
      </c>
      <c r="BS19" s="245">
        <f t="shared" si="51"/>
        <v>0</v>
      </c>
      <c r="BT19" s="245">
        <f t="shared" si="52"/>
        <v>0</v>
      </c>
      <c r="BU19" s="245">
        <f t="shared" si="53"/>
        <v>0</v>
      </c>
      <c r="BV19" s="239">
        <f t="shared" si="81"/>
        <v>0</v>
      </c>
    </row>
    <row r="20" spans="1:74" s="66" customFormat="1" x14ac:dyDescent="0.25">
      <c r="A20" s="28" t="s">
        <v>133</v>
      </c>
      <c r="B20" s="57"/>
      <c r="C20" s="79"/>
      <c r="D20" s="78">
        <f t="shared" si="54"/>
        <v>0</v>
      </c>
      <c r="E20" s="79"/>
      <c r="F20" s="99">
        <f t="shared" si="55"/>
        <v>0</v>
      </c>
      <c r="G20" s="79"/>
      <c r="H20" s="78">
        <f t="shared" si="1"/>
        <v>0</v>
      </c>
      <c r="I20" s="79"/>
      <c r="J20" s="99">
        <f t="shared" si="56"/>
        <v>0</v>
      </c>
      <c r="K20" s="79"/>
      <c r="L20" s="78">
        <f t="shared" si="1"/>
        <v>0</v>
      </c>
      <c r="M20" s="79"/>
      <c r="N20" s="99">
        <f t="shared" si="57"/>
        <v>0</v>
      </c>
      <c r="O20" s="79"/>
      <c r="P20" s="78">
        <f t="shared" ref="P20" si="166">ROUND(O20/12*$A$7,0)</f>
        <v>0</v>
      </c>
      <c r="Q20" s="79"/>
      <c r="R20" s="99">
        <f t="shared" si="59"/>
        <v>0</v>
      </c>
      <c r="S20" s="79"/>
      <c r="T20" s="78">
        <f t="shared" ref="T20" si="167">ROUND(S20/12*$A$7,0)</f>
        <v>0</v>
      </c>
      <c r="U20" s="79"/>
      <c r="V20" s="99">
        <f t="shared" si="61"/>
        <v>0</v>
      </c>
      <c r="W20" s="79">
        <v>18560</v>
      </c>
      <c r="X20" s="78">
        <f t="shared" ref="X20" si="168">ROUND(W20/12*$A$7,0)</f>
        <v>18560</v>
      </c>
      <c r="Y20" s="79">
        <v>19881.5</v>
      </c>
      <c r="Z20" s="99">
        <f t="shared" si="63"/>
        <v>107.12015086206897</v>
      </c>
      <c r="AA20" s="79"/>
      <c r="AB20" s="78">
        <f t="shared" ref="AB20" si="169">ROUND(AA20/12*$A$7,0)</f>
        <v>0</v>
      </c>
      <c r="AC20" s="79"/>
      <c r="AD20" s="79" t="e">
        <f t="shared" si="17"/>
        <v>#DIV/0!</v>
      </c>
      <c r="AE20" s="79"/>
      <c r="AF20" s="78">
        <f t="shared" ref="AF20" si="170">ROUND(AE20/12*$A$7,0)</f>
        <v>0</v>
      </c>
      <c r="AG20" s="79"/>
      <c r="AH20" s="99">
        <f t="shared" si="66"/>
        <v>0</v>
      </c>
      <c r="AI20" s="79"/>
      <c r="AJ20" s="78">
        <f t="shared" ref="AJ20" si="171">ROUND(AI20/12*$A$7,0)</f>
        <v>0</v>
      </c>
      <c r="AK20" s="79"/>
      <c r="AL20" s="99">
        <f t="shared" si="68"/>
        <v>0</v>
      </c>
      <c r="AM20" s="79"/>
      <c r="AN20" s="78">
        <f t="shared" ref="AN20" si="172">ROUND(AM20/12*$A$7,0)</f>
        <v>0</v>
      </c>
      <c r="AO20" s="79"/>
      <c r="AP20" s="99">
        <f t="shared" si="70"/>
        <v>0</v>
      </c>
      <c r="AQ20" s="79"/>
      <c r="AR20" s="78">
        <f t="shared" ref="AR20" si="173">ROUND(AQ20/12*$A$7,0)</f>
        <v>0</v>
      </c>
      <c r="AS20" s="79"/>
      <c r="AT20" s="99">
        <f t="shared" si="72"/>
        <v>0</v>
      </c>
      <c r="AU20" s="79"/>
      <c r="AV20" s="78">
        <f t="shared" ref="AV20" si="174">ROUND(AU20/12*$A$7,0)</f>
        <v>0</v>
      </c>
      <c r="AW20" s="79"/>
      <c r="AX20" s="99">
        <f t="shared" si="74"/>
        <v>0</v>
      </c>
      <c r="AY20" s="79"/>
      <c r="AZ20" s="78">
        <f t="shared" ref="AZ20" si="175">ROUND(AY20/12*$A$7,0)</f>
        <v>0</v>
      </c>
      <c r="BA20" s="79"/>
      <c r="BB20" s="79" t="e">
        <f t="shared" si="36"/>
        <v>#DIV/0!</v>
      </c>
      <c r="BC20" s="79"/>
      <c r="BD20" s="78">
        <f t="shared" ref="BD20" si="176">ROUND(BC20/12*$A$7,0)</f>
        <v>0</v>
      </c>
      <c r="BE20" s="79"/>
      <c r="BF20" s="99">
        <f t="shared" si="77"/>
        <v>0</v>
      </c>
      <c r="BG20" s="79"/>
      <c r="BH20" s="78">
        <f t="shared" ref="BH20" si="177">ROUND(BG20/12*$A$7,0)</f>
        <v>0</v>
      </c>
      <c r="BI20" s="79"/>
      <c r="BJ20" s="79"/>
      <c r="BK20" s="79"/>
      <c r="BL20" s="78">
        <f t="shared" ref="BL20" si="178">ROUND(BK20/12*$A$7,0)</f>
        <v>0</v>
      </c>
      <c r="BM20" s="79"/>
      <c r="BN20" s="79" t="e">
        <f t="shared" si="46"/>
        <v>#DIV/0!</v>
      </c>
      <c r="BO20" s="79"/>
      <c r="BP20" s="78">
        <f t="shared" ref="BP20" si="179">ROUND(BO20/12*$A$7,0)</f>
        <v>0</v>
      </c>
      <c r="BQ20" s="79"/>
      <c r="BR20" s="79" t="e">
        <f t="shared" si="50"/>
        <v>#DIV/0!</v>
      </c>
      <c r="BS20" s="245">
        <f t="shared" si="51"/>
        <v>18560</v>
      </c>
      <c r="BT20" s="245">
        <f t="shared" si="52"/>
        <v>18560</v>
      </c>
      <c r="BU20" s="245">
        <f t="shared" si="53"/>
        <v>19881.5</v>
      </c>
      <c r="BV20" s="239">
        <f t="shared" si="81"/>
        <v>107.12015086206897</v>
      </c>
    </row>
    <row r="21" spans="1:74" s="64" customFormat="1" x14ac:dyDescent="0.25">
      <c r="A21" s="35" t="s">
        <v>134</v>
      </c>
      <c r="B21" s="58" t="s">
        <v>3</v>
      </c>
      <c r="C21" s="77"/>
      <c r="D21" s="76">
        <f t="shared" si="54"/>
        <v>0</v>
      </c>
      <c r="E21" s="77"/>
      <c r="F21" s="117">
        <f t="shared" si="55"/>
        <v>0</v>
      </c>
      <c r="G21" s="77"/>
      <c r="H21" s="76">
        <f t="shared" si="1"/>
        <v>0</v>
      </c>
      <c r="I21" s="77"/>
      <c r="J21" s="117">
        <f t="shared" si="56"/>
        <v>0</v>
      </c>
      <c r="K21" s="77"/>
      <c r="L21" s="76">
        <f t="shared" si="1"/>
        <v>0</v>
      </c>
      <c r="M21" s="77"/>
      <c r="N21" s="117">
        <f t="shared" si="57"/>
        <v>0</v>
      </c>
      <c r="O21" s="77"/>
      <c r="P21" s="76">
        <f t="shared" ref="P21" si="180">ROUND(O21/12*$A$7,0)</f>
        <v>0</v>
      </c>
      <c r="Q21" s="77"/>
      <c r="R21" s="117">
        <f t="shared" si="59"/>
        <v>0</v>
      </c>
      <c r="S21" s="77"/>
      <c r="T21" s="76">
        <f t="shared" ref="T21" si="181">ROUND(S21/12*$A$7,0)</f>
        <v>0</v>
      </c>
      <c r="U21" s="77"/>
      <c r="V21" s="117">
        <f t="shared" si="61"/>
        <v>0</v>
      </c>
      <c r="W21" s="77">
        <v>1861</v>
      </c>
      <c r="X21" s="76">
        <f t="shared" ref="X21" si="182">ROUND(W21/12*$A$7,0)</f>
        <v>1861</v>
      </c>
      <c r="Y21" s="77">
        <v>131</v>
      </c>
      <c r="Z21" s="117">
        <f t="shared" si="63"/>
        <v>7.0392262224610427</v>
      </c>
      <c r="AA21" s="77"/>
      <c r="AB21" s="76">
        <f t="shared" ref="AB21" si="183">ROUND(AA21/12*$A$7,0)</f>
        <v>0</v>
      </c>
      <c r="AC21" s="77"/>
      <c r="AD21" s="77" t="e">
        <f t="shared" si="17"/>
        <v>#DIV/0!</v>
      </c>
      <c r="AE21" s="77"/>
      <c r="AF21" s="76">
        <f t="shared" ref="AF21" si="184">ROUND(AE21/12*$A$7,0)</f>
        <v>0</v>
      </c>
      <c r="AG21" s="77"/>
      <c r="AH21" s="117">
        <f t="shared" si="66"/>
        <v>0</v>
      </c>
      <c r="AI21" s="77"/>
      <c r="AJ21" s="76">
        <f t="shared" ref="AJ21" si="185">ROUND(AI21/12*$A$7,0)</f>
        <v>0</v>
      </c>
      <c r="AK21" s="77"/>
      <c r="AL21" s="117">
        <f t="shared" si="68"/>
        <v>0</v>
      </c>
      <c r="AM21" s="77"/>
      <c r="AN21" s="76">
        <f t="shared" ref="AN21" si="186">ROUND(AM21/12*$A$7,0)</f>
        <v>0</v>
      </c>
      <c r="AO21" s="77"/>
      <c r="AP21" s="117">
        <f t="shared" si="70"/>
        <v>0</v>
      </c>
      <c r="AQ21" s="77"/>
      <c r="AR21" s="76">
        <f t="shared" ref="AR21" si="187">ROUND(AQ21/12*$A$7,0)</f>
        <v>0</v>
      </c>
      <c r="AS21" s="77"/>
      <c r="AT21" s="117">
        <f t="shared" si="72"/>
        <v>0</v>
      </c>
      <c r="AU21" s="77"/>
      <c r="AV21" s="76">
        <f t="shared" ref="AV21" si="188">ROUND(AU21/12*$A$7,0)</f>
        <v>0</v>
      </c>
      <c r="AW21" s="77"/>
      <c r="AX21" s="117">
        <f t="shared" si="74"/>
        <v>0</v>
      </c>
      <c r="AY21" s="77"/>
      <c r="AZ21" s="76">
        <f t="shared" ref="AZ21" si="189">ROUND(AY21/12*$A$7,0)</f>
        <v>0</v>
      </c>
      <c r="BA21" s="77"/>
      <c r="BB21" s="77" t="e">
        <f t="shared" si="36"/>
        <v>#DIV/0!</v>
      </c>
      <c r="BC21" s="77"/>
      <c r="BD21" s="76">
        <f t="shared" ref="BD21" si="190">ROUND(BC21/12*$A$7,0)</f>
        <v>0</v>
      </c>
      <c r="BE21" s="77"/>
      <c r="BF21" s="117">
        <f t="shared" si="77"/>
        <v>0</v>
      </c>
      <c r="BG21" s="77"/>
      <c r="BH21" s="76">
        <f t="shared" ref="BH21" si="191">ROUND(BG21/12*$A$7,0)</f>
        <v>0</v>
      </c>
      <c r="BI21" s="77"/>
      <c r="BJ21" s="77"/>
      <c r="BK21" s="77"/>
      <c r="BL21" s="76">
        <f t="shared" ref="BL21" si="192">ROUND(BK21/12*$A$7,0)</f>
        <v>0</v>
      </c>
      <c r="BM21" s="77"/>
      <c r="BN21" s="77" t="e">
        <f t="shared" si="46"/>
        <v>#DIV/0!</v>
      </c>
      <c r="BO21" s="77"/>
      <c r="BP21" s="76">
        <f t="shared" ref="BP21" si="193">ROUND(BO21/12*$A$7,0)</f>
        <v>0</v>
      </c>
      <c r="BQ21" s="77"/>
      <c r="BR21" s="77" t="e">
        <f t="shared" si="50"/>
        <v>#DIV/0!</v>
      </c>
      <c r="BS21" s="245">
        <f t="shared" si="51"/>
        <v>1861</v>
      </c>
      <c r="BT21" s="245">
        <f t="shared" si="52"/>
        <v>1861</v>
      </c>
      <c r="BU21" s="245">
        <f t="shared" si="53"/>
        <v>131</v>
      </c>
      <c r="BV21" s="239">
        <f t="shared" si="81"/>
        <v>7.0392262224610427</v>
      </c>
    </row>
    <row r="22" spans="1:74" s="66" customFormat="1" x14ac:dyDescent="0.25">
      <c r="A22" s="28" t="s">
        <v>135</v>
      </c>
      <c r="B22" s="57"/>
      <c r="C22" s="79"/>
      <c r="D22" s="78">
        <f t="shared" si="54"/>
        <v>0</v>
      </c>
      <c r="E22" s="79"/>
      <c r="F22" s="99">
        <f t="shared" si="55"/>
        <v>0</v>
      </c>
      <c r="G22" s="79"/>
      <c r="H22" s="78">
        <f t="shared" si="1"/>
        <v>0</v>
      </c>
      <c r="I22" s="79"/>
      <c r="J22" s="99">
        <f t="shared" si="56"/>
        <v>0</v>
      </c>
      <c r="K22" s="79"/>
      <c r="L22" s="78">
        <f t="shared" si="1"/>
        <v>0</v>
      </c>
      <c r="M22" s="79"/>
      <c r="N22" s="99">
        <f t="shared" si="57"/>
        <v>0</v>
      </c>
      <c r="O22" s="79"/>
      <c r="P22" s="78">
        <f t="shared" ref="P22" si="194">ROUND(O22/12*$A$7,0)</f>
        <v>0</v>
      </c>
      <c r="Q22" s="79"/>
      <c r="R22" s="99">
        <f t="shared" si="59"/>
        <v>0</v>
      </c>
      <c r="S22" s="79"/>
      <c r="T22" s="78">
        <f t="shared" ref="T22" si="195">ROUND(S22/12*$A$7,0)</f>
        <v>0</v>
      </c>
      <c r="U22" s="79"/>
      <c r="V22" s="99">
        <f t="shared" si="61"/>
        <v>0</v>
      </c>
      <c r="W22" s="79"/>
      <c r="X22" s="78">
        <f t="shared" ref="X22" si="196">ROUND(W22/12*$A$7,0)</f>
        <v>0</v>
      </c>
      <c r="Y22" s="79"/>
      <c r="Z22" s="99">
        <f t="shared" si="63"/>
        <v>0</v>
      </c>
      <c r="AA22" s="79"/>
      <c r="AB22" s="78">
        <f t="shared" ref="AB22" si="197">ROUND(AA22/12*$A$7,0)</f>
        <v>0</v>
      </c>
      <c r="AC22" s="79"/>
      <c r="AD22" s="79" t="e">
        <f t="shared" si="17"/>
        <v>#DIV/0!</v>
      </c>
      <c r="AE22" s="79"/>
      <c r="AF22" s="78">
        <f t="shared" ref="AF22" si="198">ROUND(AE22/12*$A$7,0)</f>
        <v>0</v>
      </c>
      <c r="AG22" s="79"/>
      <c r="AH22" s="99">
        <f t="shared" si="66"/>
        <v>0</v>
      </c>
      <c r="AI22" s="79"/>
      <c r="AJ22" s="78">
        <f t="shared" ref="AJ22" si="199">ROUND(AI22/12*$A$7,0)</f>
        <v>0</v>
      </c>
      <c r="AK22" s="79"/>
      <c r="AL22" s="99">
        <f t="shared" si="68"/>
        <v>0</v>
      </c>
      <c r="AM22" s="79"/>
      <c r="AN22" s="78">
        <f t="shared" ref="AN22" si="200">ROUND(AM22/12*$A$7,0)</f>
        <v>0</v>
      </c>
      <c r="AO22" s="79"/>
      <c r="AP22" s="99">
        <f t="shared" si="70"/>
        <v>0</v>
      </c>
      <c r="AQ22" s="79"/>
      <c r="AR22" s="78">
        <f t="shared" ref="AR22" si="201">ROUND(AQ22/12*$A$7,0)</f>
        <v>0</v>
      </c>
      <c r="AS22" s="79"/>
      <c r="AT22" s="99">
        <f t="shared" si="72"/>
        <v>0</v>
      </c>
      <c r="AU22" s="79"/>
      <c r="AV22" s="78">
        <f t="shared" ref="AV22" si="202">ROUND(AU22/12*$A$7,0)</f>
        <v>0</v>
      </c>
      <c r="AW22" s="79"/>
      <c r="AX22" s="99">
        <f t="shared" si="74"/>
        <v>0</v>
      </c>
      <c r="AY22" s="79"/>
      <c r="AZ22" s="78">
        <f t="shared" ref="AZ22" si="203">ROUND(AY22/12*$A$7,0)</f>
        <v>0</v>
      </c>
      <c r="BA22" s="79"/>
      <c r="BB22" s="79" t="e">
        <f t="shared" si="36"/>
        <v>#DIV/0!</v>
      </c>
      <c r="BC22" s="79"/>
      <c r="BD22" s="78">
        <f t="shared" ref="BD22" si="204">ROUND(BC22/12*$A$7,0)</f>
        <v>0</v>
      </c>
      <c r="BE22" s="79"/>
      <c r="BF22" s="99">
        <f t="shared" si="77"/>
        <v>0</v>
      </c>
      <c r="BG22" s="79"/>
      <c r="BH22" s="78">
        <f t="shared" ref="BH22" si="205">ROUND(BG22/12*$A$7,0)</f>
        <v>0</v>
      </c>
      <c r="BI22" s="79"/>
      <c r="BJ22" s="79"/>
      <c r="BK22" s="79"/>
      <c r="BL22" s="78">
        <f t="shared" ref="BL22" si="206">ROUND(BK22/12*$A$7,0)</f>
        <v>0</v>
      </c>
      <c r="BM22" s="79"/>
      <c r="BN22" s="79" t="e">
        <f t="shared" si="46"/>
        <v>#DIV/0!</v>
      </c>
      <c r="BO22" s="79"/>
      <c r="BP22" s="78">
        <f t="shared" ref="BP22" si="207">ROUND(BO22/12*$A$7,0)</f>
        <v>0</v>
      </c>
      <c r="BQ22" s="79"/>
      <c r="BR22" s="79" t="e">
        <f t="shared" si="50"/>
        <v>#DIV/0!</v>
      </c>
      <c r="BS22" s="245">
        <f t="shared" si="51"/>
        <v>0</v>
      </c>
      <c r="BT22" s="245">
        <f t="shared" si="52"/>
        <v>0</v>
      </c>
      <c r="BU22" s="245">
        <f t="shared" si="53"/>
        <v>0</v>
      </c>
      <c r="BV22" s="239">
        <f t="shared" si="81"/>
        <v>0</v>
      </c>
    </row>
    <row r="23" spans="1:74" s="124" customFormat="1" ht="28.5" customHeight="1" x14ac:dyDescent="0.25">
      <c r="A23" s="118" t="s">
        <v>136</v>
      </c>
      <c r="B23" s="119" t="s">
        <v>3</v>
      </c>
      <c r="C23" s="123">
        <f>SUM(C12+C18*3.2+C21)</f>
        <v>0</v>
      </c>
      <c r="D23" s="121">
        <f t="shared" si="54"/>
        <v>0</v>
      </c>
      <c r="E23" s="123">
        <f t="shared" ref="E23" si="208">SUM(E12+E18*3.2+E21)</f>
        <v>0</v>
      </c>
      <c r="F23" s="123">
        <f t="shared" si="55"/>
        <v>0</v>
      </c>
      <c r="G23" s="123">
        <f t="shared" ref="G23" si="209">SUM(G12+G18*3.2+G21)</f>
        <v>0</v>
      </c>
      <c r="H23" s="121">
        <f t="shared" si="1"/>
        <v>0</v>
      </c>
      <c r="I23" s="123">
        <f t="shared" ref="I23:M23" si="210">SUM(I12+I18*3.2+I21)</f>
        <v>0</v>
      </c>
      <c r="J23" s="123">
        <f t="shared" si="56"/>
        <v>0</v>
      </c>
      <c r="K23" s="123">
        <f t="shared" ref="K23" si="211">SUM(K12+K18*3.2+K21)</f>
        <v>0</v>
      </c>
      <c r="L23" s="121">
        <f t="shared" si="1"/>
        <v>0</v>
      </c>
      <c r="M23" s="123">
        <f t="shared" si="210"/>
        <v>0</v>
      </c>
      <c r="N23" s="123">
        <f t="shared" si="57"/>
        <v>0</v>
      </c>
      <c r="O23" s="123">
        <f t="shared" ref="O23" si="212">SUM(O12+O18*3.2+O21)</f>
        <v>0</v>
      </c>
      <c r="P23" s="121">
        <f t="shared" ref="P23" si="213">ROUND(O23/12*$A$7,0)</f>
        <v>0</v>
      </c>
      <c r="Q23" s="123">
        <f t="shared" ref="Q23" si="214">SUM(Q12+Q18*3.2+Q21)</f>
        <v>0</v>
      </c>
      <c r="R23" s="123">
        <f t="shared" si="59"/>
        <v>0</v>
      </c>
      <c r="S23" s="123">
        <f t="shared" ref="S23" si="215">SUM(S12+S18*3.2+S21)</f>
        <v>0</v>
      </c>
      <c r="T23" s="121">
        <f t="shared" ref="T23" si="216">ROUND(S23/12*$A$7,0)</f>
        <v>0</v>
      </c>
      <c r="U23" s="123">
        <f t="shared" ref="U23" si="217">SUM(U12+U18*3.2+U21)</f>
        <v>0</v>
      </c>
      <c r="V23" s="123">
        <f t="shared" si="61"/>
        <v>0</v>
      </c>
      <c r="W23" s="123">
        <f t="shared" ref="W23:X23" si="218">SUM(W12+W18*3.2+W21)</f>
        <v>28211.800000000003</v>
      </c>
      <c r="X23" s="123">
        <f t="shared" si="218"/>
        <v>28211.800000000003</v>
      </c>
      <c r="Y23" s="123">
        <f t="shared" ref="Y23" si="219">SUM(Y12+Y18*3.2+Y21)</f>
        <v>20532.175000000003</v>
      </c>
      <c r="Z23" s="123">
        <f t="shared" si="63"/>
        <v>72.778677716416539</v>
      </c>
      <c r="AA23" s="123">
        <f t="shared" ref="AA23" si="220">SUM(AA12+AA18*3.2+AA21)</f>
        <v>0</v>
      </c>
      <c r="AB23" s="121">
        <f t="shared" ref="AB23" si="221">ROUND(AA23/12*$A$7,0)</f>
        <v>0</v>
      </c>
      <c r="AC23" s="123">
        <f t="shared" ref="AC23" si="222">SUM(AC12+AC18*3.2+AC21)</f>
        <v>0</v>
      </c>
      <c r="AD23" s="123" t="e">
        <f t="shared" si="17"/>
        <v>#DIV/0!</v>
      </c>
      <c r="AE23" s="123">
        <f t="shared" ref="AE23" si="223">SUM(AE12+AE18*3.2+AE21)</f>
        <v>0</v>
      </c>
      <c r="AF23" s="121">
        <f t="shared" ref="AF23" si="224">ROUND(AE23/12*$A$7,0)</f>
        <v>0</v>
      </c>
      <c r="AG23" s="123">
        <f t="shared" ref="AG23" si="225">SUM(AG12+AG18*3.2+AG21)</f>
        <v>0</v>
      </c>
      <c r="AH23" s="123">
        <f t="shared" si="66"/>
        <v>0</v>
      </c>
      <c r="AI23" s="123">
        <f t="shared" ref="AI23" si="226">SUM(AI12+AI18*3.2+AI21)</f>
        <v>0</v>
      </c>
      <c r="AJ23" s="121">
        <f t="shared" ref="AJ23" si="227">ROUND(AI23/12*$A$7,0)</f>
        <v>0</v>
      </c>
      <c r="AK23" s="123">
        <f t="shared" ref="AK23" si="228">SUM(AK12+AK18*3.2+AK21)</f>
        <v>0</v>
      </c>
      <c r="AL23" s="123">
        <f t="shared" si="68"/>
        <v>0</v>
      </c>
      <c r="AM23" s="123">
        <f t="shared" ref="AM23" si="229">SUM(AM12+AM18*3.2+AM21)</f>
        <v>0</v>
      </c>
      <c r="AN23" s="121">
        <f t="shared" ref="AN23" si="230">ROUND(AM23/12*$A$7,0)</f>
        <v>0</v>
      </c>
      <c r="AO23" s="123">
        <f t="shared" ref="AO23" si="231">SUM(AO12+AO18*3.2+AO21)</f>
        <v>0</v>
      </c>
      <c r="AP23" s="123">
        <f t="shared" si="70"/>
        <v>0</v>
      </c>
      <c r="AQ23" s="123">
        <f t="shared" ref="AQ23" si="232">SUM(AQ12+AQ18*3.2+AQ21)</f>
        <v>0</v>
      </c>
      <c r="AR23" s="121">
        <f t="shared" ref="AR23" si="233">ROUND(AQ23/12*$A$7,0)</f>
        <v>0</v>
      </c>
      <c r="AS23" s="123">
        <f t="shared" ref="AS23" si="234">SUM(AS12+AS18*3.2+AS21)</f>
        <v>0</v>
      </c>
      <c r="AT23" s="123">
        <f t="shared" si="72"/>
        <v>0</v>
      </c>
      <c r="AU23" s="123">
        <f t="shared" ref="AU23" si="235">SUM(AU12+AU18*3.2+AU21)</f>
        <v>0</v>
      </c>
      <c r="AV23" s="121">
        <f t="shared" ref="AV23" si="236">ROUND(AU23/12*$A$7,0)</f>
        <v>0</v>
      </c>
      <c r="AW23" s="123">
        <f t="shared" ref="AW23" si="237">SUM(AW12+AW18*3.2+AW21)</f>
        <v>0</v>
      </c>
      <c r="AX23" s="123">
        <f t="shared" si="74"/>
        <v>0</v>
      </c>
      <c r="AY23" s="123">
        <f t="shared" ref="AY23" si="238">SUM(AY12+AY18*3.2+AY21)</f>
        <v>0</v>
      </c>
      <c r="AZ23" s="121">
        <f t="shared" ref="AZ23" si="239">ROUND(AY23/12*$A$7,0)</f>
        <v>0</v>
      </c>
      <c r="BA23" s="123">
        <f t="shared" ref="BA23" si="240">SUM(BA12+BA18*3.2+BA21)</f>
        <v>0</v>
      </c>
      <c r="BB23" s="123" t="e">
        <f t="shared" si="36"/>
        <v>#DIV/0!</v>
      </c>
      <c r="BC23" s="123">
        <f t="shared" ref="BC23" si="241">SUM(BC12+BC18*3.2+BC21)</f>
        <v>0</v>
      </c>
      <c r="BD23" s="121">
        <f t="shared" ref="BD23" si="242">ROUND(BC23/12*$A$7,0)</f>
        <v>0</v>
      </c>
      <c r="BE23" s="123">
        <f t="shared" ref="BE23" si="243">SUM(BE12+BE18*3.2+BE21)</f>
        <v>0</v>
      </c>
      <c r="BF23" s="123">
        <f t="shared" si="77"/>
        <v>0</v>
      </c>
      <c r="BG23" s="123">
        <f t="shared" ref="BG23" si="244">SUM(BG12+BG18*3.2+BG21)</f>
        <v>0</v>
      </c>
      <c r="BH23" s="121">
        <f t="shared" ref="BH23" si="245">ROUND(BG23/12*$A$7,0)</f>
        <v>0</v>
      </c>
      <c r="BI23" s="123">
        <f t="shared" ref="BI23" si="246">SUM(BI12+BI18*3.2+BI21)</f>
        <v>0</v>
      </c>
      <c r="BJ23" s="123"/>
      <c r="BK23" s="123">
        <f t="shared" ref="BK23" si="247">SUM(BK12+BK18*3.2+BK21)</f>
        <v>0</v>
      </c>
      <c r="BL23" s="121">
        <f t="shared" ref="BL23" si="248">ROUND(BK23/12*$A$7,0)</f>
        <v>0</v>
      </c>
      <c r="BM23" s="123">
        <f t="shared" ref="BM23" si="249">SUM(BM12+BM18*3.2+BM21)</f>
        <v>0</v>
      </c>
      <c r="BN23" s="123" t="e">
        <f t="shared" si="46"/>
        <v>#DIV/0!</v>
      </c>
      <c r="BO23" s="123">
        <f t="shared" ref="BO23" si="250">SUM(BO12+BO18*3.2+BO21)</f>
        <v>0</v>
      </c>
      <c r="BP23" s="121">
        <f t="shared" ref="BP23" si="251">ROUND(BO23/12*$A$7,0)</f>
        <v>0</v>
      </c>
      <c r="BQ23" s="123">
        <f t="shared" ref="BQ23" si="252">SUM(BQ12+BQ18*3.2+BQ21)</f>
        <v>0</v>
      </c>
      <c r="BR23" s="123" t="e">
        <f t="shared" si="50"/>
        <v>#DIV/0!</v>
      </c>
      <c r="BS23" s="245">
        <f t="shared" si="51"/>
        <v>28211.800000000003</v>
      </c>
      <c r="BT23" s="245">
        <f t="shared" si="52"/>
        <v>28211.800000000003</v>
      </c>
      <c r="BU23" s="245">
        <f t="shared" si="53"/>
        <v>20532.175000000003</v>
      </c>
      <c r="BV23" s="239">
        <f t="shared" si="81"/>
        <v>72.778677716416539</v>
      </c>
    </row>
    <row r="24" spans="1:74" s="93" customFormat="1" ht="15" customHeight="1" x14ac:dyDescent="0.25">
      <c r="A24" s="89" t="s">
        <v>137</v>
      </c>
      <c r="B24" s="90" t="s">
        <v>3</v>
      </c>
      <c r="C24" s="92"/>
      <c r="D24" s="91">
        <f t="shared" si="54"/>
        <v>0</v>
      </c>
      <c r="E24" s="92"/>
      <c r="F24" s="244">
        <f t="shared" si="55"/>
        <v>0</v>
      </c>
      <c r="G24" s="92"/>
      <c r="H24" s="91">
        <f t="shared" si="1"/>
        <v>0</v>
      </c>
      <c r="I24" s="92"/>
      <c r="J24" s="244">
        <f t="shared" si="56"/>
        <v>0</v>
      </c>
      <c r="K24" s="92"/>
      <c r="L24" s="91">
        <f t="shared" si="1"/>
        <v>0</v>
      </c>
      <c r="M24" s="92"/>
      <c r="N24" s="244">
        <f t="shared" si="57"/>
        <v>0</v>
      </c>
      <c r="O24" s="92"/>
      <c r="P24" s="91">
        <f t="shared" ref="P24" si="253">ROUND(O24/12*$A$7,0)</f>
        <v>0</v>
      </c>
      <c r="Q24" s="92"/>
      <c r="R24" s="244">
        <f t="shared" si="59"/>
        <v>0</v>
      </c>
      <c r="S24" s="92"/>
      <c r="T24" s="91">
        <f t="shared" ref="T24" si="254">ROUND(S24/12*$A$7,0)</f>
        <v>0</v>
      </c>
      <c r="U24" s="92"/>
      <c r="V24" s="244">
        <f t="shared" si="61"/>
        <v>0</v>
      </c>
      <c r="W24" s="92"/>
      <c r="X24" s="91">
        <f t="shared" ref="X24" si="255">ROUND(W24/12*$A$7,0)</f>
        <v>0</v>
      </c>
      <c r="Y24" s="92"/>
      <c r="Z24" s="244">
        <f t="shared" si="63"/>
        <v>0</v>
      </c>
      <c r="AA24" s="92"/>
      <c r="AB24" s="91">
        <f t="shared" ref="AB24" si="256">ROUND(AA24/12*$A$7,0)</f>
        <v>0</v>
      </c>
      <c r="AC24" s="92"/>
      <c r="AD24" s="92" t="e">
        <f t="shared" si="17"/>
        <v>#DIV/0!</v>
      </c>
      <c r="AE24" s="92"/>
      <c r="AF24" s="91">
        <f t="shared" ref="AF24" si="257">ROUND(AE24/12*$A$7,0)</f>
        <v>0</v>
      </c>
      <c r="AG24" s="92"/>
      <c r="AH24" s="244">
        <f t="shared" si="66"/>
        <v>0</v>
      </c>
      <c r="AI24" s="92"/>
      <c r="AJ24" s="91">
        <f t="shared" ref="AJ24" si="258">ROUND(AI24/12*$A$7,0)</f>
        <v>0</v>
      </c>
      <c r="AK24" s="92"/>
      <c r="AL24" s="244">
        <f t="shared" si="68"/>
        <v>0</v>
      </c>
      <c r="AM24" s="92"/>
      <c r="AN24" s="91">
        <f t="shared" ref="AN24" si="259">ROUND(AM24/12*$A$7,0)</f>
        <v>0</v>
      </c>
      <c r="AO24" s="92"/>
      <c r="AP24" s="244">
        <f t="shared" si="70"/>
        <v>0</v>
      </c>
      <c r="AQ24" s="92"/>
      <c r="AR24" s="91">
        <f t="shared" ref="AR24" si="260">ROUND(AQ24/12*$A$7,0)</f>
        <v>0</v>
      </c>
      <c r="AS24" s="92"/>
      <c r="AT24" s="244">
        <f t="shared" si="72"/>
        <v>0</v>
      </c>
      <c r="AU24" s="92"/>
      <c r="AV24" s="91">
        <f t="shared" ref="AV24" si="261">ROUND(AU24/12*$A$7,0)</f>
        <v>0</v>
      </c>
      <c r="AW24" s="92"/>
      <c r="AX24" s="244">
        <f t="shared" si="74"/>
        <v>0</v>
      </c>
      <c r="AY24" s="92"/>
      <c r="AZ24" s="91">
        <f t="shared" ref="AZ24" si="262">ROUND(AY24/12*$A$7,0)</f>
        <v>0</v>
      </c>
      <c r="BA24" s="92"/>
      <c r="BB24" s="92" t="e">
        <f t="shared" si="36"/>
        <v>#DIV/0!</v>
      </c>
      <c r="BC24" s="92"/>
      <c r="BD24" s="91">
        <f t="shared" ref="BD24" si="263">ROUND(BC24/12*$A$7,0)</f>
        <v>0</v>
      </c>
      <c r="BE24" s="92"/>
      <c r="BF24" s="244">
        <f t="shared" si="77"/>
        <v>0</v>
      </c>
      <c r="BG24" s="92"/>
      <c r="BH24" s="91">
        <f t="shared" ref="BH24" si="264">ROUND(BG24/12*$A$7,0)</f>
        <v>0</v>
      </c>
      <c r="BI24" s="92"/>
      <c r="BJ24" s="92"/>
      <c r="BK24" s="92"/>
      <c r="BL24" s="91">
        <f t="shared" ref="BL24" si="265">ROUND(BK24/12*$A$7,0)</f>
        <v>0</v>
      </c>
      <c r="BM24" s="92"/>
      <c r="BN24" s="92" t="e">
        <f t="shared" si="46"/>
        <v>#DIV/0!</v>
      </c>
      <c r="BO24" s="92"/>
      <c r="BP24" s="91">
        <f t="shared" ref="BP24" si="266">ROUND(BO24/12*$A$7,0)</f>
        <v>0</v>
      </c>
      <c r="BQ24" s="92"/>
      <c r="BR24" s="92"/>
      <c r="BS24" s="246"/>
      <c r="BT24" s="245">
        <f t="shared" ref="BT24:BT57" si="267">SUM(BH24,BD24,AZ24,AV24,AR24,AN24,AJ24,AF24,AB24,X24,T24,P24,L24,H24,D24)+BL24+BP24</f>
        <v>0</v>
      </c>
      <c r="BU24" s="245">
        <f t="shared" ref="BU24:BU57" si="268">SUM(BI24,BE24,BA24,AW24,AS24,AO24,AK24,AG24,AC24,Y24,U24,Q24,M24,I24,E24)+BM24+BQ24</f>
        <v>0</v>
      </c>
      <c r="BV24" s="239">
        <f t="shared" si="81"/>
        <v>0</v>
      </c>
    </row>
    <row r="25" spans="1:74" s="75" customFormat="1" ht="36.75" customHeight="1" x14ac:dyDescent="0.2">
      <c r="A25" s="73" t="s">
        <v>125</v>
      </c>
      <c r="B25" s="74" t="s">
        <v>3</v>
      </c>
      <c r="C25" s="81">
        <f>C28+C29+C30+C31+C53+C78</f>
        <v>124749</v>
      </c>
      <c r="D25" s="81">
        <f>D28+D29+D30+D31+D53+D78</f>
        <v>124749</v>
      </c>
      <c r="E25" s="81">
        <f>E28+E29+E30+E31+E53+E78+E27</f>
        <v>123570</v>
      </c>
      <c r="F25" s="163">
        <f t="shared" si="55"/>
        <v>99.054902243705357</v>
      </c>
      <c r="G25" s="81">
        <f t="shared" ref="G25" si="269">G28+G29+G30+G31+G53+G78</f>
        <v>9110</v>
      </c>
      <c r="H25" s="80">
        <f t="shared" si="1"/>
        <v>9110</v>
      </c>
      <c r="I25" s="81">
        <f>I28+I29+I30+I31+I53+I78+I27</f>
        <v>15149</v>
      </c>
      <c r="J25" s="163">
        <f t="shared" si="56"/>
        <v>166.28979143798023</v>
      </c>
      <c r="K25" s="81">
        <f>K28+K29+K30+K31+K53+K78+K27</f>
        <v>98003</v>
      </c>
      <c r="L25" s="80">
        <f t="shared" si="1"/>
        <v>98003</v>
      </c>
      <c r="M25" s="81">
        <f>M28+M29+M30+M31+M53+M78+M27</f>
        <v>60302</v>
      </c>
      <c r="N25" s="163">
        <f t="shared" si="57"/>
        <v>61.530769466240834</v>
      </c>
      <c r="O25" s="81">
        <f t="shared" ref="O25:P25" si="270">O28+O29+O30+O31+O53+O78+O27</f>
        <v>5000</v>
      </c>
      <c r="P25" s="81">
        <f t="shared" si="270"/>
        <v>5000</v>
      </c>
      <c r="Q25" s="81">
        <f t="shared" ref="Q25" si="271">Q28+Q29+Q30+Q31+Q53+Q78+Q27</f>
        <v>3894</v>
      </c>
      <c r="R25" s="163">
        <f t="shared" si="59"/>
        <v>77.88000000000001</v>
      </c>
      <c r="S25" s="81">
        <f t="shared" ref="S25:T25" si="272">S28+S29+S30+S31+S53+S78+S27</f>
        <v>10540</v>
      </c>
      <c r="T25" s="81">
        <f t="shared" si="272"/>
        <v>10540</v>
      </c>
      <c r="U25" s="81">
        <f t="shared" ref="U25" si="273">U28+U29+U30+U31+U53+U78+U27</f>
        <v>13052</v>
      </c>
      <c r="V25" s="163">
        <f t="shared" si="61"/>
        <v>123.83301707779886</v>
      </c>
      <c r="W25" s="81">
        <f t="shared" ref="W25" si="274">W28+W29+W30+W31+W53+W78+W27</f>
        <v>2800</v>
      </c>
      <c r="X25" s="80">
        <f t="shared" ref="X25" si="275">ROUND(W25/12*$A$7,0)</f>
        <v>2800</v>
      </c>
      <c r="Y25" s="81">
        <f t="shared" ref="Y25" si="276">Y28+Y29+Y30+Y31+Y53+Y78+Y27</f>
        <v>628</v>
      </c>
      <c r="Z25" s="163">
        <f t="shared" si="63"/>
        <v>22.428571428571427</v>
      </c>
      <c r="AA25" s="81">
        <f t="shared" ref="AA25" si="277">AA28+AA29+AA30+AA31+AA53+AA78+AA27</f>
        <v>0</v>
      </c>
      <c r="AB25" s="80">
        <f t="shared" ref="AB25" si="278">ROUND(AA25/12*$A$7,0)</f>
        <v>0</v>
      </c>
      <c r="AC25" s="81">
        <f t="shared" ref="AC25" si="279">AC28+AC29+AC30+AC31+AC53+AC78+AC27</f>
        <v>0</v>
      </c>
      <c r="AD25" s="81" t="e">
        <f t="shared" si="17"/>
        <v>#DIV/0!</v>
      </c>
      <c r="AE25" s="81">
        <f t="shared" ref="AE25:AF25" si="280">AE28+AE29+AE30+AE31+AE53+AE78+AE27</f>
        <v>92500</v>
      </c>
      <c r="AF25" s="81">
        <f t="shared" si="280"/>
        <v>92500</v>
      </c>
      <c r="AG25" s="81">
        <f t="shared" ref="AG25" si="281">AG28+AG29+AG30+AG31+AG53+AG78+AG27</f>
        <v>103667</v>
      </c>
      <c r="AH25" s="163">
        <f t="shared" si="66"/>
        <v>112.07243243243244</v>
      </c>
      <c r="AI25" s="81">
        <f t="shared" ref="AI25" si="282">AI28+AI29+AI30+AI31+AI53+AI78+AI27</f>
        <v>100992</v>
      </c>
      <c r="AJ25" s="80">
        <f t="shared" ref="AJ25" si="283">ROUND(AI25/12*$A$7,0)</f>
        <v>100992</v>
      </c>
      <c r="AK25" s="81">
        <f t="shared" ref="AK25" si="284">AK28+AK29+AK30+AK31+AK53+AK78+AK27</f>
        <v>101441</v>
      </c>
      <c r="AL25" s="163">
        <f t="shared" si="68"/>
        <v>100.44458967046894</v>
      </c>
      <c r="AM25" s="81">
        <f t="shared" ref="AM25" si="285">AM28+AM29+AM30+AM31+AM53+AM78+AM27</f>
        <v>53996</v>
      </c>
      <c r="AN25" s="80">
        <f t="shared" ref="AN25" si="286">ROUND(AM25/12*$A$7,0)</f>
        <v>53996</v>
      </c>
      <c r="AO25" s="81">
        <f t="shared" ref="AO25" si="287">AO28+AO29+AO30+AO31+AO53+AO78+AO27</f>
        <v>50972</v>
      </c>
      <c r="AP25" s="163">
        <f t="shared" si="70"/>
        <v>94.399585154455892</v>
      </c>
      <c r="AQ25" s="81">
        <f t="shared" ref="AQ25" si="288">AQ28+AQ29+AQ30+AQ31+AQ53+AQ78+AQ27</f>
        <v>0</v>
      </c>
      <c r="AR25" s="80">
        <f t="shared" ref="AR25" si="289">ROUND(AQ25/12*$A$7,0)</f>
        <v>0</v>
      </c>
      <c r="AS25" s="81">
        <f t="shared" ref="AS25" si="290">AS28+AS29+AS30+AS31+AS53+AS78+AS27</f>
        <v>0</v>
      </c>
      <c r="AT25" s="163">
        <f t="shared" si="72"/>
        <v>0</v>
      </c>
      <c r="AU25" s="81">
        <f t="shared" ref="AU25" si="291">AU28+AU29+AU30+AU31+AU53+AU78+AU27</f>
        <v>0</v>
      </c>
      <c r="AV25" s="80">
        <f t="shared" ref="AV25" si="292">ROUND(AU25/12*$A$7,0)</f>
        <v>0</v>
      </c>
      <c r="AW25" s="81">
        <f t="shared" ref="AW25" si="293">AW28+AW29+AW30+AW31+AW53+AW78+AW27</f>
        <v>0</v>
      </c>
      <c r="AX25" s="163">
        <f t="shared" si="74"/>
        <v>0</v>
      </c>
      <c r="AY25" s="81">
        <f t="shared" ref="AY25" si="294">AY28+AY29+AY30+AY31+AY53+AY78+AY27</f>
        <v>0</v>
      </c>
      <c r="AZ25" s="80">
        <f t="shared" ref="AZ25" si="295">ROUND(AY25/12*$A$7,0)</f>
        <v>0</v>
      </c>
      <c r="BA25" s="81">
        <f t="shared" ref="BA25" si="296">BA28+BA29+BA30+BA31+BA53+BA78+BA27</f>
        <v>0</v>
      </c>
      <c r="BB25" s="81" t="e">
        <f t="shared" si="36"/>
        <v>#DIV/0!</v>
      </c>
      <c r="BC25" s="81">
        <f t="shared" ref="BC25" si="297">BC28+BC29+BC30+BC31+BC53+BC78+BC27</f>
        <v>89446</v>
      </c>
      <c r="BD25" s="80">
        <f t="shared" ref="BD25" si="298">ROUND(BC25/12*$A$7,0)</f>
        <v>89446</v>
      </c>
      <c r="BE25" s="81">
        <f t="shared" ref="BE25" si="299">BE28+BE29+BE30+BE31+BE53+BE78+BE27</f>
        <v>85678</v>
      </c>
      <c r="BF25" s="163">
        <f t="shared" si="77"/>
        <v>95.787402455112584</v>
      </c>
      <c r="BG25" s="81">
        <f t="shared" ref="BG25" si="300">BG28+BG29+BG30+BG31+BG53+BG78+BG27</f>
        <v>100</v>
      </c>
      <c r="BH25" s="80">
        <f t="shared" ref="BH25" si="301">ROUND(BG25/12*$A$7,0)</f>
        <v>100</v>
      </c>
      <c r="BI25" s="81">
        <f t="shared" ref="BI25" si="302">BI28+BI29+BI30+BI31+BI53+BI78+BI27</f>
        <v>0</v>
      </c>
      <c r="BJ25" s="81">
        <f t="shared" ref="BJ25" si="303">BI25/BH25*100</f>
        <v>0</v>
      </c>
      <c r="BK25" s="81">
        <f t="shared" ref="BK25" si="304">BK28+BK29+BK30+BK31+BK53+BK78+BK27</f>
        <v>0</v>
      </c>
      <c r="BL25" s="80">
        <f t="shared" ref="BL25" si="305">ROUND(BK25/12*$A$7,0)</f>
        <v>0</v>
      </c>
      <c r="BM25" s="81">
        <f t="shared" ref="BM25" si="306">BM28+BM29+BM30+BM31+BM53+BM78+BM27</f>
        <v>0</v>
      </c>
      <c r="BN25" s="81" t="e">
        <f t="shared" si="46"/>
        <v>#DIV/0!</v>
      </c>
      <c r="BO25" s="81">
        <f t="shared" ref="BO25" si="307">BO28+BO29+BO30+BO31+BO53+BO78+BO27</f>
        <v>0</v>
      </c>
      <c r="BP25" s="80">
        <f t="shared" ref="BP25" si="308">ROUND(BO25/12*$A$7,0)</f>
        <v>0</v>
      </c>
      <c r="BQ25" s="81">
        <f t="shared" ref="BQ25" si="309">BQ28+BQ29+BQ30+BQ31+BQ53+BQ78+BQ27</f>
        <v>0</v>
      </c>
      <c r="BR25" s="81" t="e">
        <f t="shared" si="50"/>
        <v>#DIV/0!</v>
      </c>
      <c r="BS25" s="245">
        <f t="shared" ref="BS25:BS58" si="310">SUM(BG25,BC25,AY25,AU25,AQ25,AM25,AI25,AE25,AA25,W25,S25,O25,K25,G25,C25)+BK25+BO25</f>
        <v>587236</v>
      </c>
      <c r="BT25" s="245">
        <f t="shared" si="267"/>
        <v>587236</v>
      </c>
      <c r="BU25" s="245">
        <f t="shared" si="268"/>
        <v>558353</v>
      </c>
      <c r="BV25" s="239">
        <f t="shared" si="81"/>
        <v>95.081534510826998</v>
      </c>
    </row>
    <row r="26" spans="1:74" x14ac:dyDescent="0.25">
      <c r="A26" s="28" t="s">
        <v>126</v>
      </c>
      <c r="B26" s="57" t="s">
        <v>3</v>
      </c>
      <c r="C26" s="79"/>
      <c r="D26" s="78">
        <f t="shared" si="54"/>
        <v>0</v>
      </c>
      <c r="E26" s="79"/>
      <c r="F26" s="99">
        <f t="shared" si="55"/>
        <v>0</v>
      </c>
      <c r="G26" s="79"/>
      <c r="H26" s="78">
        <f t="shared" si="1"/>
        <v>0</v>
      </c>
      <c r="I26" s="79"/>
      <c r="J26" s="99">
        <f t="shared" si="56"/>
        <v>0</v>
      </c>
      <c r="K26" s="79"/>
      <c r="L26" s="78">
        <f t="shared" si="1"/>
        <v>0</v>
      </c>
      <c r="M26" s="79"/>
      <c r="N26" s="99">
        <f t="shared" si="57"/>
        <v>0</v>
      </c>
      <c r="O26" s="79"/>
      <c r="P26" s="78">
        <f t="shared" ref="P26" si="311">ROUND(O26/12*$A$7,0)</f>
        <v>0</v>
      </c>
      <c r="Q26" s="79"/>
      <c r="R26" s="99">
        <f t="shared" si="59"/>
        <v>0</v>
      </c>
      <c r="S26" s="79"/>
      <c r="T26" s="78">
        <f t="shared" ref="T26" si="312">ROUND(S26/12*$A$7,0)</f>
        <v>0</v>
      </c>
      <c r="U26" s="79"/>
      <c r="V26" s="99">
        <f t="shared" si="61"/>
        <v>0</v>
      </c>
      <c r="W26" s="79"/>
      <c r="X26" s="78">
        <f t="shared" ref="X26" si="313">ROUND(W26/12*$A$7,0)</f>
        <v>0</v>
      </c>
      <c r="Y26" s="79"/>
      <c r="Z26" s="99">
        <f t="shared" si="63"/>
        <v>0</v>
      </c>
      <c r="AA26" s="79"/>
      <c r="AB26" s="78">
        <f t="shared" ref="AB26" si="314">ROUND(AA26/12*$A$7,0)</f>
        <v>0</v>
      </c>
      <c r="AC26" s="79"/>
      <c r="AD26" s="79" t="e">
        <f t="shared" si="17"/>
        <v>#DIV/0!</v>
      </c>
      <c r="AE26" s="79"/>
      <c r="AF26" s="78">
        <f t="shared" ref="AF26" si="315">ROUND(AE26/12*$A$7,0)</f>
        <v>0</v>
      </c>
      <c r="AG26" s="79"/>
      <c r="AH26" s="99">
        <f t="shared" si="66"/>
        <v>0</v>
      </c>
      <c r="AI26" s="79"/>
      <c r="AJ26" s="78">
        <f t="shared" ref="AJ26" si="316">ROUND(AI26/12*$A$7,0)</f>
        <v>0</v>
      </c>
      <c r="AK26" s="79"/>
      <c r="AL26" s="99">
        <f t="shared" si="68"/>
        <v>0</v>
      </c>
      <c r="AM26" s="79"/>
      <c r="AN26" s="78">
        <f t="shared" ref="AN26" si="317">ROUND(AM26/12*$A$7,0)</f>
        <v>0</v>
      </c>
      <c r="AO26" s="79"/>
      <c r="AP26" s="99">
        <f t="shared" si="70"/>
        <v>0</v>
      </c>
      <c r="AQ26" s="79"/>
      <c r="AR26" s="78">
        <f t="shared" ref="AR26" si="318">ROUND(AQ26/12*$A$7,0)</f>
        <v>0</v>
      </c>
      <c r="AS26" s="79"/>
      <c r="AT26" s="99">
        <f t="shared" si="72"/>
        <v>0</v>
      </c>
      <c r="AU26" s="79"/>
      <c r="AV26" s="78">
        <f t="shared" ref="AV26" si="319">ROUND(AU26/12*$A$7,0)</f>
        <v>0</v>
      </c>
      <c r="AW26" s="79"/>
      <c r="AX26" s="99">
        <f t="shared" si="74"/>
        <v>0</v>
      </c>
      <c r="AY26" s="79"/>
      <c r="AZ26" s="78">
        <f t="shared" ref="AZ26" si="320">ROUND(AY26/12*$A$7,0)</f>
        <v>0</v>
      </c>
      <c r="BA26" s="79"/>
      <c r="BB26" s="79" t="e">
        <f t="shared" si="36"/>
        <v>#DIV/0!</v>
      </c>
      <c r="BC26" s="79"/>
      <c r="BD26" s="78">
        <f t="shared" ref="BD26" si="321">ROUND(BC26/12*$A$7,0)</f>
        <v>0</v>
      </c>
      <c r="BE26" s="79"/>
      <c r="BF26" s="99">
        <f t="shared" si="77"/>
        <v>0</v>
      </c>
      <c r="BG26" s="79"/>
      <c r="BH26" s="78">
        <f t="shared" ref="BH26" si="322">ROUND(BG26/12*$A$7,0)</f>
        <v>0</v>
      </c>
      <c r="BI26" s="79"/>
      <c r="BJ26" s="79"/>
      <c r="BK26" s="79"/>
      <c r="BL26" s="78">
        <f t="shared" ref="BL26" si="323">ROUND(BK26/12*$A$7,0)</f>
        <v>0</v>
      </c>
      <c r="BM26" s="79"/>
      <c r="BN26" s="79" t="e">
        <f t="shared" si="46"/>
        <v>#DIV/0!</v>
      </c>
      <c r="BO26" s="79"/>
      <c r="BP26" s="78">
        <f t="shared" ref="BP26" si="324">ROUND(BO26/12*$A$7,0)</f>
        <v>0</v>
      </c>
      <c r="BQ26" s="79"/>
      <c r="BR26" s="79" t="e">
        <f t="shared" si="50"/>
        <v>#DIV/0!</v>
      </c>
      <c r="BS26" s="245">
        <f t="shared" si="310"/>
        <v>0</v>
      </c>
      <c r="BT26" s="245">
        <f t="shared" si="267"/>
        <v>0</v>
      </c>
      <c r="BU26" s="245">
        <f t="shared" si="268"/>
        <v>0</v>
      </c>
      <c r="BV26" s="239">
        <f t="shared" si="81"/>
        <v>0</v>
      </c>
    </row>
    <row r="27" spans="1:74" x14ac:dyDescent="0.25">
      <c r="A27" s="88" t="s">
        <v>199</v>
      </c>
      <c r="B27" s="57"/>
      <c r="C27" s="79"/>
      <c r="D27" s="78"/>
      <c r="E27" s="79"/>
      <c r="F27" s="99">
        <f t="shared" si="55"/>
        <v>0</v>
      </c>
      <c r="G27" s="79"/>
      <c r="H27" s="78"/>
      <c r="I27" s="79"/>
      <c r="J27" s="99">
        <f t="shared" si="56"/>
        <v>0</v>
      </c>
      <c r="K27" s="79">
        <v>8715</v>
      </c>
      <c r="L27" s="78">
        <f t="shared" si="1"/>
        <v>8715</v>
      </c>
      <c r="M27" s="79">
        <v>6070</v>
      </c>
      <c r="N27" s="99">
        <f t="shared" si="57"/>
        <v>69.650028686173258</v>
      </c>
      <c r="O27" s="79"/>
      <c r="P27" s="78">
        <f t="shared" ref="P27" si="325">ROUND(O27/12*$A$7,0)</f>
        <v>0</v>
      </c>
      <c r="Q27" s="79"/>
      <c r="R27" s="99">
        <f t="shared" si="59"/>
        <v>0</v>
      </c>
      <c r="S27" s="79"/>
      <c r="T27" s="78">
        <f t="shared" ref="T27" si="326">ROUND(S27/12*$A$7,0)</f>
        <v>0</v>
      </c>
      <c r="U27" s="79"/>
      <c r="V27" s="99">
        <f t="shared" si="61"/>
        <v>0</v>
      </c>
      <c r="W27" s="79"/>
      <c r="X27" s="78">
        <f t="shared" ref="X27" si="327">ROUND(W27/12*$A$7,0)</f>
        <v>0</v>
      </c>
      <c r="Y27" s="79"/>
      <c r="Z27" s="99">
        <f t="shared" si="63"/>
        <v>0</v>
      </c>
      <c r="AA27" s="79"/>
      <c r="AB27" s="78">
        <f t="shared" ref="AB27" si="328">ROUND(AA27/12*$A$7,0)</f>
        <v>0</v>
      </c>
      <c r="AC27" s="79"/>
      <c r="AD27" s="79"/>
      <c r="AE27" s="79">
        <v>14500</v>
      </c>
      <c r="AF27" s="78">
        <f t="shared" ref="AF27" si="329">ROUND(AE27/12*$A$7,0)</f>
        <v>14500</v>
      </c>
      <c r="AG27" s="79">
        <v>14508</v>
      </c>
      <c r="AH27" s="99">
        <f t="shared" si="66"/>
        <v>100.05517241379312</v>
      </c>
      <c r="AI27" s="79">
        <v>26400</v>
      </c>
      <c r="AJ27" s="78">
        <f t="shared" ref="AJ27" si="330">ROUND(AI27/12*$A$7,0)</f>
        <v>26400</v>
      </c>
      <c r="AK27" s="79">
        <v>26465</v>
      </c>
      <c r="AL27" s="99">
        <f t="shared" si="68"/>
        <v>100.24621212121212</v>
      </c>
      <c r="AM27" s="79"/>
      <c r="AN27" s="78">
        <f t="shared" ref="AN27" si="331">ROUND(AM27/12*$A$7,0)</f>
        <v>0</v>
      </c>
      <c r="AO27" s="79"/>
      <c r="AP27" s="99">
        <f t="shared" si="70"/>
        <v>0</v>
      </c>
      <c r="AQ27" s="79"/>
      <c r="AR27" s="78">
        <f t="shared" ref="AR27" si="332">ROUND(AQ27/12*$A$7,0)</f>
        <v>0</v>
      </c>
      <c r="AS27" s="79"/>
      <c r="AT27" s="99">
        <f t="shared" si="72"/>
        <v>0</v>
      </c>
      <c r="AU27" s="79"/>
      <c r="AV27" s="78">
        <f t="shared" ref="AV27" si="333">ROUND(AU27/12*$A$7,0)</f>
        <v>0</v>
      </c>
      <c r="AW27" s="79"/>
      <c r="AX27" s="99">
        <f t="shared" si="74"/>
        <v>0</v>
      </c>
      <c r="AY27" s="79"/>
      <c r="AZ27" s="78">
        <f t="shared" ref="AZ27" si="334">ROUND(AY27/12*$A$7,0)</f>
        <v>0</v>
      </c>
      <c r="BA27" s="79"/>
      <c r="BB27" s="79"/>
      <c r="BC27" s="79"/>
      <c r="BD27" s="78">
        <f t="shared" ref="BD27" si="335">ROUND(BC27/12*$A$7,0)</f>
        <v>0</v>
      </c>
      <c r="BE27" s="79"/>
      <c r="BF27" s="99">
        <f t="shared" si="77"/>
        <v>0</v>
      </c>
      <c r="BG27" s="79"/>
      <c r="BH27" s="78">
        <f t="shared" ref="BH27" si="336">ROUND(BG27/12*$A$7,0)</f>
        <v>0</v>
      </c>
      <c r="BI27" s="79"/>
      <c r="BJ27" s="79"/>
      <c r="BK27" s="79"/>
      <c r="BL27" s="78">
        <f t="shared" ref="BL27" si="337">ROUND(BK27/12*$A$7,0)</f>
        <v>0</v>
      </c>
      <c r="BM27" s="79"/>
      <c r="BN27" s="79"/>
      <c r="BO27" s="79"/>
      <c r="BP27" s="78">
        <f t="shared" ref="BP27" si="338">ROUND(BO27/12*$A$7,0)</f>
        <v>0</v>
      </c>
      <c r="BQ27" s="79"/>
      <c r="BR27" s="79"/>
      <c r="BS27" s="245">
        <f t="shared" si="310"/>
        <v>49615</v>
      </c>
      <c r="BT27" s="245">
        <f t="shared" si="267"/>
        <v>49615</v>
      </c>
      <c r="BU27" s="245">
        <f t="shared" si="268"/>
        <v>47043</v>
      </c>
      <c r="BV27" s="239">
        <f t="shared" si="81"/>
        <v>94.816083845611203</v>
      </c>
    </row>
    <row r="28" spans="1:74" s="66" customFormat="1" ht="31.5" x14ac:dyDescent="0.25">
      <c r="A28" s="28" t="s">
        <v>138</v>
      </c>
      <c r="B28" s="57" t="s">
        <v>3</v>
      </c>
      <c r="C28" s="79">
        <v>2000</v>
      </c>
      <c r="D28" s="78">
        <f t="shared" si="54"/>
        <v>2000</v>
      </c>
      <c r="E28" s="79">
        <v>2107</v>
      </c>
      <c r="F28" s="99">
        <f t="shared" si="55"/>
        <v>105.35000000000001</v>
      </c>
      <c r="G28" s="79"/>
      <c r="H28" s="78">
        <f t="shared" si="1"/>
        <v>0</v>
      </c>
      <c r="I28" s="79"/>
      <c r="J28" s="99">
        <f t="shared" si="56"/>
        <v>0</v>
      </c>
      <c r="K28" s="79">
        <v>10000</v>
      </c>
      <c r="L28" s="78">
        <f t="shared" si="1"/>
        <v>10000</v>
      </c>
      <c r="M28" s="79">
        <v>10863</v>
      </c>
      <c r="N28" s="99">
        <f t="shared" si="57"/>
        <v>108.63000000000001</v>
      </c>
      <c r="O28" s="79"/>
      <c r="P28" s="78">
        <f t="shared" ref="P28:BP45" si="339">ROUND(O28/12*$A$7,0)</f>
        <v>0</v>
      </c>
      <c r="Q28" s="79"/>
      <c r="R28" s="99">
        <f t="shared" si="59"/>
        <v>0</v>
      </c>
      <c r="S28" s="79">
        <v>400</v>
      </c>
      <c r="T28" s="78">
        <f t="shared" ref="T28" si="340">ROUND(S28/12*$A$7,0)</f>
        <v>400</v>
      </c>
      <c r="U28" s="79">
        <v>476</v>
      </c>
      <c r="V28" s="99">
        <f t="shared" si="61"/>
        <v>119</v>
      </c>
      <c r="W28" s="79"/>
      <c r="X28" s="78">
        <f t="shared" ref="X28" si="341">ROUND(W28/12*$A$7,0)</f>
        <v>0</v>
      </c>
      <c r="Y28" s="79"/>
      <c r="Z28" s="99">
        <f t="shared" si="63"/>
        <v>0</v>
      </c>
      <c r="AA28" s="79"/>
      <c r="AB28" s="78">
        <f t="shared" ref="AB28" si="342">ROUND(AA28/12*$A$7,0)</f>
        <v>0</v>
      </c>
      <c r="AC28" s="79"/>
      <c r="AD28" s="79" t="e">
        <f t="shared" ref="AD28:AD89" si="343">AC28/AB28*100</f>
        <v>#DIV/0!</v>
      </c>
      <c r="AE28" s="79"/>
      <c r="AF28" s="78">
        <f t="shared" ref="AF28" si="344">ROUND(AE28/12*$A$7,0)</f>
        <v>0</v>
      </c>
      <c r="AG28" s="79"/>
      <c r="AH28" s="99">
        <f t="shared" si="66"/>
        <v>0</v>
      </c>
      <c r="AI28" s="79">
        <v>2109</v>
      </c>
      <c r="AJ28" s="78">
        <f t="shared" ref="AJ28" si="345">ROUND(AI28/12*$A$7,0)</f>
        <v>2109</v>
      </c>
      <c r="AK28" s="79">
        <v>2112</v>
      </c>
      <c r="AL28" s="99">
        <f t="shared" si="68"/>
        <v>100.14224751066855</v>
      </c>
      <c r="AM28" s="79"/>
      <c r="AN28" s="78">
        <f t="shared" ref="AN28" si="346">ROUND(AM28/12*$A$7,0)</f>
        <v>0</v>
      </c>
      <c r="AO28" s="79"/>
      <c r="AP28" s="99">
        <f t="shared" si="70"/>
        <v>0</v>
      </c>
      <c r="AQ28" s="79"/>
      <c r="AR28" s="78">
        <f t="shared" ref="AR28" si="347">ROUND(AQ28/12*$A$7,0)</f>
        <v>0</v>
      </c>
      <c r="AS28" s="79"/>
      <c r="AT28" s="99">
        <f t="shared" si="72"/>
        <v>0</v>
      </c>
      <c r="AU28" s="79"/>
      <c r="AV28" s="78">
        <f t="shared" ref="AV28" si="348">ROUND(AU28/12*$A$7,0)</f>
        <v>0</v>
      </c>
      <c r="AW28" s="79"/>
      <c r="AX28" s="99">
        <f t="shared" si="74"/>
        <v>0</v>
      </c>
      <c r="AY28" s="79"/>
      <c r="AZ28" s="78">
        <f t="shared" ref="AZ28" si="349">ROUND(AY28/12*$A$7,0)</f>
        <v>0</v>
      </c>
      <c r="BA28" s="79"/>
      <c r="BB28" s="79" t="e">
        <f t="shared" ref="BB28:BB89" si="350">BA28/AZ28*100</f>
        <v>#DIV/0!</v>
      </c>
      <c r="BC28" s="79">
        <v>6200</v>
      </c>
      <c r="BD28" s="78">
        <f t="shared" ref="BD28" si="351">ROUND(BC28/12*$A$7,0)</f>
        <v>6200</v>
      </c>
      <c r="BE28" s="79">
        <v>8679</v>
      </c>
      <c r="BF28" s="99">
        <f t="shared" si="77"/>
        <v>139.98387096774195</v>
      </c>
      <c r="BG28" s="79"/>
      <c r="BH28" s="78">
        <f t="shared" ref="BH28" si="352">ROUND(BG28/12*$A$7,0)</f>
        <v>0</v>
      </c>
      <c r="BI28" s="79"/>
      <c r="BJ28" s="79"/>
      <c r="BK28" s="79"/>
      <c r="BL28" s="78">
        <f t="shared" ref="BL28" si="353">ROUND(BK28/12*$A$7,0)</f>
        <v>0</v>
      </c>
      <c r="BM28" s="79"/>
      <c r="BN28" s="79" t="e">
        <f t="shared" ref="BN28:BN89" si="354">BM28/BL28*100</f>
        <v>#DIV/0!</v>
      </c>
      <c r="BO28" s="79"/>
      <c r="BP28" s="78">
        <f t="shared" ref="BP28" si="355">ROUND(BO28/12*$A$7,0)</f>
        <v>0</v>
      </c>
      <c r="BQ28" s="79"/>
      <c r="BR28" s="79" t="e">
        <f t="shared" ref="BR28:BR89" si="356">BQ28/BP28*100</f>
        <v>#DIV/0!</v>
      </c>
      <c r="BS28" s="245">
        <f t="shared" si="310"/>
        <v>20709</v>
      </c>
      <c r="BT28" s="245">
        <f t="shared" si="267"/>
        <v>20709</v>
      </c>
      <c r="BU28" s="245">
        <f t="shared" si="268"/>
        <v>24237</v>
      </c>
      <c r="BV28" s="239">
        <f t="shared" si="81"/>
        <v>117.0360712733594</v>
      </c>
    </row>
    <row r="29" spans="1:74" s="64" customFormat="1" ht="31.5" x14ac:dyDescent="0.25">
      <c r="A29" s="28" t="s">
        <v>139</v>
      </c>
      <c r="B29" s="57" t="s">
        <v>3</v>
      </c>
      <c r="C29" s="79"/>
      <c r="D29" s="78">
        <f t="shared" si="54"/>
        <v>0</v>
      </c>
      <c r="E29" s="79"/>
      <c r="F29" s="99">
        <f t="shared" si="55"/>
        <v>0</v>
      </c>
      <c r="G29" s="79"/>
      <c r="H29" s="78">
        <f t="shared" ref="H29:L46" si="357">ROUND(G29/12*$A$7,0)</f>
        <v>0</v>
      </c>
      <c r="I29" s="79"/>
      <c r="J29" s="99">
        <f t="shared" si="56"/>
        <v>0</v>
      </c>
      <c r="K29" s="79"/>
      <c r="L29" s="78">
        <f t="shared" si="357"/>
        <v>0</v>
      </c>
      <c r="M29" s="79"/>
      <c r="N29" s="99">
        <f t="shared" si="57"/>
        <v>0</v>
      </c>
      <c r="O29" s="79"/>
      <c r="P29" s="78">
        <f t="shared" si="339"/>
        <v>0</v>
      </c>
      <c r="Q29" s="79"/>
      <c r="R29" s="99">
        <f t="shared" si="59"/>
        <v>0</v>
      </c>
      <c r="S29" s="79"/>
      <c r="T29" s="78">
        <f t="shared" si="339"/>
        <v>0</v>
      </c>
      <c r="U29" s="79"/>
      <c r="V29" s="99">
        <f t="shared" si="61"/>
        <v>0</v>
      </c>
      <c r="W29" s="79"/>
      <c r="X29" s="78">
        <f t="shared" si="339"/>
        <v>0</v>
      </c>
      <c r="Y29" s="79"/>
      <c r="Z29" s="99">
        <f t="shared" si="63"/>
        <v>0</v>
      </c>
      <c r="AA29" s="79"/>
      <c r="AB29" s="78">
        <f t="shared" si="339"/>
        <v>0</v>
      </c>
      <c r="AC29" s="79"/>
      <c r="AD29" s="79" t="e">
        <f t="shared" si="343"/>
        <v>#DIV/0!</v>
      </c>
      <c r="AE29" s="79"/>
      <c r="AF29" s="78">
        <f t="shared" si="339"/>
        <v>0</v>
      </c>
      <c r="AG29" s="79"/>
      <c r="AH29" s="99">
        <f t="shared" si="66"/>
        <v>0</v>
      </c>
      <c r="AI29" s="79"/>
      <c r="AJ29" s="78">
        <f t="shared" si="339"/>
        <v>0</v>
      </c>
      <c r="AK29" s="79"/>
      <c r="AL29" s="99">
        <f t="shared" si="68"/>
        <v>0</v>
      </c>
      <c r="AM29" s="79"/>
      <c r="AN29" s="78">
        <f t="shared" si="339"/>
        <v>0</v>
      </c>
      <c r="AO29" s="79"/>
      <c r="AP29" s="99">
        <f t="shared" si="70"/>
        <v>0</v>
      </c>
      <c r="AQ29" s="79"/>
      <c r="AR29" s="78">
        <f t="shared" si="339"/>
        <v>0</v>
      </c>
      <c r="AS29" s="79"/>
      <c r="AT29" s="99">
        <f t="shared" si="72"/>
        <v>0</v>
      </c>
      <c r="AU29" s="79"/>
      <c r="AV29" s="78">
        <f t="shared" si="339"/>
        <v>0</v>
      </c>
      <c r="AW29" s="79"/>
      <c r="AX29" s="99">
        <f t="shared" si="74"/>
        <v>0</v>
      </c>
      <c r="AY29" s="79"/>
      <c r="AZ29" s="78">
        <f t="shared" si="339"/>
        <v>0</v>
      </c>
      <c r="BA29" s="79"/>
      <c r="BB29" s="79" t="e">
        <f t="shared" si="350"/>
        <v>#DIV/0!</v>
      </c>
      <c r="BC29" s="79"/>
      <c r="BD29" s="78">
        <f t="shared" si="339"/>
        <v>0</v>
      </c>
      <c r="BE29" s="79"/>
      <c r="BF29" s="99">
        <f t="shared" si="77"/>
        <v>0</v>
      </c>
      <c r="BG29" s="79"/>
      <c r="BH29" s="78">
        <f t="shared" si="339"/>
        <v>0</v>
      </c>
      <c r="BI29" s="79"/>
      <c r="BJ29" s="79"/>
      <c r="BK29" s="79"/>
      <c r="BL29" s="78">
        <f t="shared" si="339"/>
        <v>0</v>
      </c>
      <c r="BM29" s="79"/>
      <c r="BN29" s="79" t="e">
        <f t="shared" si="354"/>
        <v>#DIV/0!</v>
      </c>
      <c r="BO29" s="79"/>
      <c r="BP29" s="78">
        <f t="shared" si="339"/>
        <v>0</v>
      </c>
      <c r="BQ29" s="79"/>
      <c r="BR29" s="79" t="e">
        <f t="shared" si="356"/>
        <v>#DIV/0!</v>
      </c>
      <c r="BS29" s="245">
        <f t="shared" si="310"/>
        <v>0</v>
      </c>
      <c r="BT29" s="245">
        <f t="shared" si="267"/>
        <v>0</v>
      </c>
      <c r="BU29" s="245">
        <f t="shared" si="268"/>
        <v>0</v>
      </c>
      <c r="BV29" s="239">
        <f t="shared" si="81"/>
        <v>0</v>
      </c>
    </row>
    <row r="30" spans="1:74" s="65" customFormat="1" ht="23.25" customHeight="1" x14ac:dyDescent="0.25">
      <c r="A30" s="28" t="s">
        <v>140</v>
      </c>
      <c r="B30" s="57" t="s">
        <v>3</v>
      </c>
      <c r="C30" s="79"/>
      <c r="D30" s="78">
        <f t="shared" si="54"/>
        <v>0</v>
      </c>
      <c r="E30" s="79"/>
      <c r="F30" s="99">
        <f t="shared" si="55"/>
        <v>0</v>
      </c>
      <c r="G30" s="79"/>
      <c r="H30" s="78">
        <f t="shared" si="357"/>
        <v>0</v>
      </c>
      <c r="I30" s="79"/>
      <c r="J30" s="99">
        <f t="shared" si="56"/>
        <v>0</v>
      </c>
      <c r="K30" s="79"/>
      <c r="L30" s="78">
        <f t="shared" si="357"/>
        <v>0</v>
      </c>
      <c r="M30" s="79"/>
      <c r="N30" s="99">
        <f t="shared" si="57"/>
        <v>0</v>
      </c>
      <c r="O30" s="79"/>
      <c r="P30" s="78">
        <f t="shared" si="339"/>
        <v>0</v>
      </c>
      <c r="Q30" s="79"/>
      <c r="R30" s="99">
        <f t="shared" si="59"/>
        <v>0</v>
      </c>
      <c r="S30" s="79"/>
      <c r="T30" s="78">
        <f t="shared" si="339"/>
        <v>0</v>
      </c>
      <c r="U30" s="79"/>
      <c r="V30" s="99">
        <f t="shared" si="61"/>
        <v>0</v>
      </c>
      <c r="W30" s="79"/>
      <c r="X30" s="78">
        <f t="shared" si="339"/>
        <v>0</v>
      </c>
      <c r="Y30" s="79"/>
      <c r="Z30" s="99">
        <f t="shared" si="63"/>
        <v>0</v>
      </c>
      <c r="AA30" s="79"/>
      <c r="AB30" s="78">
        <f t="shared" si="339"/>
        <v>0</v>
      </c>
      <c r="AC30" s="79"/>
      <c r="AD30" s="79" t="e">
        <f t="shared" si="343"/>
        <v>#DIV/0!</v>
      </c>
      <c r="AE30" s="79"/>
      <c r="AF30" s="78">
        <f t="shared" si="339"/>
        <v>0</v>
      </c>
      <c r="AG30" s="79"/>
      <c r="AH30" s="99">
        <f t="shared" si="66"/>
        <v>0</v>
      </c>
      <c r="AI30" s="79"/>
      <c r="AJ30" s="78">
        <f t="shared" si="339"/>
        <v>0</v>
      </c>
      <c r="AK30" s="79"/>
      <c r="AL30" s="99">
        <f t="shared" si="68"/>
        <v>0</v>
      </c>
      <c r="AM30" s="79"/>
      <c r="AN30" s="78">
        <f t="shared" si="339"/>
        <v>0</v>
      </c>
      <c r="AO30" s="79"/>
      <c r="AP30" s="99">
        <f t="shared" si="70"/>
        <v>0</v>
      </c>
      <c r="AQ30" s="79"/>
      <c r="AR30" s="78">
        <f t="shared" si="339"/>
        <v>0</v>
      </c>
      <c r="AS30" s="79"/>
      <c r="AT30" s="99">
        <f t="shared" si="72"/>
        <v>0</v>
      </c>
      <c r="AU30" s="79"/>
      <c r="AV30" s="78">
        <f t="shared" si="339"/>
        <v>0</v>
      </c>
      <c r="AW30" s="79"/>
      <c r="AX30" s="99">
        <f t="shared" si="74"/>
        <v>0</v>
      </c>
      <c r="AY30" s="79"/>
      <c r="AZ30" s="78">
        <f t="shared" si="339"/>
        <v>0</v>
      </c>
      <c r="BA30" s="79"/>
      <c r="BB30" s="79" t="e">
        <f t="shared" si="350"/>
        <v>#DIV/0!</v>
      </c>
      <c r="BC30" s="79"/>
      <c r="BD30" s="78">
        <f t="shared" si="339"/>
        <v>0</v>
      </c>
      <c r="BE30" s="79"/>
      <c r="BF30" s="99">
        <f t="shared" si="77"/>
        <v>0</v>
      </c>
      <c r="BG30" s="79"/>
      <c r="BH30" s="78">
        <f t="shared" si="339"/>
        <v>0</v>
      </c>
      <c r="BI30" s="79"/>
      <c r="BJ30" s="79"/>
      <c r="BK30" s="79"/>
      <c r="BL30" s="78">
        <f t="shared" si="339"/>
        <v>0</v>
      </c>
      <c r="BM30" s="79"/>
      <c r="BN30" s="79" t="e">
        <f t="shared" si="354"/>
        <v>#DIV/0!</v>
      </c>
      <c r="BO30" s="79"/>
      <c r="BP30" s="78">
        <f t="shared" si="339"/>
        <v>0</v>
      </c>
      <c r="BQ30" s="79"/>
      <c r="BR30" s="79" t="e">
        <f t="shared" si="356"/>
        <v>#DIV/0!</v>
      </c>
      <c r="BS30" s="245">
        <f t="shared" si="310"/>
        <v>0</v>
      </c>
      <c r="BT30" s="245">
        <f t="shared" si="267"/>
        <v>0</v>
      </c>
      <c r="BU30" s="245">
        <f t="shared" si="268"/>
        <v>0</v>
      </c>
      <c r="BV30" s="239">
        <f t="shared" si="81"/>
        <v>0</v>
      </c>
    </row>
    <row r="31" spans="1:74" s="67" customFormat="1" ht="31.5" x14ac:dyDescent="0.25">
      <c r="A31" s="36" t="s">
        <v>141</v>
      </c>
      <c r="B31" s="59" t="s">
        <v>3</v>
      </c>
      <c r="C31" s="81">
        <f>C33+C41*2+C43+C48</f>
        <v>0</v>
      </c>
      <c r="D31" s="80">
        <f t="shared" si="54"/>
        <v>0</v>
      </c>
      <c r="E31" s="81">
        <f>E33+E41*2+E43+E48</f>
        <v>0</v>
      </c>
      <c r="F31" s="163">
        <f t="shared" si="55"/>
        <v>0</v>
      </c>
      <c r="G31" s="81">
        <f t="shared" ref="G31" si="358">G33+G41*2+G43+G48</f>
        <v>0</v>
      </c>
      <c r="H31" s="80">
        <f t="shared" si="357"/>
        <v>0</v>
      </c>
      <c r="I31" s="81">
        <f>I33+I41*2+I43+I48</f>
        <v>0</v>
      </c>
      <c r="J31" s="163">
        <f t="shared" si="56"/>
        <v>0</v>
      </c>
      <c r="K31" s="81">
        <f t="shared" ref="K31" si="359">K33+K41*2+K43+K48</f>
        <v>0</v>
      </c>
      <c r="L31" s="80">
        <f t="shared" si="357"/>
        <v>0</v>
      </c>
      <c r="M31" s="81">
        <f>M33+M41*2+M43+M48</f>
        <v>0</v>
      </c>
      <c r="N31" s="163">
        <f t="shared" si="57"/>
        <v>0</v>
      </c>
      <c r="O31" s="81">
        <f t="shared" ref="O31" si="360">O33+O41*2+O43+O48</f>
        <v>0</v>
      </c>
      <c r="P31" s="80">
        <f t="shared" si="339"/>
        <v>0</v>
      </c>
      <c r="Q31" s="81">
        <f>Q33+Q41+Q43+Q48</f>
        <v>0</v>
      </c>
      <c r="R31" s="163">
        <f t="shared" si="59"/>
        <v>0</v>
      </c>
      <c r="S31" s="81">
        <f t="shared" ref="S31" si="361">S33+S41*2+S43+S48</f>
        <v>0</v>
      </c>
      <c r="T31" s="80">
        <f t="shared" si="339"/>
        <v>0</v>
      </c>
      <c r="U31" s="81">
        <f>U33+U41+U43+U48</f>
        <v>0</v>
      </c>
      <c r="V31" s="163">
        <f t="shared" si="61"/>
        <v>0</v>
      </c>
      <c r="W31" s="81">
        <f t="shared" ref="W31" si="362">W33+W41*2+W43+W48</f>
        <v>2500</v>
      </c>
      <c r="X31" s="80">
        <f t="shared" si="339"/>
        <v>2500</v>
      </c>
      <c r="Y31" s="163">
        <f>Y33+Y41*2+Y43+Y48+Y42</f>
        <v>401</v>
      </c>
      <c r="Z31" s="163">
        <f t="shared" si="63"/>
        <v>16.04</v>
      </c>
      <c r="AA31" s="81">
        <f t="shared" ref="AA31" si="363">AA33+AA41*2+AA43+AA48</f>
        <v>0</v>
      </c>
      <c r="AB31" s="80">
        <f t="shared" si="339"/>
        <v>0</v>
      </c>
      <c r="AC31" s="81">
        <f t="shared" ref="AC31" si="364">AC33+AC41*2+AC43+AC48</f>
        <v>0</v>
      </c>
      <c r="AD31" s="81" t="e">
        <f t="shared" si="343"/>
        <v>#DIV/0!</v>
      </c>
      <c r="AE31" s="81">
        <f t="shared" ref="AE31" si="365">AE33+AE41*2+AE43+AE48</f>
        <v>0</v>
      </c>
      <c r="AF31" s="80">
        <f t="shared" si="339"/>
        <v>0</v>
      </c>
      <c r="AG31" s="81">
        <f>AG33+AG41+AG43+AG48</f>
        <v>0</v>
      </c>
      <c r="AH31" s="163">
        <f t="shared" si="66"/>
        <v>0</v>
      </c>
      <c r="AI31" s="81">
        <f t="shared" ref="AI31" si="366">AI33+AI41*2+AI43+AI48</f>
        <v>0</v>
      </c>
      <c r="AJ31" s="80">
        <f t="shared" si="339"/>
        <v>0</v>
      </c>
      <c r="AK31" s="81">
        <f>AK33+AK41+AK43+AK48</f>
        <v>0</v>
      </c>
      <c r="AL31" s="163">
        <f t="shared" si="68"/>
        <v>0</v>
      </c>
      <c r="AM31" s="81">
        <f t="shared" ref="AM31" si="367">AM33+AM41*2+AM43+AM48</f>
        <v>0</v>
      </c>
      <c r="AN31" s="80">
        <f t="shared" si="339"/>
        <v>0</v>
      </c>
      <c r="AO31" s="81">
        <f>AO33+AO41+AO43+AO48</f>
        <v>0</v>
      </c>
      <c r="AP31" s="163">
        <f t="shared" si="70"/>
        <v>0</v>
      </c>
      <c r="AQ31" s="81">
        <f t="shared" ref="AQ31" si="368">AQ33+AQ41*2+AQ43+AQ48</f>
        <v>0</v>
      </c>
      <c r="AR31" s="80">
        <f t="shared" si="339"/>
        <v>0</v>
      </c>
      <c r="AS31" s="81">
        <f>AS33+AS41+AS43+AS48</f>
        <v>0</v>
      </c>
      <c r="AT31" s="163">
        <f t="shared" si="72"/>
        <v>0</v>
      </c>
      <c r="AU31" s="81">
        <f t="shared" ref="AU31" si="369">AU33+AU41*2+AU43+AU48</f>
        <v>0</v>
      </c>
      <c r="AV31" s="80">
        <f t="shared" si="339"/>
        <v>0</v>
      </c>
      <c r="AW31" s="81">
        <f>AW33+AW41+AW43+AW48</f>
        <v>0</v>
      </c>
      <c r="AX31" s="163">
        <f t="shared" si="74"/>
        <v>0</v>
      </c>
      <c r="AY31" s="81">
        <f t="shared" ref="AY31" si="370">AY33+AY41*2+AY43+AY48</f>
        <v>0</v>
      </c>
      <c r="AZ31" s="80">
        <f t="shared" si="339"/>
        <v>0</v>
      </c>
      <c r="BA31" s="81">
        <f t="shared" ref="BA31" si="371">BA33+BA41*2+BA43+BA48</f>
        <v>0</v>
      </c>
      <c r="BB31" s="81" t="e">
        <f t="shared" si="350"/>
        <v>#DIV/0!</v>
      </c>
      <c r="BC31" s="81">
        <f t="shared" ref="BC31" si="372">BC33+BC41*2+BC43+BC48</f>
        <v>0</v>
      </c>
      <c r="BD31" s="80">
        <f t="shared" si="339"/>
        <v>0</v>
      </c>
      <c r="BE31" s="81">
        <f>BE33+BE41+BE43+BE48</f>
        <v>0</v>
      </c>
      <c r="BF31" s="163">
        <f t="shared" si="77"/>
        <v>0</v>
      </c>
      <c r="BG31" s="81">
        <f t="shared" ref="BG31" si="373">BG33+BG41*2+BG43+BG48</f>
        <v>0</v>
      </c>
      <c r="BH31" s="80">
        <f t="shared" si="339"/>
        <v>0</v>
      </c>
      <c r="BI31" s="81">
        <f t="shared" ref="BI31" si="374">BI33+BI41*2+BI43+BI48</f>
        <v>0</v>
      </c>
      <c r="BJ31" s="81"/>
      <c r="BK31" s="81">
        <f t="shared" ref="BK31" si="375">BK33+BK41*2+BK43+BK48</f>
        <v>0</v>
      </c>
      <c r="BL31" s="80">
        <f t="shared" si="339"/>
        <v>0</v>
      </c>
      <c r="BM31" s="81">
        <f t="shared" ref="BM31" si="376">BM33+BM41*2+BM43+BM48</f>
        <v>0</v>
      </c>
      <c r="BN31" s="81" t="e">
        <f t="shared" si="354"/>
        <v>#DIV/0!</v>
      </c>
      <c r="BO31" s="81">
        <f t="shared" ref="BO31" si="377">BO33+BO41*2+BO43+BO48</f>
        <v>0</v>
      </c>
      <c r="BP31" s="80">
        <f t="shared" si="339"/>
        <v>0</v>
      </c>
      <c r="BQ31" s="81">
        <f t="shared" ref="BQ31" si="378">BQ33+BQ41*2+BQ43+BQ48</f>
        <v>0</v>
      </c>
      <c r="BR31" s="81" t="e">
        <f t="shared" si="356"/>
        <v>#DIV/0!</v>
      </c>
      <c r="BS31" s="245">
        <f t="shared" si="310"/>
        <v>2500</v>
      </c>
      <c r="BT31" s="245">
        <f t="shared" si="267"/>
        <v>2500</v>
      </c>
      <c r="BU31" s="245">
        <f t="shared" si="268"/>
        <v>401</v>
      </c>
      <c r="BV31" s="239">
        <f t="shared" si="81"/>
        <v>16.04</v>
      </c>
    </row>
    <row r="32" spans="1:74" x14ac:dyDescent="0.25">
      <c r="A32" s="28" t="s">
        <v>132</v>
      </c>
      <c r="B32" s="56"/>
      <c r="C32" s="489"/>
      <c r="D32" s="78">
        <f t="shared" si="54"/>
        <v>0</v>
      </c>
      <c r="E32" s="489"/>
      <c r="F32" s="99">
        <f t="shared" si="55"/>
        <v>0</v>
      </c>
      <c r="G32" s="489"/>
      <c r="H32" s="78">
        <f t="shared" si="357"/>
        <v>0</v>
      </c>
      <c r="I32" s="489"/>
      <c r="J32" s="99">
        <f t="shared" si="56"/>
        <v>0</v>
      </c>
      <c r="K32" s="489"/>
      <c r="L32" s="78">
        <f t="shared" si="357"/>
        <v>0</v>
      </c>
      <c r="M32" s="489"/>
      <c r="N32" s="99">
        <f t="shared" si="57"/>
        <v>0</v>
      </c>
      <c r="O32" s="489"/>
      <c r="P32" s="78">
        <f t="shared" si="339"/>
        <v>0</v>
      </c>
      <c r="Q32" s="489"/>
      <c r="R32" s="99">
        <f t="shared" si="59"/>
        <v>0</v>
      </c>
      <c r="S32" s="489"/>
      <c r="T32" s="78">
        <f t="shared" si="339"/>
        <v>0</v>
      </c>
      <c r="U32" s="489"/>
      <c r="V32" s="99">
        <f t="shared" si="61"/>
        <v>0</v>
      </c>
      <c r="W32" s="489"/>
      <c r="X32" s="78">
        <f t="shared" si="339"/>
        <v>0</v>
      </c>
      <c r="Y32" s="489"/>
      <c r="Z32" s="99">
        <f t="shared" si="63"/>
        <v>0</v>
      </c>
      <c r="AA32" s="489"/>
      <c r="AB32" s="78">
        <f t="shared" si="339"/>
        <v>0</v>
      </c>
      <c r="AC32" s="489"/>
      <c r="AD32" s="79" t="e">
        <f t="shared" si="343"/>
        <v>#DIV/0!</v>
      </c>
      <c r="AE32" s="489"/>
      <c r="AF32" s="78">
        <f t="shared" si="339"/>
        <v>0</v>
      </c>
      <c r="AG32" s="489"/>
      <c r="AH32" s="99">
        <f t="shared" si="66"/>
        <v>0</v>
      </c>
      <c r="AI32" s="489"/>
      <c r="AJ32" s="78">
        <f t="shared" si="339"/>
        <v>0</v>
      </c>
      <c r="AK32" s="489"/>
      <c r="AL32" s="99">
        <f t="shared" si="68"/>
        <v>0</v>
      </c>
      <c r="AM32" s="489"/>
      <c r="AN32" s="78">
        <f t="shared" si="339"/>
        <v>0</v>
      </c>
      <c r="AO32" s="489"/>
      <c r="AP32" s="99">
        <f t="shared" si="70"/>
        <v>0</v>
      </c>
      <c r="AQ32" s="489"/>
      <c r="AR32" s="78">
        <f t="shared" si="339"/>
        <v>0</v>
      </c>
      <c r="AS32" s="489"/>
      <c r="AT32" s="99">
        <f t="shared" si="72"/>
        <v>0</v>
      </c>
      <c r="AU32" s="489"/>
      <c r="AV32" s="78">
        <f t="shared" si="339"/>
        <v>0</v>
      </c>
      <c r="AW32" s="489"/>
      <c r="AX32" s="99">
        <f t="shared" si="74"/>
        <v>0</v>
      </c>
      <c r="AY32" s="489"/>
      <c r="AZ32" s="78">
        <f t="shared" si="339"/>
        <v>0</v>
      </c>
      <c r="BA32" s="489"/>
      <c r="BB32" s="79" t="e">
        <f t="shared" si="350"/>
        <v>#DIV/0!</v>
      </c>
      <c r="BC32" s="489"/>
      <c r="BD32" s="78">
        <f t="shared" si="339"/>
        <v>0</v>
      </c>
      <c r="BE32" s="489"/>
      <c r="BF32" s="99">
        <f t="shared" si="77"/>
        <v>0</v>
      </c>
      <c r="BG32" s="489"/>
      <c r="BH32" s="78">
        <f t="shared" si="339"/>
        <v>0</v>
      </c>
      <c r="BI32" s="489"/>
      <c r="BJ32" s="79"/>
      <c r="BK32" s="489"/>
      <c r="BL32" s="78">
        <f t="shared" si="339"/>
        <v>0</v>
      </c>
      <c r="BM32" s="489"/>
      <c r="BN32" s="79" t="e">
        <f t="shared" si="354"/>
        <v>#DIV/0!</v>
      </c>
      <c r="BO32" s="489"/>
      <c r="BP32" s="78">
        <f t="shared" si="339"/>
        <v>0</v>
      </c>
      <c r="BQ32" s="489"/>
      <c r="BR32" s="79" t="e">
        <f t="shared" si="356"/>
        <v>#DIV/0!</v>
      </c>
      <c r="BS32" s="245">
        <f t="shared" si="310"/>
        <v>0</v>
      </c>
      <c r="BT32" s="245">
        <f t="shared" si="267"/>
        <v>0</v>
      </c>
      <c r="BU32" s="245">
        <f t="shared" si="268"/>
        <v>0</v>
      </c>
      <c r="BV32" s="239">
        <f t="shared" si="81"/>
        <v>0</v>
      </c>
    </row>
    <row r="33" spans="1:74" ht="31.5" x14ac:dyDescent="0.25">
      <c r="A33" s="28" t="s">
        <v>142</v>
      </c>
      <c r="B33" s="57" t="s">
        <v>3</v>
      </c>
      <c r="C33" s="489">
        <f>C34+C35+C36+C37+C38+C39*2</f>
        <v>0</v>
      </c>
      <c r="D33" s="78">
        <f t="shared" si="54"/>
        <v>0</v>
      </c>
      <c r="E33" s="489">
        <f>E34+E35+E36+E37+E38+E39*2</f>
        <v>0</v>
      </c>
      <c r="F33" s="99">
        <f t="shared" si="55"/>
        <v>0</v>
      </c>
      <c r="G33" s="489">
        <f t="shared" ref="G33" si="379">G34+G35+G36+G37+G38+G39*2</f>
        <v>0</v>
      </c>
      <c r="H33" s="78">
        <f t="shared" si="357"/>
        <v>0</v>
      </c>
      <c r="I33" s="489">
        <f>I34+I35+I36+I37+I38+I39*2</f>
        <v>0</v>
      </c>
      <c r="J33" s="99">
        <f t="shared" si="56"/>
        <v>0</v>
      </c>
      <c r="K33" s="489">
        <f t="shared" ref="K33" si="380">K34+K35+K36+K37+K38+K39*2</f>
        <v>0</v>
      </c>
      <c r="L33" s="78">
        <f t="shared" si="357"/>
        <v>0</v>
      </c>
      <c r="M33" s="489">
        <f>M34+M35+M36+M37+M38+M39*2</f>
        <v>0</v>
      </c>
      <c r="N33" s="99">
        <f t="shared" si="57"/>
        <v>0</v>
      </c>
      <c r="O33" s="489">
        <f t="shared" ref="O33" si="381">O34+O35+O36+O37+O38+O39*2</f>
        <v>0</v>
      </c>
      <c r="P33" s="78">
        <f t="shared" si="339"/>
        <v>0</v>
      </c>
      <c r="Q33" s="489">
        <f>Q34+Q35+Q36+Q37+Q38+Q39</f>
        <v>0</v>
      </c>
      <c r="R33" s="99">
        <f t="shared" si="59"/>
        <v>0</v>
      </c>
      <c r="S33" s="489">
        <f t="shared" ref="S33" si="382">S34+S35+S36+S37+S38+S39*2</f>
        <v>0</v>
      </c>
      <c r="T33" s="78">
        <f t="shared" si="339"/>
        <v>0</v>
      </c>
      <c r="U33" s="489">
        <f>U34+U35+U36+U37+U38+U39</f>
        <v>0</v>
      </c>
      <c r="V33" s="99">
        <f t="shared" si="61"/>
        <v>0</v>
      </c>
      <c r="W33" s="489">
        <f t="shared" ref="W33:X33" si="383">W34+W35+W36+W37+W38+W39*2</f>
        <v>1700</v>
      </c>
      <c r="X33" s="212">
        <f t="shared" si="383"/>
        <v>1700</v>
      </c>
      <c r="Y33" s="489">
        <f>Y34+Y35+Y36+Y37+Y38+Y39*2+Y40</f>
        <v>364</v>
      </c>
      <c r="Z33" s="99">
        <f t="shared" si="63"/>
        <v>21.411764705882351</v>
      </c>
      <c r="AA33" s="489">
        <f t="shared" ref="AA33" si="384">AA34+AA35+AA36+AA37+AA38+AA39*2</f>
        <v>0</v>
      </c>
      <c r="AB33" s="78">
        <f t="shared" si="339"/>
        <v>0</v>
      </c>
      <c r="AC33" s="489">
        <f t="shared" ref="AC33" si="385">AC34+AC35+AC36+AC37+AC38+AC39*2</f>
        <v>0</v>
      </c>
      <c r="AD33" s="79" t="e">
        <f t="shared" si="343"/>
        <v>#DIV/0!</v>
      </c>
      <c r="AE33" s="489">
        <f t="shared" ref="AE33" si="386">AE34+AE35+AE36+AE37+AE38+AE39*2</f>
        <v>0</v>
      </c>
      <c r="AF33" s="78">
        <f t="shared" si="339"/>
        <v>0</v>
      </c>
      <c r="AG33" s="489">
        <f>AG34+AG35+AG36+AG37+AG38+AG39</f>
        <v>0</v>
      </c>
      <c r="AH33" s="99">
        <f t="shared" si="66"/>
        <v>0</v>
      </c>
      <c r="AI33" s="489">
        <f t="shared" ref="AI33" si="387">AI34+AI35+AI36+AI37+AI38+AI39*2</f>
        <v>0</v>
      </c>
      <c r="AJ33" s="78">
        <f t="shared" si="339"/>
        <v>0</v>
      </c>
      <c r="AK33" s="489">
        <f>AK34+AK35+AK36+AK37+AK38+AK39</f>
        <v>0</v>
      </c>
      <c r="AL33" s="99">
        <f t="shared" si="68"/>
        <v>0</v>
      </c>
      <c r="AM33" s="489">
        <f t="shared" ref="AM33" si="388">AM34+AM35+AM36+AM37+AM38+AM39*2</f>
        <v>0</v>
      </c>
      <c r="AN33" s="78">
        <f t="shared" si="339"/>
        <v>0</v>
      </c>
      <c r="AO33" s="489">
        <f>AO34+AO35+AO36+AO37+AO38+AO39</f>
        <v>0</v>
      </c>
      <c r="AP33" s="99">
        <f t="shared" si="70"/>
        <v>0</v>
      </c>
      <c r="AQ33" s="489">
        <f t="shared" ref="AQ33" si="389">AQ34+AQ35+AQ36+AQ37+AQ38+AQ39*2</f>
        <v>0</v>
      </c>
      <c r="AR33" s="78">
        <f t="shared" si="339"/>
        <v>0</v>
      </c>
      <c r="AS33" s="489">
        <f>AS34+AS35+AS36+AS37+AS38+AS39</f>
        <v>0</v>
      </c>
      <c r="AT33" s="99">
        <f t="shared" si="72"/>
        <v>0</v>
      </c>
      <c r="AU33" s="489">
        <f t="shared" ref="AU33" si="390">AU34+AU35+AU36+AU37+AU38+AU39*2</f>
        <v>0</v>
      </c>
      <c r="AV33" s="78">
        <f t="shared" si="339"/>
        <v>0</v>
      </c>
      <c r="AW33" s="489">
        <f>AW34+AW35+AW36+AW37+AW38+AW39</f>
        <v>0</v>
      </c>
      <c r="AX33" s="99">
        <f t="shared" si="74"/>
        <v>0</v>
      </c>
      <c r="AY33" s="489">
        <f t="shared" ref="AY33" si="391">AY34+AY35+AY36+AY37+AY38+AY39*2</f>
        <v>0</v>
      </c>
      <c r="AZ33" s="78">
        <f t="shared" si="339"/>
        <v>0</v>
      </c>
      <c r="BA33" s="489">
        <f t="shared" ref="BA33" si="392">BA34+BA35+BA36+BA37+BA38+BA39*2</f>
        <v>0</v>
      </c>
      <c r="BB33" s="79" t="e">
        <f t="shared" si="350"/>
        <v>#DIV/0!</v>
      </c>
      <c r="BC33" s="489">
        <f t="shared" ref="BC33" si="393">BC34+BC35+BC36+BC37+BC38+BC39*2</f>
        <v>0</v>
      </c>
      <c r="BD33" s="78">
        <f t="shared" si="339"/>
        <v>0</v>
      </c>
      <c r="BE33" s="489">
        <f>BE34+BE35+BE36+BE37+BE38+BE39</f>
        <v>0</v>
      </c>
      <c r="BF33" s="99">
        <f t="shared" si="77"/>
        <v>0</v>
      </c>
      <c r="BG33" s="489">
        <f t="shared" ref="BG33" si="394">BG34+BG35+BG36+BG37+BG38+BG39*2</f>
        <v>0</v>
      </c>
      <c r="BH33" s="78">
        <f t="shared" si="339"/>
        <v>0</v>
      </c>
      <c r="BI33" s="489">
        <f t="shared" ref="BI33" si="395">BI34+BI35+BI36+BI37+BI38+BI39*2</f>
        <v>0</v>
      </c>
      <c r="BJ33" s="79"/>
      <c r="BK33" s="489">
        <f t="shared" ref="BK33" si="396">BK34+BK35+BK36+BK37+BK38+BK39*2</f>
        <v>0</v>
      </c>
      <c r="BL33" s="78">
        <f t="shared" si="339"/>
        <v>0</v>
      </c>
      <c r="BM33" s="489">
        <f t="shared" ref="BM33" si="397">BM34+BM35+BM36+BM37+BM38+BM39*2</f>
        <v>0</v>
      </c>
      <c r="BN33" s="79" t="e">
        <f t="shared" si="354"/>
        <v>#DIV/0!</v>
      </c>
      <c r="BO33" s="489">
        <f t="shared" ref="BO33" si="398">BO34+BO35+BO36+BO37+BO38+BO39*2</f>
        <v>0</v>
      </c>
      <c r="BP33" s="78">
        <f t="shared" si="339"/>
        <v>0</v>
      </c>
      <c r="BQ33" s="489">
        <f t="shared" ref="BQ33" si="399">BQ34+BQ35+BQ36+BQ37+BQ38+BQ39*2</f>
        <v>0</v>
      </c>
      <c r="BR33" s="79" t="e">
        <f t="shared" si="356"/>
        <v>#DIV/0!</v>
      </c>
      <c r="BS33" s="245">
        <f t="shared" si="310"/>
        <v>1700</v>
      </c>
      <c r="BT33" s="245">
        <f t="shared" si="267"/>
        <v>1700</v>
      </c>
      <c r="BU33" s="245">
        <f t="shared" si="268"/>
        <v>364</v>
      </c>
      <c r="BV33" s="239">
        <f t="shared" si="81"/>
        <v>21.411764705882351</v>
      </c>
    </row>
    <row r="34" spans="1:74" s="66" customFormat="1" x14ac:dyDescent="0.25">
      <c r="A34" s="29" t="s">
        <v>143</v>
      </c>
      <c r="B34" s="60" t="s">
        <v>339</v>
      </c>
      <c r="C34" s="490"/>
      <c r="D34" s="78">
        <f t="shared" si="54"/>
        <v>0</v>
      </c>
      <c r="E34" s="490"/>
      <c r="F34" s="99">
        <f t="shared" si="55"/>
        <v>0</v>
      </c>
      <c r="G34" s="490"/>
      <c r="H34" s="78">
        <f t="shared" si="357"/>
        <v>0</v>
      </c>
      <c r="I34" s="490"/>
      <c r="J34" s="99">
        <f t="shared" si="56"/>
        <v>0</v>
      </c>
      <c r="K34" s="490"/>
      <c r="L34" s="78">
        <f t="shared" si="357"/>
        <v>0</v>
      </c>
      <c r="M34" s="490"/>
      <c r="N34" s="99">
        <f t="shared" si="57"/>
        <v>0</v>
      </c>
      <c r="O34" s="490"/>
      <c r="P34" s="78">
        <f t="shared" si="339"/>
        <v>0</v>
      </c>
      <c r="Q34" s="490"/>
      <c r="R34" s="99">
        <f t="shared" si="59"/>
        <v>0</v>
      </c>
      <c r="S34" s="490"/>
      <c r="T34" s="78">
        <f t="shared" si="339"/>
        <v>0</v>
      </c>
      <c r="U34" s="490"/>
      <c r="V34" s="99">
        <f t="shared" si="61"/>
        <v>0</v>
      </c>
      <c r="W34" s="490">
        <v>10</v>
      </c>
      <c r="X34" s="97">
        <v>10</v>
      </c>
      <c r="Y34" s="490">
        <v>2</v>
      </c>
      <c r="Z34" s="99">
        <f t="shared" si="63"/>
        <v>20</v>
      </c>
      <c r="AA34" s="490"/>
      <c r="AB34" s="78">
        <f t="shared" si="339"/>
        <v>0</v>
      </c>
      <c r="AC34" s="490"/>
      <c r="AD34" s="79" t="e">
        <f t="shared" si="343"/>
        <v>#DIV/0!</v>
      </c>
      <c r="AE34" s="490"/>
      <c r="AF34" s="78">
        <f t="shared" si="339"/>
        <v>0</v>
      </c>
      <c r="AG34" s="490"/>
      <c r="AH34" s="99">
        <f t="shared" si="66"/>
        <v>0</v>
      </c>
      <c r="AI34" s="490"/>
      <c r="AJ34" s="78">
        <f t="shared" si="339"/>
        <v>0</v>
      </c>
      <c r="AK34" s="490"/>
      <c r="AL34" s="99">
        <f t="shared" si="68"/>
        <v>0</v>
      </c>
      <c r="AM34" s="490"/>
      <c r="AN34" s="78">
        <f t="shared" si="339"/>
        <v>0</v>
      </c>
      <c r="AO34" s="490"/>
      <c r="AP34" s="99">
        <f t="shared" si="70"/>
        <v>0</v>
      </c>
      <c r="AQ34" s="490"/>
      <c r="AR34" s="78">
        <f t="shared" si="339"/>
        <v>0</v>
      </c>
      <c r="AS34" s="490"/>
      <c r="AT34" s="99">
        <f t="shared" si="72"/>
        <v>0</v>
      </c>
      <c r="AU34" s="490"/>
      <c r="AV34" s="78">
        <f t="shared" si="339"/>
        <v>0</v>
      </c>
      <c r="AW34" s="490"/>
      <c r="AX34" s="99">
        <f t="shared" si="74"/>
        <v>0</v>
      </c>
      <c r="AY34" s="490"/>
      <c r="AZ34" s="78">
        <f t="shared" si="339"/>
        <v>0</v>
      </c>
      <c r="BA34" s="490"/>
      <c r="BB34" s="79" t="e">
        <f t="shared" si="350"/>
        <v>#DIV/0!</v>
      </c>
      <c r="BC34" s="490"/>
      <c r="BD34" s="78">
        <f t="shared" si="339"/>
        <v>0</v>
      </c>
      <c r="BE34" s="490"/>
      <c r="BF34" s="99">
        <f t="shared" si="77"/>
        <v>0</v>
      </c>
      <c r="BG34" s="490"/>
      <c r="BH34" s="78">
        <f t="shared" si="339"/>
        <v>0</v>
      </c>
      <c r="BI34" s="490"/>
      <c r="BJ34" s="79"/>
      <c r="BK34" s="490"/>
      <c r="BL34" s="78">
        <f t="shared" si="339"/>
        <v>0</v>
      </c>
      <c r="BM34" s="490"/>
      <c r="BN34" s="79" t="e">
        <f t="shared" si="354"/>
        <v>#DIV/0!</v>
      </c>
      <c r="BO34" s="490"/>
      <c r="BP34" s="78">
        <f t="shared" si="339"/>
        <v>0</v>
      </c>
      <c r="BQ34" s="490"/>
      <c r="BR34" s="79" t="e">
        <f t="shared" si="356"/>
        <v>#DIV/0!</v>
      </c>
      <c r="BS34" s="245">
        <f t="shared" si="310"/>
        <v>10</v>
      </c>
      <c r="BT34" s="245">
        <f t="shared" si="267"/>
        <v>10</v>
      </c>
      <c r="BU34" s="245">
        <f t="shared" si="268"/>
        <v>2</v>
      </c>
      <c r="BV34" s="239">
        <f t="shared" si="81"/>
        <v>20</v>
      </c>
    </row>
    <row r="35" spans="1:74" x14ac:dyDescent="0.25">
      <c r="A35" s="29" t="s">
        <v>144</v>
      </c>
      <c r="B35" s="60" t="s">
        <v>339</v>
      </c>
      <c r="C35" s="288"/>
      <c r="D35" s="78">
        <f t="shared" si="54"/>
        <v>0</v>
      </c>
      <c r="E35" s="288"/>
      <c r="F35" s="99">
        <f t="shared" si="55"/>
        <v>0</v>
      </c>
      <c r="G35" s="288"/>
      <c r="H35" s="78">
        <f t="shared" si="357"/>
        <v>0</v>
      </c>
      <c r="I35" s="288"/>
      <c r="J35" s="99">
        <f t="shared" si="56"/>
        <v>0</v>
      </c>
      <c r="K35" s="288"/>
      <c r="L35" s="78">
        <f t="shared" si="357"/>
        <v>0</v>
      </c>
      <c r="M35" s="288"/>
      <c r="N35" s="99">
        <f t="shared" si="57"/>
        <v>0</v>
      </c>
      <c r="O35" s="288"/>
      <c r="P35" s="78">
        <f t="shared" si="339"/>
        <v>0</v>
      </c>
      <c r="Q35" s="288"/>
      <c r="R35" s="99">
        <f t="shared" si="59"/>
        <v>0</v>
      </c>
      <c r="S35" s="288"/>
      <c r="T35" s="78">
        <f t="shared" si="339"/>
        <v>0</v>
      </c>
      <c r="U35" s="288"/>
      <c r="V35" s="99">
        <f t="shared" si="61"/>
        <v>0</v>
      </c>
      <c r="W35" s="288">
        <v>120</v>
      </c>
      <c r="X35" s="97">
        <v>120</v>
      </c>
      <c r="Y35" s="288">
        <v>15</v>
      </c>
      <c r="Z35" s="99">
        <f t="shared" si="63"/>
        <v>12.5</v>
      </c>
      <c r="AA35" s="288"/>
      <c r="AB35" s="78">
        <f t="shared" si="339"/>
        <v>0</v>
      </c>
      <c r="AC35" s="288"/>
      <c r="AD35" s="79" t="e">
        <f t="shared" si="343"/>
        <v>#DIV/0!</v>
      </c>
      <c r="AE35" s="288"/>
      <c r="AF35" s="78">
        <f t="shared" si="339"/>
        <v>0</v>
      </c>
      <c r="AG35" s="288"/>
      <c r="AH35" s="99">
        <f t="shared" si="66"/>
        <v>0</v>
      </c>
      <c r="AI35" s="288"/>
      <c r="AJ35" s="78">
        <f t="shared" si="339"/>
        <v>0</v>
      </c>
      <c r="AK35" s="288"/>
      <c r="AL35" s="99">
        <f t="shared" si="68"/>
        <v>0</v>
      </c>
      <c r="AM35" s="288"/>
      <c r="AN35" s="78">
        <f t="shared" si="339"/>
        <v>0</v>
      </c>
      <c r="AO35" s="288"/>
      <c r="AP35" s="99">
        <f t="shared" si="70"/>
        <v>0</v>
      </c>
      <c r="AQ35" s="288"/>
      <c r="AR35" s="78">
        <f t="shared" si="339"/>
        <v>0</v>
      </c>
      <c r="AS35" s="288"/>
      <c r="AT35" s="99">
        <f t="shared" si="72"/>
        <v>0</v>
      </c>
      <c r="AU35" s="288"/>
      <c r="AV35" s="78">
        <f t="shared" si="339"/>
        <v>0</v>
      </c>
      <c r="AW35" s="288"/>
      <c r="AX35" s="99">
        <f t="shared" si="74"/>
        <v>0</v>
      </c>
      <c r="AY35" s="288"/>
      <c r="AZ35" s="78">
        <f t="shared" si="339"/>
        <v>0</v>
      </c>
      <c r="BA35" s="288"/>
      <c r="BB35" s="79" t="e">
        <f t="shared" si="350"/>
        <v>#DIV/0!</v>
      </c>
      <c r="BC35" s="288"/>
      <c r="BD35" s="78">
        <f t="shared" si="339"/>
        <v>0</v>
      </c>
      <c r="BE35" s="288"/>
      <c r="BF35" s="99">
        <f t="shared" si="77"/>
        <v>0</v>
      </c>
      <c r="BG35" s="288"/>
      <c r="BH35" s="78">
        <f t="shared" si="339"/>
        <v>0</v>
      </c>
      <c r="BI35" s="288"/>
      <c r="BJ35" s="79"/>
      <c r="BK35" s="288"/>
      <c r="BL35" s="78">
        <f t="shared" si="339"/>
        <v>0</v>
      </c>
      <c r="BM35" s="288"/>
      <c r="BN35" s="79" t="e">
        <f t="shared" si="354"/>
        <v>#DIV/0!</v>
      </c>
      <c r="BO35" s="288"/>
      <c r="BP35" s="78">
        <f t="shared" si="339"/>
        <v>0</v>
      </c>
      <c r="BQ35" s="288"/>
      <c r="BR35" s="79" t="e">
        <f t="shared" si="356"/>
        <v>#DIV/0!</v>
      </c>
      <c r="BS35" s="245">
        <f t="shared" si="310"/>
        <v>120</v>
      </c>
      <c r="BT35" s="245">
        <f t="shared" si="267"/>
        <v>120</v>
      </c>
      <c r="BU35" s="245">
        <f t="shared" si="268"/>
        <v>15</v>
      </c>
      <c r="BV35" s="239">
        <f t="shared" si="81"/>
        <v>12.5</v>
      </c>
    </row>
    <row r="36" spans="1:74" x14ac:dyDescent="0.25">
      <c r="A36" s="29" t="s">
        <v>145</v>
      </c>
      <c r="B36" s="60" t="s">
        <v>339</v>
      </c>
      <c r="C36" s="288"/>
      <c r="D36" s="78">
        <f t="shared" si="54"/>
        <v>0</v>
      </c>
      <c r="E36" s="288"/>
      <c r="F36" s="99">
        <f t="shared" si="55"/>
        <v>0</v>
      </c>
      <c r="G36" s="288"/>
      <c r="H36" s="78">
        <f t="shared" si="357"/>
        <v>0</v>
      </c>
      <c r="I36" s="288"/>
      <c r="J36" s="99">
        <f t="shared" si="56"/>
        <v>0</v>
      </c>
      <c r="K36" s="288"/>
      <c r="L36" s="78">
        <f t="shared" si="357"/>
        <v>0</v>
      </c>
      <c r="M36" s="288"/>
      <c r="N36" s="99">
        <f t="shared" si="57"/>
        <v>0</v>
      </c>
      <c r="O36" s="288"/>
      <c r="P36" s="78">
        <f t="shared" si="339"/>
        <v>0</v>
      </c>
      <c r="Q36" s="288"/>
      <c r="R36" s="99">
        <f t="shared" si="59"/>
        <v>0</v>
      </c>
      <c r="S36" s="288"/>
      <c r="T36" s="78">
        <f t="shared" si="339"/>
        <v>0</v>
      </c>
      <c r="U36" s="288"/>
      <c r="V36" s="99">
        <f t="shared" si="61"/>
        <v>0</v>
      </c>
      <c r="W36" s="288">
        <v>40</v>
      </c>
      <c r="X36" s="97">
        <v>40</v>
      </c>
      <c r="Y36" s="288">
        <v>2</v>
      </c>
      <c r="Z36" s="99">
        <f t="shared" si="63"/>
        <v>5</v>
      </c>
      <c r="AA36" s="288"/>
      <c r="AB36" s="78">
        <f t="shared" si="339"/>
        <v>0</v>
      </c>
      <c r="AC36" s="288"/>
      <c r="AD36" s="79" t="e">
        <f t="shared" si="343"/>
        <v>#DIV/0!</v>
      </c>
      <c r="AE36" s="288"/>
      <c r="AF36" s="78">
        <f t="shared" si="339"/>
        <v>0</v>
      </c>
      <c r="AG36" s="288"/>
      <c r="AH36" s="99">
        <f t="shared" si="66"/>
        <v>0</v>
      </c>
      <c r="AI36" s="288"/>
      <c r="AJ36" s="78">
        <f t="shared" si="339"/>
        <v>0</v>
      </c>
      <c r="AK36" s="288"/>
      <c r="AL36" s="99">
        <f t="shared" si="68"/>
        <v>0</v>
      </c>
      <c r="AM36" s="288"/>
      <c r="AN36" s="78">
        <f t="shared" si="339"/>
        <v>0</v>
      </c>
      <c r="AO36" s="288"/>
      <c r="AP36" s="99">
        <f t="shared" si="70"/>
        <v>0</v>
      </c>
      <c r="AQ36" s="288"/>
      <c r="AR36" s="78">
        <f t="shared" si="339"/>
        <v>0</v>
      </c>
      <c r="AS36" s="288"/>
      <c r="AT36" s="99">
        <f t="shared" si="72"/>
        <v>0</v>
      </c>
      <c r="AU36" s="288"/>
      <c r="AV36" s="78">
        <f t="shared" si="339"/>
        <v>0</v>
      </c>
      <c r="AW36" s="288"/>
      <c r="AX36" s="99">
        <f t="shared" si="74"/>
        <v>0</v>
      </c>
      <c r="AY36" s="288"/>
      <c r="AZ36" s="78">
        <f t="shared" si="339"/>
        <v>0</v>
      </c>
      <c r="BA36" s="288"/>
      <c r="BB36" s="79" t="e">
        <f t="shared" si="350"/>
        <v>#DIV/0!</v>
      </c>
      <c r="BC36" s="288"/>
      <c r="BD36" s="78">
        <f t="shared" si="339"/>
        <v>0</v>
      </c>
      <c r="BE36" s="288"/>
      <c r="BF36" s="99">
        <f t="shared" si="77"/>
        <v>0</v>
      </c>
      <c r="BG36" s="288"/>
      <c r="BH36" s="78">
        <f t="shared" si="339"/>
        <v>0</v>
      </c>
      <c r="BI36" s="288"/>
      <c r="BJ36" s="79"/>
      <c r="BK36" s="288"/>
      <c r="BL36" s="78">
        <f t="shared" si="339"/>
        <v>0</v>
      </c>
      <c r="BM36" s="288"/>
      <c r="BN36" s="79" t="e">
        <f t="shared" si="354"/>
        <v>#DIV/0!</v>
      </c>
      <c r="BO36" s="288"/>
      <c r="BP36" s="78">
        <f t="shared" si="339"/>
        <v>0</v>
      </c>
      <c r="BQ36" s="288"/>
      <c r="BR36" s="79" t="e">
        <f t="shared" si="356"/>
        <v>#DIV/0!</v>
      </c>
      <c r="BS36" s="245">
        <f t="shared" si="310"/>
        <v>40</v>
      </c>
      <c r="BT36" s="245">
        <f t="shared" si="267"/>
        <v>40</v>
      </c>
      <c r="BU36" s="245">
        <f t="shared" si="268"/>
        <v>2</v>
      </c>
      <c r="BV36" s="239">
        <f t="shared" si="81"/>
        <v>5</v>
      </c>
    </row>
    <row r="37" spans="1:74" x14ac:dyDescent="0.25">
      <c r="A37" s="29" t="s">
        <v>146</v>
      </c>
      <c r="B37" s="60" t="s">
        <v>339</v>
      </c>
      <c r="C37" s="288"/>
      <c r="D37" s="78">
        <f t="shared" si="54"/>
        <v>0</v>
      </c>
      <c r="E37" s="288"/>
      <c r="F37" s="99">
        <f t="shared" si="55"/>
        <v>0</v>
      </c>
      <c r="G37" s="288"/>
      <c r="H37" s="78">
        <f t="shared" si="357"/>
        <v>0</v>
      </c>
      <c r="I37" s="288"/>
      <c r="J37" s="99">
        <f t="shared" si="56"/>
        <v>0</v>
      </c>
      <c r="K37" s="288"/>
      <c r="L37" s="78">
        <f t="shared" si="357"/>
        <v>0</v>
      </c>
      <c r="M37" s="288"/>
      <c r="N37" s="99">
        <f t="shared" si="57"/>
        <v>0</v>
      </c>
      <c r="O37" s="288"/>
      <c r="P37" s="78">
        <f t="shared" si="339"/>
        <v>0</v>
      </c>
      <c r="Q37" s="288"/>
      <c r="R37" s="99">
        <f t="shared" si="59"/>
        <v>0</v>
      </c>
      <c r="S37" s="288"/>
      <c r="T37" s="78">
        <f t="shared" si="339"/>
        <v>0</v>
      </c>
      <c r="U37" s="288"/>
      <c r="V37" s="99">
        <f t="shared" si="61"/>
        <v>0</v>
      </c>
      <c r="W37" s="288">
        <v>240</v>
      </c>
      <c r="X37" s="97">
        <v>240</v>
      </c>
      <c r="Y37" s="288">
        <v>27</v>
      </c>
      <c r="Z37" s="99">
        <f t="shared" si="63"/>
        <v>11.25</v>
      </c>
      <c r="AA37" s="288"/>
      <c r="AB37" s="78">
        <f t="shared" si="339"/>
        <v>0</v>
      </c>
      <c r="AC37" s="288"/>
      <c r="AD37" s="79" t="e">
        <f t="shared" si="343"/>
        <v>#DIV/0!</v>
      </c>
      <c r="AE37" s="288"/>
      <c r="AF37" s="78">
        <f t="shared" si="339"/>
        <v>0</v>
      </c>
      <c r="AG37" s="288"/>
      <c r="AH37" s="99">
        <f t="shared" si="66"/>
        <v>0</v>
      </c>
      <c r="AI37" s="288"/>
      <c r="AJ37" s="78">
        <f t="shared" si="339"/>
        <v>0</v>
      </c>
      <c r="AK37" s="288"/>
      <c r="AL37" s="99">
        <f t="shared" si="68"/>
        <v>0</v>
      </c>
      <c r="AM37" s="288"/>
      <c r="AN37" s="78">
        <f t="shared" si="339"/>
        <v>0</v>
      </c>
      <c r="AO37" s="288"/>
      <c r="AP37" s="99">
        <f t="shared" si="70"/>
        <v>0</v>
      </c>
      <c r="AQ37" s="288"/>
      <c r="AR37" s="78">
        <f t="shared" si="339"/>
        <v>0</v>
      </c>
      <c r="AS37" s="288"/>
      <c r="AT37" s="99">
        <f t="shared" si="72"/>
        <v>0</v>
      </c>
      <c r="AU37" s="288"/>
      <c r="AV37" s="78">
        <f t="shared" si="339"/>
        <v>0</v>
      </c>
      <c r="AW37" s="288"/>
      <c r="AX37" s="99">
        <f t="shared" si="74"/>
        <v>0</v>
      </c>
      <c r="AY37" s="288"/>
      <c r="AZ37" s="78">
        <f t="shared" si="339"/>
        <v>0</v>
      </c>
      <c r="BA37" s="288"/>
      <c r="BB37" s="79" t="e">
        <f t="shared" si="350"/>
        <v>#DIV/0!</v>
      </c>
      <c r="BC37" s="288"/>
      <c r="BD37" s="78">
        <f t="shared" si="339"/>
        <v>0</v>
      </c>
      <c r="BE37" s="288"/>
      <c r="BF37" s="99">
        <f t="shared" si="77"/>
        <v>0</v>
      </c>
      <c r="BG37" s="288"/>
      <c r="BH37" s="78">
        <f t="shared" si="339"/>
        <v>0</v>
      </c>
      <c r="BI37" s="288"/>
      <c r="BJ37" s="79"/>
      <c r="BK37" s="288"/>
      <c r="BL37" s="78">
        <f t="shared" si="339"/>
        <v>0</v>
      </c>
      <c r="BM37" s="288"/>
      <c r="BN37" s="79" t="e">
        <f t="shared" si="354"/>
        <v>#DIV/0!</v>
      </c>
      <c r="BO37" s="288"/>
      <c r="BP37" s="78">
        <f t="shared" si="339"/>
        <v>0</v>
      </c>
      <c r="BQ37" s="288"/>
      <c r="BR37" s="79" t="e">
        <f t="shared" si="356"/>
        <v>#DIV/0!</v>
      </c>
      <c r="BS37" s="245">
        <f t="shared" si="310"/>
        <v>240</v>
      </c>
      <c r="BT37" s="245">
        <f t="shared" si="267"/>
        <v>240</v>
      </c>
      <c r="BU37" s="245">
        <f t="shared" si="268"/>
        <v>27</v>
      </c>
      <c r="BV37" s="239">
        <f t="shared" si="81"/>
        <v>11.25</v>
      </c>
    </row>
    <row r="38" spans="1:74" x14ac:dyDescent="0.25">
      <c r="A38" s="29" t="s">
        <v>147</v>
      </c>
      <c r="B38" s="60" t="s">
        <v>339</v>
      </c>
      <c r="C38" s="288"/>
      <c r="D38" s="78">
        <f t="shared" si="54"/>
        <v>0</v>
      </c>
      <c r="E38" s="288"/>
      <c r="F38" s="99">
        <f t="shared" si="55"/>
        <v>0</v>
      </c>
      <c r="G38" s="288"/>
      <c r="H38" s="78">
        <f t="shared" si="357"/>
        <v>0</v>
      </c>
      <c r="I38" s="288"/>
      <c r="J38" s="99">
        <f t="shared" si="56"/>
        <v>0</v>
      </c>
      <c r="K38" s="288"/>
      <c r="L38" s="78">
        <f t="shared" si="357"/>
        <v>0</v>
      </c>
      <c r="M38" s="288"/>
      <c r="N38" s="99">
        <f t="shared" si="57"/>
        <v>0</v>
      </c>
      <c r="O38" s="288"/>
      <c r="P38" s="78">
        <f t="shared" si="339"/>
        <v>0</v>
      </c>
      <c r="Q38" s="288"/>
      <c r="R38" s="99">
        <f t="shared" si="59"/>
        <v>0</v>
      </c>
      <c r="S38" s="288"/>
      <c r="T38" s="78">
        <f t="shared" si="339"/>
        <v>0</v>
      </c>
      <c r="U38" s="288"/>
      <c r="V38" s="99">
        <f t="shared" si="61"/>
        <v>0</v>
      </c>
      <c r="W38" s="288">
        <v>90</v>
      </c>
      <c r="X38" s="97">
        <v>90</v>
      </c>
      <c r="Y38" s="288">
        <v>146</v>
      </c>
      <c r="Z38" s="99">
        <f t="shared" si="63"/>
        <v>162.22222222222223</v>
      </c>
      <c r="AA38" s="288"/>
      <c r="AB38" s="78">
        <f t="shared" si="339"/>
        <v>0</v>
      </c>
      <c r="AC38" s="288"/>
      <c r="AD38" s="79" t="e">
        <f t="shared" si="343"/>
        <v>#DIV/0!</v>
      </c>
      <c r="AE38" s="288"/>
      <c r="AF38" s="78">
        <f t="shared" si="339"/>
        <v>0</v>
      </c>
      <c r="AG38" s="288"/>
      <c r="AH38" s="99">
        <f t="shared" si="66"/>
        <v>0</v>
      </c>
      <c r="AI38" s="288"/>
      <c r="AJ38" s="78">
        <f t="shared" si="339"/>
        <v>0</v>
      </c>
      <c r="AK38" s="288"/>
      <c r="AL38" s="99">
        <f t="shared" si="68"/>
        <v>0</v>
      </c>
      <c r="AM38" s="288"/>
      <c r="AN38" s="78">
        <f t="shared" si="339"/>
        <v>0</v>
      </c>
      <c r="AO38" s="288"/>
      <c r="AP38" s="99">
        <f t="shared" si="70"/>
        <v>0</v>
      </c>
      <c r="AQ38" s="288"/>
      <c r="AR38" s="78">
        <f t="shared" si="339"/>
        <v>0</v>
      </c>
      <c r="AS38" s="288"/>
      <c r="AT38" s="99">
        <f t="shared" si="72"/>
        <v>0</v>
      </c>
      <c r="AU38" s="288"/>
      <c r="AV38" s="78">
        <f t="shared" si="339"/>
        <v>0</v>
      </c>
      <c r="AW38" s="288"/>
      <c r="AX38" s="99">
        <f t="shared" si="74"/>
        <v>0</v>
      </c>
      <c r="AY38" s="288"/>
      <c r="AZ38" s="78">
        <f t="shared" si="339"/>
        <v>0</v>
      </c>
      <c r="BA38" s="288"/>
      <c r="BB38" s="79" t="e">
        <f t="shared" si="350"/>
        <v>#DIV/0!</v>
      </c>
      <c r="BC38" s="288"/>
      <c r="BD38" s="78">
        <f t="shared" si="339"/>
        <v>0</v>
      </c>
      <c r="BE38" s="288"/>
      <c r="BF38" s="99">
        <f t="shared" si="77"/>
        <v>0</v>
      </c>
      <c r="BG38" s="288"/>
      <c r="BH38" s="78">
        <f t="shared" si="339"/>
        <v>0</v>
      </c>
      <c r="BI38" s="288"/>
      <c r="BJ38" s="79"/>
      <c r="BK38" s="288"/>
      <c r="BL38" s="78">
        <f t="shared" si="339"/>
        <v>0</v>
      </c>
      <c r="BM38" s="288"/>
      <c r="BN38" s="79" t="e">
        <f t="shared" si="354"/>
        <v>#DIV/0!</v>
      </c>
      <c r="BO38" s="288"/>
      <c r="BP38" s="78">
        <f t="shared" si="339"/>
        <v>0</v>
      </c>
      <c r="BQ38" s="288"/>
      <c r="BR38" s="79" t="e">
        <f t="shared" si="356"/>
        <v>#DIV/0!</v>
      </c>
      <c r="BS38" s="245">
        <f t="shared" si="310"/>
        <v>90</v>
      </c>
      <c r="BT38" s="245">
        <f t="shared" si="267"/>
        <v>90</v>
      </c>
      <c r="BU38" s="245">
        <f t="shared" si="268"/>
        <v>146</v>
      </c>
      <c r="BV38" s="239">
        <f t="shared" si="81"/>
        <v>162.22222222222223</v>
      </c>
    </row>
    <row r="39" spans="1:74" s="350" customFormat="1" x14ac:dyDescent="0.25">
      <c r="A39" s="342" t="s">
        <v>342</v>
      </c>
      <c r="B39" s="343" t="s">
        <v>339</v>
      </c>
      <c r="C39" s="491"/>
      <c r="D39" s="344">
        <f t="shared" si="54"/>
        <v>0</v>
      </c>
      <c r="E39" s="491"/>
      <c r="F39" s="345">
        <f t="shared" si="55"/>
        <v>0</v>
      </c>
      <c r="G39" s="491"/>
      <c r="H39" s="344">
        <f t="shared" si="357"/>
        <v>0</v>
      </c>
      <c r="I39" s="491"/>
      <c r="J39" s="345">
        <f t="shared" si="56"/>
        <v>0</v>
      </c>
      <c r="K39" s="491"/>
      <c r="L39" s="344">
        <f t="shared" si="357"/>
        <v>0</v>
      </c>
      <c r="M39" s="491"/>
      <c r="N39" s="345">
        <f t="shared" si="57"/>
        <v>0</v>
      </c>
      <c r="O39" s="491"/>
      <c r="P39" s="344">
        <f t="shared" si="339"/>
        <v>0</v>
      </c>
      <c r="Q39" s="491"/>
      <c r="R39" s="345">
        <f t="shared" si="59"/>
        <v>0</v>
      </c>
      <c r="S39" s="491"/>
      <c r="T39" s="344">
        <f t="shared" si="339"/>
        <v>0</v>
      </c>
      <c r="U39" s="491"/>
      <c r="V39" s="345">
        <f t="shared" si="61"/>
        <v>0</v>
      </c>
      <c r="W39" s="491">
        <v>600</v>
      </c>
      <c r="X39" s="346">
        <v>600</v>
      </c>
      <c r="Y39" s="491">
        <v>46</v>
      </c>
      <c r="Z39" s="345">
        <f t="shared" si="63"/>
        <v>7.6666666666666661</v>
      </c>
      <c r="AA39" s="491"/>
      <c r="AB39" s="344">
        <f t="shared" si="339"/>
        <v>0</v>
      </c>
      <c r="AC39" s="491"/>
      <c r="AD39" s="347" t="e">
        <f t="shared" si="343"/>
        <v>#DIV/0!</v>
      </c>
      <c r="AE39" s="491"/>
      <c r="AF39" s="344">
        <f t="shared" si="339"/>
        <v>0</v>
      </c>
      <c r="AG39" s="491"/>
      <c r="AH39" s="345">
        <f t="shared" si="66"/>
        <v>0</v>
      </c>
      <c r="AI39" s="491"/>
      <c r="AJ39" s="344">
        <f t="shared" si="339"/>
        <v>0</v>
      </c>
      <c r="AK39" s="491"/>
      <c r="AL39" s="345">
        <f t="shared" si="68"/>
        <v>0</v>
      </c>
      <c r="AM39" s="491"/>
      <c r="AN39" s="344">
        <f t="shared" si="339"/>
        <v>0</v>
      </c>
      <c r="AO39" s="491"/>
      <c r="AP39" s="345">
        <f t="shared" si="70"/>
        <v>0</v>
      </c>
      <c r="AQ39" s="491"/>
      <c r="AR39" s="344">
        <f t="shared" si="339"/>
        <v>0</v>
      </c>
      <c r="AS39" s="491"/>
      <c r="AT39" s="345">
        <f t="shared" si="72"/>
        <v>0</v>
      </c>
      <c r="AU39" s="491"/>
      <c r="AV39" s="344">
        <f t="shared" si="339"/>
        <v>0</v>
      </c>
      <c r="AW39" s="491"/>
      <c r="AX39" s="345">
        <f t="shared" si="74"/>
        <v>0</v>
      </c>
      <c r="AY39" s="491"/>
      <c r="AZ39" s="344">
        <f t="shared" si="339"/>
        <v>0</v>
      </c>
      <c r="BA39" s="491"/>
      <c r="BB39" s="347" t="e">
        <f t="shared" si="350"/>
        <v>#DIV/0!</v>
      </c>
      <c r="BC39" s="491"/>
      <c r="BD39" s="344">
        <f t="shared" si="339"/>
        <v>0</v>
      </c>
      <c r="BE39" s="491"/>
      <c r="BF39" s="345">
        <f t="shared" si="77"/>
        <v>0</v>
      </c>
      <c r="BG39" s="491"/>
      <c r="BH39" s="344">
        <f t="shared" si="339"/>
        <v>0</v>
      </c>
      <c r="BI39" s="491"/>
      <c r="BJ39" s="347"/>
      <c r="BK39" s="491"/>
      <c r="BL39" s="344">
        <f t="shared" si="339"/>
        <v>0</v>
      </c>
      <c r="BM39" s="491"/>
      <c r="BN39" s="347" t="e">
        <f t="shared" si="354"/>
        <v>#DIV/0!</v>
      </c>
      <c r="BO39" s="491"/>
      <c r="BP39" s="344">
        <f t="shared" si="339"/>
        <v>0</v>
      </c>
      <c r="BQ39" s="491"/>
      <c r="BR39" s="347" t="e">
        <f t="shared" si="356"/>
        <v>#DIV/0!</v>
      </c>
      <c r="BS39" s="348">
        <f t="shared" si="310"/>
        <v>600</v>
      </c>
      <c r="BT39" s="348">
        <f t="shared" si="267"/>
        <v>600</v>
      </c>
      <c r="BU39" s="348">
        <f t="shared" si="268"/>
        <v>46</v>
      </c>
      <c r="BV39" s="349">
        <f t="shared" si="81"/>
        <v>7.6666666666666661</v>
      </c>
    </row>
    <row r="40" spans="1:74" ht="24.75" customHeight="1" x14ac:dyDescent="0.25">
      <c r="A40" s="338" t="s">
        <v>343</v>
      </c>
      <c r="B40" s="60" t="s">
        <v>339</v>
      </c>
      <c r="C40" s="288"/>
      <c r="D40" s="78"/>
      <c r="E40" s="288"/>
      <c r="F40" s="99"/>
      <c r="G40" s="288"/>
      <c r="H40" s="78"/>
      <c r="I40" s="288"/>
      <c r="J40" s="99"/>
      <c r="K40" s="288"/>
      <c r="L40" s="78"/>
      <c r="M40" s="288"/>
      <c r="N40" s="99"/>
      <c r="O40" s="288"/>
      <c r="P40" s="78"/>
      <c r="Q40" s="288"/>
      <c r="R40" s="99"/>
      <c r="S40" s="288"/>
      <c r="T40" s="78"/>
      <c r="U40" s="288"/>
      <c r="V40" s="99"/>
      <c r="W40" s="288"/>
      <c r="X40" s="97"/>
      <c r="Y40" s="492">
        <f>126-Y39</f>
        <v>80</v>
      </c>
      <c r="Z40" s="99"/>
      <c r="AA40" s="288"/>
      <c r="AB40" s="78"/>
      <c r="AC40" s="288"/>
      <c r="AD40" s="79"/>
      <c r="AE40" s="288"/>
      <c r="AF40" s="78"/>
      <c r="AG40" s="288"/>
      <c r="AH40" s="99"/>
      <c r="AI40" s="288"/>
      <c r="AJ40" s="78"/>
      <c r="AK40" s="288"/>
      <c r="AL40" s="99"/>
      <c r="AM40" s="288"/>
      <c r="AN40" s="78"/>
      <c r="AO40" s="288"/>
      <c r="AP40" s="99"/>
      <c r="AQ40" s="288"/>
      <c r="AR40" s="78"/>
      <c r="AS40" s="288"/>
      <c r="AT40" s="99"/>
      <c r="AU40" s="288"/>
      <c r="AV40" s="78"/>
      <c r="AW40" s="288"/>
      <c r="AX40" s="99"/>
      <c r="AY40" s="288"/>
      <c r="AZ40" s="78"/>
      <c r="BA40" s="288"/>
      <c r="BB40" s="79"/>
      <c r="BC40" s="288"/>
      <c r="BD40" s="78"/>
      <c r="BE40" s="288"/>
      <c r="BF40" s="99"/>
      <c r="BG40" s="288"/>
      <c r="BH40" s="78"/>
      <c r="BI40" s="288"/>
      <c r="BJ40" s="79"/>
      <c r="BK40" s="288"/>
      <c r="BL40" s="78"/>
      <c r="BM40" s="288"/>
      <c r="BN40" s="79"/>
      <c r="BO40" s="288"/>
      <c r="BP40" s="78"/>
      <c r="BQ40" s="288"/>
      <c r="BR40" s="79"/>
      <c r="BS40" s="245">
        <f t="shared" ref="BS40" si="400">SUM(BG40,BC40,AY40,AU40,AQ40,AM40,AI40,AE40,AA40,W40,S40,O40,K40,G40,C40)+BK40+BO40</f>
        <v>0</v>
      </c>
      <c r="BT40" s="245">
        <f t="shared" ref="BT40" si="401">SUM(BH40,BD40,AZ40,AV40,AR40,AN40,AJ40,AF40,AB40,X40,T40,P40,L40,H40,D40)+BL40+BP40</f>
        <v>0</v>
      </c>
      <c r="BU40" s="245">
        <f t="shared" ref="BU40" si="402">SUM(BI40,BE40,BA40,AW40,AS40,AO40,AK40,AG40,AC40,Y40,U40,Q40,M40,I40,E40)+BM40+BQ40</f>
        <v>80</v>
      </c>
      <c r="BV40" s="239">
        <f t="shared" ref="BV40" si="403">IF(BT40=0,0,BU40/BT40*100)</f>
        <v>0</v>
      </c>
    </row>
    <row r="41" spans="1:74" ht="31.5" x14ac:dyDescent="0.25">
      <c r="A41" s="30" t="s">
        <v>344</v>
      </c>
      <c r="B41" s="60" t="s">
        <v>339</v>
      </c>
      <c r="C41" s="288"/>
      <c r="D41" s="78">
        <f t="shared" si="54"/>
        <v>0</v>
      </c>
      <c r="E41" s="288"/>
      <c r="F41" s="99">
        <f t="shared" si="55"/>
        <v>0</v>
      </c>
      <c r="G41" s="288"/>
      <c r="H41" s="78">
        <f t="shared" si="357"/>
        <v>0</v>
      </c>
      <c r="I41" s="288"/>
      <c r="J41" s="99">
        <f t="shared" si="56"/>
        <v>0</v>
      </c>
      <c r="K41" s="288"/>
      <c r="L41" s="78">
        <f t="shared" si="357"/>
        <v>0</v>
      </c>
      <c r="M41" s="288"/>
      <c r="N41" s="99">
        <f t="shared" si="57"/>
        <v>0</v>
      </c>
      <c r="O41" s="288"/>
      <c r="P41" s="78">
        <f t="shared" si="339"/>
        <v>0</v>
      </c>
      <c r="Q41" s="288"/>
      <c r="R41" s="99">
        <f t="shared" si="59"/>
        <v>0</v>
      </c>
      <c r="S41" s="288"/>
      <c r="T41" s="78">
        <f t="shared" si="339"/>
        <v>0</v>
      </c>
      <c r="U41" s="288"/>
      <c r="V41" s="99">
        <f t="shared" si="61"/>
        <v>0</v>
      </c>
      <c r="W41" s="288">
        <v>400</v>
      </c>
      <c r="X41" s="78">
        <v>400</v>
      </c>
      <c r="Y41" s="492">
        <v>15</v>
      </c>
      <c r="Z41" s="99">
        <f t="shared" si="63"/>
        <v>3.75</v>
      </c>
      <c r="AA41" s="288"/>
      <c r="AB41" s="78">
        <f t="shared" si="339"/>
        <v>0</v>
      </c>
      <c r="AC41" s="288"/>
      <c r="AD41" s="79" t="e">
        <f t="shared" si="343"/>
        <v>#DIV/0!</v>
      </c>
      <c r="AE41" s="288"/>
      <c r="AF41" s="78">
        <f t="shared" si="339"/>
        <v>0</v>
      </c>
      <c r="AG41" s="288"/>
      <c r="AH41" s="99">
        <f t="shared" si="66"/>
        <v>0</v>
      </c>
      <c r="AI41" s="288"/>
      <c r="AJ41" s="78">
        <f t="shared" si="339"/>
        <v>0</v>
      </c>
      <c r="AK41" s="288"/>
      <c r="AL41" s="99">
        <f t="shared" si="68"/>
        <v>0</v>
      </c>
      <c r="AM41" s="288"/>
      <c r="AN41" s="78">
        <f t="shared" si="339"/>
        <v>0</v>
      </c>
      <c r="AO41" s="288"/>
      <c r="AP41" s="99">
        <f t="shared" si="70"/>
        <v>0</v>
      </c>
      <c r="AQ41" s="288"/>
      <c r="AR41" s="78">
        <f t="shared" si="339"/>
        <v>0</v>
      </c>
      <c r="AS41" s="288"/>
      <c r="AT41" s="99">
        <f t="shared" si="72"/>
        <v>0</v>
      </c>
      <c r="AU41" s="288"/>
      <c r="AV41" s="78">
        <f t="shared" si="339"/>
        <v>0</v>
      </c>
      <c r="AW41" s="288"/>
      <c r="AX41" s="99">
        <f t="shared" si="74"/>
        <v>0</v>
      </c>
      <c r="AY41" s="288"/>
      <c r="AZ41" s="78">
        <f t="shared" si="339"/>
        <v>0</v>
      </c>
      <c r="BA41" s="288"/>
      <c r="BB41" s="79" t="e">
        <f t="shared" si="350"/>
        <v>#DIV/0!</v>
      </c>
      <c r="BC41" s="288"/>
      <c r="BD41" s="78">
        <f t="shared" si="339"/>
        <v>0</v>
      </c>
      <c r="BE41" s="288"/>
      <c r="BF41" s="99">
        <f t="shared" si="77"/>
        <v>0</v>
      </c>
      <c r="BG41" s="288"/>
      <c r="BH41" s="78">
        <f t="shared" si="339"/>
        <v>0</v>
      </c>
      <c r="BI41" s="288"/>
      <c r="BJ41" s="79"/>
      <c r="BK41" s="288"/>
      <c r="BL41" s="78">
        <f t="shared" si="339"/>
        <v>0</v>
      </c>
      <c r="BM41" s="288"/>
      <c r="BN41" s="79" t="e">
        <f t="shared" si="354"/>
        <v>#DIV/0!</v>
      </c>
      <c r="BO41" s="288"/>
      <c r="BP41" s="78">
        <f t="shared" si="339"/>
        <v>0</v>
      </c>
      <c r="BQ41" s="288"/>
      <c r="BR41" s="79" t="e">
        <f t="shared" si="356"/>
        <v>#DIV/0!</v>
      </c>
      <c r="BS41" s="245">
        <f t="shared" si="310"/>
        <v>400</v>
      </c>
      <c r="BT41" s="245">
        <f t="shared" si="267"/>
        <v>400</v>
      </c>
      <c r="BU41" s="245">
        <f t="shared" si="268"/>
        <v>15</v>
      </c>
      <c r="BV41" s="239">
        <f t="shared" si="81"/>
        <v>3.75</v>
      </c>
    </row>
    <row r="42" spans="1:74" ht="31.5" x14ac:dyDescent="0.25">
      <c r="A42" s="45" t="s">
        <v>345</v>
      </c>
      <c r="B42" s="60" t="s">
        <v>339</v>
      </c>
      <c r="C42" s="288"/>
      <c r="D42" s="78"/>
      <c r="E42" s="288"/>
      <c r="F42" s="99"/>
      <c r="G42" s="288"/>
      <c r="H42" s="78"/>
      <c r="I42" s="288"/>
      <c r="J42" s="99"/>
      <c r="K42" s="288"/>
      <c r="L42" s="78"/>
      <c r="M42" s="288"/>
      <c r="N42" s="99"/>
      <c r="O42" s="288"/>
      <c r="P42" s="78"/>
      <c r="Q42" s="288"/>
      <c r="R42" s="99"/>
      <c r="S42" s="288"/>
      <c r="T42" s="78"/>
      <c r="U42" s="288"/>
      <c r="V42" s="99"/>
      <c r="W42" s="288"/>
      <c r="X42" s="78"/>
      <c r="Y42" s="492">
        <f>22-Y41</f>
        <v>7</v>
      </c>
      <c r="Z42" s="99"/>
      <c r="AA42" s="288"/>
      <c r="AB42" s="78"/>
      <c r="AC42" s="288"/>
      <c r="AD42" s="79"/>
      <c r="AE42" s="288"/>
      <c r="AF42" s="78"/>
      <c r="AG42" s="288"/>
      <c r="AH42" s="99"/>
      <c r="AI42" s="288"/>
      <c r="AJ42" s="78"/>
      <c r="AK42" s="288"/>
      <c r="AL42" s="99"/>
      <c r="AM42" s="288"/>
      <c r="AN42" s="78"/>
      <c r="AO42" s="288"/>
      <c r="AP42" s="99"/>
      <c r="AQ42" s="288"/>
      <c r="AR42" s="78"/>
      <c r="AS42" s="288"/>
      <c r="AT42" s="99"/>
      <c r="AU42" s="288"/>
      <c r="AV42" s="78"/>
      <c r="AW42" s="288"/>
      <c r="AX42" s="99"/>
      <c r="AY42" s="288"/>
      <c r="AZ42" s="78"/>
      <c r="BA42" s="288"/>
      <c r="BB42" s="79"/>
      <c r="BC42" s="288"/>
      <c r="BD42" s="78"/>
      <c r="BE42" s="288"/>
      <c r="BF42" s="99"/>
      <c r="BG42" s="288"/>
      <c r="BH42" s="78"/>
      <c r="BI42" s="288"/>
      <c r="BJ42" s="79"/>
      <c r="BK42" s="288"/>
      <c r="BL42" s="78"/>
      <c r="BM42" s="288"/>
      <c r="BN42" s="79"/>
      <c r="BO42" s="288"/>
      <c r="BP42" s="78"/>
      <c r="BQ42" s="288"/>
      <c r="BR42" s="79"/>
      <c r="BS42" s="245">
        <f t="shared" ref="BS42" si="404">SUM(BG42,BC42,AY42,AU42,AQ42,AM42,AI42,AE42,AA42,W42,S42,O42,K42,G42,C42)+BK42+BO42</f>
        <v>0</v>
      </c>
      <c r="BT42" s="245">
        <f t="shared" ref="BT42" si="405">SUM(BH42,BD42,AZ42,AV42,AR42,AN42,AJ42,AF42,AB42,X42,T42,P42,L42,H42,D42)+BL42+BP42</f>
        <v>0</v>
      </c>
      <c r="BU42" s="245">
        <f t="shared" ref="BU42" si="406">SUM(BI42,BE42,BA42,AW42,AS42,AO42,AK42,AG42,AC42,Y42,U42,Q42,M42,I42,E42)+BM42+BQ42</f>
        <v>7</v>
      </c>
      <c r="BV42" s="239">
        <f t="shared" ref="BV42" si="407">IF(BT42=0,0,BU42/BT42*100)</f>
        <v>0</v>
      </c>
    </row>
    <row r="43" spans="1:74" ht="31.5" x14ac:dyDescent="0.25">
      <c r="A43" s="30" t="s">
        <v>148</v>
      </c>
      <c r="B43" s="57" t="s">
        <v>3</v>
      </c>
      <c r="C43" s="288">
        <f>C44*7+C45*8+C46*9+C47*9</f>
        <v>0</v>
      </c>
      <c r="D43" s="78">
        <f t="shared" si="54"/>
        <v>0</v>
      </c>
      <c r="E43" s="288">
        <f>E44*7+E45*8+E46*9+E47*9</f>
        <v>0</v>
      </c>
      <c r="F43" s="99">
        <f t="shared" si="55"/>
        <v>0</v>
      </c>
      <c r="G43" s="288">
        <f t="shared" ref="G43" si="408">G44*7+G45*8+G46*9+G47*9</f>
        <v>0</v>
      </c>
      <c r="H43" s="78">
        <f t="shared" si="357"/>
        <v>0</v>
      </c>
      <c r="I43" s="288">
        <f t="shared" ref="I43" si="409">I44*7+I45*8+I46*9+I47*9</f>
        <v>0</v>
      </c>
      <c r="J43" s="99">
        <f t="shared" si="56"/>
        <v>0</v>
      </c>
      <c r="K43" s="288">
        <f t="shared" ref="K43" si="410">K44*7+K45*8+K46*9+K47*9</f>
        <v>0</v>
      </c>
      <c r="L43" s="78">
        <f t="shared" si="357"/>
        <v>0</v>
      </c>
      <c r="M43" s="288">
        <f t="shared" ref="M43" si="411">M44*7+M45*8+M46*9+M47*9</f>
        <v>0</v>
      </c>
      <c r="N43" s="99">
        <f t="shared" si="57"/>
        <v>0</v>
      </c>
      <c r="O43" s="288">
        <f t="shared" ref="O43" si="412">O44*7+O45*8+O46*9+O47*9</f>
        <v>0</v>
      </c>
      <c r="P43" s="78">
        <f t="shared" si="339"/>
        <v>0</v>
      </c>
      <c r="Q43" s="288">
        <f t="shared" ref="Q43" si="413">Q44*7+Q45*8+Q46*9+Q47*9</f>
        <v>0</v>
      </c>
      <c r="R43" s="99">
        <f t="shared" si="59"/>
        <v>0</v>
      </c>
      <c r="S43" s="288">
        <f t="shared" ref="S43" si="414">S44*7+S45*8+S46*9+S47*9</f>
        <v>0</v>
      </c>
      <c r="T43" s="78">
        <f t="shared" si="339"/>
        <v>0</v>
      </c>
      <c r="U43" s="288">
        <f t="shared" ref="U43" si="415">U44*7+U45*8+U46*9+U47*9</f>
        <v>0</v>
      </c>
      <c r="V43" s="99">
        <f t="shared" si="61"/>
        <v>0</v>
      </c>
      <c r="W43" s="288">
        <f t="shared" ref="W43" si="416">W44*7+W45*8+W46*9+W47*9</f>
        <v>0</v>
      </c>
      <c r="X43" s="78">
        <f t="shared" si="339"/>
        <v>0</v>
      </c>
      <c r="Y43" s="288">
        <f t="shared" ref="Y43" si="417">Y44*7+Y45*8+Y46*9+Y47*9</f>
        <v>0</v>
      </c>
      <c r="Z43" s="99">
        <f t="shared" si="63"/>
        <v>0</v>
      </c>
      <c r="AA43" s="288">
        <f t="shared" ref="AA43" si="418">AA44*7+AA45*8+AA46*9+AA47*9</f>
        <v>0</v>
      </c>
      <c r="AB43" s="78">
        <f t="shared" si="339"/>
        <v>0</v>
      </c>
      <c r="AC43" s="288">
        <f t="shared" ref="AC43" si="419">AC44*7+AC45*8+AC46*9+AC47*9</f>
        <v>0</v>
      </c>
      <c r="AD43" s="79" t="e">
        <f t="shared" si="343"/>
        <v>#DIV/0!</v>
      </c>
      <c r="AE43" s="288">
        <f t="shared" ref="AE43" si="420">AE44*7+AE45*8+AE46*9+AE47*9</f>
        <v>0</v>
      </c>
      <c r="AF43" s="78">
        <f t="shared" si="339"/>
        <v>0</v>
      </c>
      <c r="AG43" s="288">
        <f t="shared" ref="AG43" si="421">AG44*7+AG45*8+AG46*9+AG47*9</f>
        <v>0</v>
      </c>
      <c r="AH43" s="99">
        <f t="shared" si="66"/>
        <v>0</v>
      </c>
      <c r="AI43" s="288">
        <f t="shared" ref="AI43" si="422">AI44*7+AI45*8+AI46*9+AI47*9</f>
        <v>0</v>
      </c>
      <c r="AJ43" s="78">
        <f t="shared" si="339"/>
        <v>0</v>
      </c>
      <c r="AK43" s="288">
        <f t="shared" ref="AK43" si="423">AK44*7+AK45*8+AK46*9+AK47*9</f>
        <v>0</v>
      </c>
      <c r="AL43" s="99">
        <f t="shared" si="68"/>
        <v>0</v>
      </c>
      <c r="AM43" s="288">
        <f t="shared" ref="AM43" si="424">AM44*7+AM45*8+AM46*9+AM47*9</f>
        <v>0</v>
      </c>
      <c r="AN43" s="78">
        <f t="shared" si="339"/>
        <v>0</v>
      </c>
      <c r="AO43" s="288">
        <f t="shared" ref="AO43" si="425">AO44*7+AO45*8+AO46*9+AO47*9</f>
        <v>0</v>
      </c>
      <c r="AP43" s="99">
        <f t="shared" si="70"/>
        <v>0</v>
      </c>
      <c r="AQ43" s="288">
        <f t="shared" ref="AQ43" si="426">AQ44*7+AQ45*8+AQ46*9+AQ47*9</f>
        <v>0</v>
      </c>
      <c r="AR43" s="78">
        <f t="shared" si="339"/>
        <v>0</v>
      </c>
      <c r="AS43" s="288">
        <f t="shared" ref="AS43" si="427">AS44*7+AS45*8+AS46*9+AS47*9</f>
        <v>0</v>
      </c>
      <c r="AT43" s="99">
        <f t="shared" si="72"/>
        <v>0</v>
      </c>
      <c r="AU43" s="288">
        <f t="shared" ref="AU43" si="428">AU44*7+AU45*8+AU46*9+AU47*9</f>
        <v>0</v>
      </c>
      <c r="AV43" s="78">
        <f t="shared" si="339"/>
        <v>0</v>
      </c>
      <c r="AW43" s="288">
        <f t="shared" ref="AW43" si="429">AW44*7+AW45*8+AW46*9+AW47*9</f>
        <v>0</v>
      </c>
      <c r="AX43" s="99">
        <f t="shared" si="74"/>
        <v>0</v>
      </c>
      <c r="AY43" s="288">
        <f t="shared" ref="AY43" si="430">AY44*7+AY45*8+AY46*9+AY47*9</f>
        <v>0</v>
      </c>
      <c r="AZ43" s="78">
        <f t="shared" si="339"/>
        <v>0</v>
      </c>
      <c r="BA43" s="288">
        <f t="shared" ref="BA43" si="431">BA44*7+BA45*8+BA46*9+BA47*9</f>
        <v>0</v>
      </c>
      <c r="BB43" s="79" t="e">
        <f t="shared" si="350"/>
        <v>#DIV/0!</v>
      </c>
      <c r="BC43" s="288">
        <f t="shared" ref="BC43" si="432">BC44*7+BC45*8+BC46*9+BC47*9</f>
        <v>0</v>
      </c>
      <c r="BD43" s="78">
        <f t="shared" si="339"/>
        <v>0</v>
      </c>
      <c r="BE43" s="288">
        <f t="shared" ref="BE43" si="433">BE44*7+BE45*8+BE46*9+BE47*9</f>
        <v>0</v>
      </c>
      <c r="BF43" s="99">
        <f t="shared" si="77"/>
        <v>0</v>
      </c>
      <c r="BG43" s="288">
        <f t="shared" ref="BG43" si="434">BG44*7+BG45*8+BG46*9+BG47*9</f>
        <v>0</v>
      </c>
      <c r="BH43" s="78">
        <f t="shared" si="339"/>
        <v>0</v>
      </c>
      <c r="BI43" s="288">
        <f t="shared" ref="BI43" si="435">BI44*7+BI45*8+BI46*9+BI47*9</f>
        <v>0</v>
      </c>
      <c r="BJ43" s="79"/>
      <c r="BK43" s="288">
        <f t="shared" ref="BK43" si="436">BK44*7+BK45*8+BK46*9+BK47*9</f>
        <v>0</v>
      </c>
      <c r="BL43" s="78">
        <f t="shared" si="339"/>
        <v>0</v>
      </c>
      <c r="BM43" s="288">
        <f t="shared" ref="BM43" si="437">BM44*7+BM45*8+BM46*9+BM47*9</f>
        <v>0</v>
      </c>
      <c r="BN43" s="79" t="e">
        <f t="shared" si="354"/>
        <v>#DIV/0!</v>
      </c>
      <c r="BO43" s="288">
        <f t="shared" ref="BO43" si="438">BO44*7+BO45*8+BO46*9+BO47*9</f>
        <v>0</v>
      </c>
      <c r="BP43" s="78">
        <f t="shared" si="339"/>
        <v>0</v>
      </c>
      <c r="BQ43" s="288">
        <f t="shared" ref="BQ43" si="439">BQ44*7+BQ45*8+BQ46*9+BQ47*9</f>
        <v>0</v>
      </c>
      <c r="BR43" s="79" t="e">
        <f t="shared" si="356"/>
        <v>#DIV/0!</v>
      </c>
      <c r="BS43" s="245">
        <f t="shared" si="310"/>
        <v>0</v>
      </c>
      <c r="BT43" s="245">
        <f t="shared" si="267"/>
        <v>0</v>
      </c>
      <c r="BU43" s="245">
        <f t="shared" si="268"/>
        <v>0</v>
      </c>
      <c r="BV43" s="239">
        <f t="shared" si="81"/>
        <v>0</v>
      </c>
    </row>
    <row r="44" spans="1:74" x14ac:dyDescent="0.25">
      <c r="A44" s="29" t="s">
        <v>149</v>
      </c>
      <c r="B44" s="60" t="s">
        <v>339</v>
      </c>
      <c r="C44" s="288"/>
      <c r="D44" s="78">
        <f t="shared" si="54"/>
        <v>0</v>
      </c>
      <c r="E44" s="288"/>
      <c r="F44" s="99">
        <f t="shared" si="55"/>
        <v>0</v>
      </c>
      <c r="G44" s="288"/>
      <c r="H44" s="78">
        <f t="shared" si="357"/>
        <v>0</v>
      </c>
      <c r="I44" s="288"/>
      <c r="J44" s="99">
        <f t="shared" si="56"/>
        <v>0</v>
      </c>
      <c r="K44" s="288"/>
      <c r="L44" s="78">
        <f t="shared" si="357"/>
        <v>0</v>
      </c>
      <c r="M44" s="288"/>
      <c r="N44" s="99">
        <f t="shared" si="57"/>
        <v>0</v>
      </c>
      <c r="O44" s="288"/>
      <c r="P44" s="78">
        <f t="shared" si="339"/>
        <v>0</v>
      </c>
      <c r="Q44" s="288"/>
      <c r="R44" s="99">
        <f t="shared" si="59"/>
        <v>0</v>
      </c>
      <c r="S44" s="288"/>
      <c r="T44" s="78">
        <f t="shared" si="339"/>
        <v>0</v>
      </c>
      <c r="U44" s="288"/>
      <c r="V44" s="99">
        <f t="shared" si="61"/>
        <v>0</v>
      </c>
      <c r="W44" s="288"/>
      <c r="X44" s="78">
        <f t="shared" si="339"/>
        <v>0</v>
      </c>
      <c r="Y44" s="288"/>
      <c r="Z44" s="99">
        <f t="shared" si="63"/>
        <v>0</v>
      </c>
      <c r="AA44" s="288"/>
      <c r="AB44" s="78">
        <f t="shared" si="339"/>
        <v>0</v>
      </c>
      <c r="AC44" s="288"/>
      <c r="AD44" s="79" t="e">
        <f t="shared" si="343"/>
        <v>#DIV/0!</v>
      </c>
      <c r="AE44" s="288"/>
      <c r="AF44" s="78">
        <f t="shared" si="339"/>
        <v>0</v>
      </c>
      <c r="AG44" s="288"/>
      <c r="AH44" s="99">
        <f t="shared" si="66"/>
        <v>0</v>
      </c>
      <c r="AI44" s="288"/>
      <c r="AJ44" s="78">
        <f t="shared" si="339"/>
        <v>0</v>
      </c>
      <c r="AK44" s="288"/>
      <c r="AL44" s="99">
        <f t="shared" si="68"/>
        <v>0</v>
      </c>
      <c r="AM44" s="288"/>
      <c r="AN44" s="78">
        <f t="shared" si="339"/>
        <v>0</v>
      </c>
      <c r="AO44" s="288"/>
      <c r="AP44" s="99">
        <f t="shared" si="70"/>
        <v>0</v>
      </c>
      <c r="AQ44" s="288"/>
      <c r="AR44" s="78">
        <f t="shared" si="339"/>
        <v>0</v>
      </c>
      <c r="AS44" s="288"/>
      <c r="AT44" s="99">
        <f t="shared" si="72"/>
        <v>0</v>
      </c>
      <c r="AU44" s="288"/>
      <c r="AV44" s="78">
        <f t="shared" si="339"/>
        <v>0</v>
      </c>
      <c r="AW44" s="288"/>
      <c r="AX44" s="99">
        <f t="shared" si="74"/>
        <v>0</v>
      </c>
      <c r="AY44" s="288"/>
      <c r="AZ44" s="78">
        <f t="shared" si="339"/>
        <v>0</v>
      </c>
      <c r="BA44" s="288"/>
      <c r="BB44" s="79" t="e">
        <f t="shared" si="350"/>
        <v>#DIV/0!</v>
      </c>
      <c r="BC44" s="288"/>
      <c r="BD44" s="78">
        <f t="shared" si="339"/>
        <v>0</v>
      </c>
      <c r="BE44" s="288"/>
      <c r="BF44" s="99">
        <f t="shared" si="77"/>
        <v>0</v>
      </c>
      <c r="BG44" s="288"/>
      <c r="BH44" s="78">
        <f t="shared" si="339"/>
        <v>0</v>
      </c>
      <c r="BI44" s="288"/>
      <c r="BJ44" s="79"/>
      <c r="BK44" s="288"/>
      <c r="BL44" s="78">
        <f t="shared" si="339"/>
        <v>0</v>
      </c>
      <c r="BM44" s="288"/>
      <c r="BN44" s="79" t="e">
        <f t="shared" si="354"/>
        <v>#DIV/0!</v>
      </c>
      <c r="BO44" s="288"/>
      <c r="BP44" s="78">
        <f t="shared" si="339"/>
        <v>0</v>
      </c>
      <c r="BQ44" s="288"/>
      <c r="BR44" s="79" t="e">
        <f t="shared" si="356"/>
        <v>#DIV/0!</v>
      </c>
      <c r="BS44" s="245">
        <f t="shared" si="310"/>
        <v>0</v>
      </c>
      <c r="BT44" s="245">
        <f t="shared" si="267"/>
        <v>0</v>
      </c>
      <c r="BU44" s="245">
        <f t="shared" si="268"/>
        <v>0</v>
      </c>
      <c r="BV44" s="239">
        <f t="shared" si="81"/>
        <v>0</v>
      </c>
    </row>
    <row r="45" spans="1:74" x14ac:dyDescent="0.25">
      <c r="A45" s="29" t="s">
        <v>150</v>
      </c>
      <c r="B45" s="60" t="s">
        <v>339</v>
      </c>
      <c r="C45" s="288"/>
      <c r="D45" s="78">
        <f t="shared" si="54"/>
        <v>0</v>
      </c>
      <c r="E45" s="288"/>
      <c r="F45" s="99">
        <f t="shared" si="55"/>
        <v>0</v>
      </c>
      <c r="G45" s="288"/>
      <c r="H45" s="78">
        <f t="shared" si="357"/>
        <v>0</v>
      </c>
      <c r="I45" s="288"/>
      <c r="J45" s="99">
        <f t="shared" si="56"/>
        <v>0</v>
      </c>
      <c r="K45" s="288"/>
      <c r="L45" s="78">
        <f t="shared" si="357"/>
        <v>0</v>
      </c>
      <c r="M45" s="288"/>
      <c r="N45" s="99">
        <f t="shared" si="57"/>
        <v>0</v>
      </c>
      <c r="O45" s="288"/>
      <c r="P45" s="78">
        <f t="shared" si="339"/>
        <v>0</v>
      </c>
      <c r="Q45" s="288"/>
      <c r="R45" s="99">
        <f t="shared" si="59"/>
        <v>0</v>
      </c>
      <c r="S45" s="288"/>
      <c r="T45" s="78">
        <f t="shared" si="339"/>
        <v>0</v>
      </c>
      <c r="U45" s="288"/>
      <c r="V45" s="99">
        <f t="shared" si="61"/>
        <v>0</v>
      </c>
      <c r="W45" s="288"/>
      <c r="X45" s="78">
        <f t="shared" si="339"/>
        <v>0</v>
      </c>
      <c r="Y45" s="288"/>
      <c r="Z45" s="99">
        <f t="shared" si="63"/>
        <v>0</v>
      </c>
      <c r="AA45" s="288"/>
      <c r="AB45" s="78">
        <f t="shared" si="339"/>
        <v>0</v>
      </c>
      <c r="AC45" s="288"/>
      <c r="AD45" s="79" t="e">
        <f t="shared" si="343"/>
        <v>#DIV/0!</v>
      </c>
      <c r="AE45" s="288"/>
      <c r="AF45" s="78">
        <f t="shared" si="339"/>
        <v>0</v>
      </c>
      <c r="AG45" s="288"/>
      <c r="AH45" s="99">
        <f t="shared" si="66"/>
        <v>0</v>
      </c>
      <c r="AI45" s="288"/>
      <c r="AJ45" s="78">
        <f t="shared" si="339"/>
        <v>0</v>
      </c>
      <c r="AK45" s="288"/>
      <c r="AL45" s="99">
        <f t="shared" si="68"/>
        <v>0</v>
      </c>
      <c r="AM45" s="288"/>
      <c r="AN45" s="78">
        <f t="shared" si="339"/>
        <v>0</v>
      </c>
      <c r="AO45" s="288"/>
      <c r="AP45" s="99">
        <f t="shared" si="70"/>
        <v>0</v>
      </c>
      <c r="AQ45" s="288"/>
      <c r="AR45" s="78">
        <f t="shared" si="339"/>
        <v>0</v>
      </c>
      <c r="AS45" s="288"/>
      <c r="AT45" s="99">
        <f t="shared" si="72"/>
        <v>0</v>
      </c>
      <c r="AU45" s="288"/>
      <c r="AV45" s="78">
        <f t="shared" si="339"/>
        <v>0</v>
      </c>
      <c r="AW45" s="288"/>
      <c r="AX45" s="99">
        <f t="shared" si="74"/>
        <v>0</v>
      </c>
      <c r="AY45" s="288"/>
      <c r="AZ45" s="78">
        <f t="shared" si="339"/>
        <v>0</v>
      </c>
      <c r="BA45" s="288"/>
      <c r="BB45" s="79" t="e">
        <f t="shared" si="350"/>
        <v>#DIV/0!</v>
      </c>
      <c r="BC45" s="288"/>
      <c r="BD45" s="78">
        <f t="shared" si="339"/>
        <v>0</v>
      </c>
      <c r="BE45" s="288"/>
      <c r="BF45" s="99">
        <f t="shared" si="77"/>
        <v>0</v>
      </c>
      <c r="BG45" s="288"/>
      <c r="BH45" s="78">
        <f t="shared" si="339"/>
        <v>0</v>
      </c>
      <c r="BI45" s="288"/>
      <c r="BJ45" s="79"/>
      <c r="BK45" s="288"/>
      <c r="BL45" s="78">
        <f t="shared" si="339"/>
        <v>0</v>
      </c>
      <c r="BM45" s="288"/>
      <c r="BN45" s="79" t="e">
        <f t="shared" si="354"/>
        <v>#DIV/0!</v>
      </c>
      <c r="BO45" s="288"/>
      <c r="BP45" s="78">
        <f t="shared" si="339"/>
        <v>0</v>
      </c>
      <c r="BQ45" s="288"/>
      <c r="BR45" s="79" t="e">
        <f t="shared" si="356"/>
        <v>#DIV/0!</v>
      </c>
      <c r="BS45" s="245">
        <f t="shared" si="310"/>
        <v>0</v>
      </c>
      <c r="BT45" s="245">
        <f t="shared" si="267"/>
        <v>0</v>
      </c>
      <c r="BU45" s="245">
        <f t="shared" si="268"/>
        <v>0</v>
      </c>
      <c r="BV45" s="239">
        <f t="shared" si="81"/>
        <v>0</v>
      </c>
    </row>
    <row r="46" spans="1:74" x14ac:dyDescent="0.25">
      <c r="A46" s="29" t="s">
        <v>151</v>
      </c>
      <c r="B46" s="60" t="s">
        <v>339</v>
      </c>
      <c r="C46" s="288"/>
      <c r="D46" s="78">
        <f t="shared" si="54"/>
        <v>0</v>
      </c>
      <c r="E46" s="288"/>
      <c r="F46" s="99">
        <f t="shared" si="55"/>
        <v>0</v>
      </c>
      <c r="G46" s="288"/>
      <c r="H46" s="78">
        <f t="shared" si="357"/>
        <v>0</v>
      </c>
      <c r="I46" s="288"/>
      <c r="J46" s="99">
        <f t="shared" si="56"/>
        <v>0</v>
      </c>
      <c r="K46" s="288"/>
      <c r="L46" s="78">
        <f t="shared" si="357"/>
        <v>0</v>
      </c>
      <c r="M46" s="288"/>
      <c r="N46" s="99">
        <f t="shared" si="57"/>
        <v>0</v>
      </c>
      <c r="O46" s="288"/>
      <c r="P46" s="78">
        <f t="shared" ref="P46:BP46" si="440">ROUND(O46/12*$A$7,0)</f>
        <v>0</v>
      </c>
      <c r="Q46" s="288"/>
      <c r="R46" s="99">
        <f t="shared" si="59"/>
        <v>0</v>
      </c>
      <c r="S46" s="288"/>
      <c r="T46" s="78">
        <f t="shared" si="440"/>
        <v>0</v>
      </c>
      <c r="U46" s="288"/>
      <c r="V46" s="99">
        <f t="shared" si="61"/>
        <v>0</v>
      </c>
      <c r="W46" s="288"/>
      <c r="X46" s="78">
        <f t="shared" si="440"/>
        <v>0</v>
      </c>
      <c r="Y46" s="288"/>
      <c r="Z46" s="99">
        <f t="shared" si="63"/>
        <v>0</v>
      </c>
      <c r="AA46" s="288"/>
      <c r="AB46" s="78">
        <f t="shared" si="440"/>
        <v>0</v>
      </c>
      <c r="AC46" s="288"/>
      <c r="AD46" s="79" t="e">
        <f t="shared" si="343"/>
        <v>#DIV/0!</v>
      </c>
      <c r="AE46" s="288"/>
      <c r="AF46" s="78">
        <f t="shared" si="440"/>
        <v>0</v>
      </c>
      <c r="AG46" s="288"/>
      <c r="AH46" s="99">
        <f t="shared" si="66"/>
        <v>0</v>
      </c>
      <c r="AI46" s="288"/>
      <c r="AJ46" s="78">
        <f t="shared" si="440"/>
        <v>0</v>
      </c>
      <c r="AK46" s="288"/>
      <c r="AL46" s="99">
        <f t="shared" si="68"/>
        <v>0</v>
      </c>
      <c r="AM46" s="288"/>
      <c r="AN46" s="78">
        <f t="shared" si="440"/>
        <v>0</v>
      </c>
      <c r="AO46" s="288"/>
      <c r="AP46" s="99">
        <f t="shared" si="70"/>
        <v>0</v>
      </c>
      <c r="AQ46" s="288"/>
      <c r="AR46" s="78">
        <f t="shared" si="440"/>
        <v>0</v>
      </c>
      <c r="AS46" s="288"/>
      <c r="AT46" s="99">
        <f t="shared" si="72"/>
        <v>0</v>
      </c>
      <c r="AU46" s="288"/>
      <c r="AV46" s="78">
        <f t="shared" si="440"/>
        <v>0</v>
      </c>
      <c r="AW46" s="288"/>
      <c r="AX46" s="99">
        <f t="shared" si="74"/>
        <v>0</v>
      </c>
      <c r="AY46" s="288"/>
      <c r="AZ46" s="78">
        <f t="shared" si="440"/>
        <v>0</v>
      </c>
      <c r="BA46" s="288"/>
      <c r="BB46" s="79" t="e">
        <f t="shared" si="350"/>
        <v>#DIV/0!</v>
      </c>
      <c r="BC46" s="288"/>
      <c r="BD46" s="78">
        <f t="shared" si="440"/>
        <v>0</v>
      </c>
      <c r="BE46" s="288"/>
      <c r="BF46" s="99">
        <f t="shared" si="77"/>
        <v>0</v>
      </c>
      <c r="BG46" s="288"/>
      <c r="BH46" s="78">
        <f t="shared" si="440"/>
        <v>0</v>
      </c>
      <c r="BI46" s="288"/>
      <c r="BJ46" s="79"/>
      <c r="BK46" s="288"/>
      <c r="BL46" s="78">
        <f t="shared" si="440"/>
        <v>0</v>
      </c>
      <c r="BM46" s="288"/>
      <c r="BN46" s="79" t="e">
        <f t="shared" si="354"/>
        <v>#DIV/0!</v>
      </c>
      <c r="BO46" s="288"/>
      <c r="BP46" s="78">
        <f t="shared" si="440"/>
        <v>0</v>
      </c>
      <c r="BQ46" s="288"/>
      <c r="BR46" s="79" t="e">
        <f t="shared" si="356"/>
        <v>#DIV/0!</v>
      </c>
      <c r="BS46" s="245">
        <f t="shared" si="310"/>
        <v>0</v>
      </c>
      <c r="BT46" s="245">
        <f t="shared" si="267"/>
        <v>0</v>
      </c>
      <c r="BU46" s="245">
        <f t="shared" si="268"/>
        <v>0</v>
      </c>
      <c r="BV46" s="239">
        <f t="shared" si="81"/>
        <v>0</v>
      </c>
    </row>
    <row r="47" spans="1:74" x14ac:dyDescent="0.25">
      <c r="A47" s="29" t="s">
        <v>152</v>
      </c>
      <c r="B47" s="60" t="s">
        <v>339</v>
      </c>
      <c r="C47" s="288"/>
      <c r="D47" s="78">
        <f t="shared" si="54"/>
        <v>0</v>
      </c>
      <c r="E47" s="288"/>
      <c r="F47" s="99">
        <f t="shared" si="55"/>
        <v>0</v>
      </c>
      <c r="G47" s="288"/>
      <c r="H47" s="78">
        <f t="shared" ref="H47:L61" si="441">ROUND(G47/12*$A$7,0)</f>
        <v>0</v>
      </c>
      <c r="I47" s="288"/>
      <c r="J47" s="99">
        <f t="shared" si="56"/>
        <v>0</v>
      </c>
      <c r="K47" s="288"/>
      <c r="L47" s="78">
        <f t="shared" si="441"/>
        <v>0</v>
      </c>
      <c r="M47" s="288"/>
      <c r="N47" s="99">
        <f t="shared" si="57"/>
        <v>0</v>
      </c>
      <c r="O47" s="288"/>
      <c r="P47" s="78">
        <f t="shared" ref="P47" si="442">ROUND(O47/12*$A$7,0)</f>
        <v>0</v>
      </c>
      <c r="Q47" s="288"/>
      <c r="R47" s="99">
        <f t="shared" si="59"/>
        <v>0</v>
      </c>
      <c r="S47" s="288"/>
      <c r="T47" s="78">
        <f t="shared" ref="T47" si="443">ROUND(S47/12*$A$7,0)</f>
        <v>0</v>
      </c>
      <c r="U47" s="288"/>
      <c r="V47" s="99">
        <f t="shared" si="61"/>
        <v>0</v>
      </c>
      <c r="W47" s="288"/>
      <c r="X47" s="78">
        <f t="shared" ref="X47" si="444">ROUND(W47/12*$A$7,0)</f>
        <v>0</v>
      </c>
      <c r="Y47" s="288"/>
      <c r="Z47" s="99">
        <f t="shared" si="63"/>
        <v>0</v>
      </c>
      <c r="AA47" s="288"/>
      <c r="AB47" s="78">
        <f t="shared" ref="AB47" si="445">ROUND(AA47/12*$A$7,0)</f>
        <v>0</v>
      </c>
      <c r="AC47" s="288"/>
      <c r="AD47" s="79" t="e">
        <f t="shared" si="343"/>
        <v>#DIV/0!</v>
      </c>
      <c r="AE47" s="288"/>
      <c r="AF47" s="78">
        <f t="shared" ref="AF47" si="446">ROUND(AE47/12*$A$7,0)</f>
        <v>0</v>
      </c>
      <c r="AG47" s="288"/>
      <c r="AH47" s="99">
        <f t="shared" si="66"/>
        <v>0</v>
      </c>
      <c r="AI47" s="288"/>
      <c r="AJ47" s="78">
        <f t="shared" ref="AJ47" si="447">ROUND(AI47/12*$A$7,0)</f>
        <v>0</v>
      </c>
      <c r="AK47" s="288"/>
      <c r="AL47" s="99">
        <f t="shared" si="68"/>
        <v>0</v>
      </c>
      <c r="AM47" s="288"/>
      <c r="AN47" s="78">
        <f t="shared" ref="AN47" si="448">ROUND(AM47/12*$A$7,0)</f>
        <v>0</v>
      </c>
      <c r="AO47" s="288"/>
      <c r="AP47" s="99">
        <f t="shared" si="70"/>
        <v>0</v>
      </c>
      <c r="AQ47" s="288"/>
      <c r="AR47" s="78">
        <f t="shared" ref="AR47" si="449">ROUND(AQ47/12*$A$7,0)</f>
        <v>0</v>
      </c>
      <c r="AS47" s="288"/>
      <c r="AT47" s="99">
        <f t="shared" si="72"/>
        <v>0</v>
      </c>
      <c r="AU47" s="288"/>
      <c r="AV47" s="78">
        <f t="shared" ref="AV47" si="450">ROUND(AU47/12*$A$7,0)</f>
        <v>0</v>
      </c>
      <c r="AW47" s="288"/>
      <c r="AX47" s="99">
        <f t="shared" si="74"/>
        <v>0</v>
      </c>
      <c r="AY47" s="288"/>
      <c r="AZ47" s="78">
        <f t="shared" ref="AZ47" si="451">ROUND(AY47/12*$A$7,0)</f>
        <v>0</v>
      </c>
      <c r="BA47" s="288"/>
      <c r="BB47" s="79" t="e">
        <f t="shared" si="350"/>
        <v>#DIV/0!</v>
      </c>
      <c r="BC47" s="288"/>
      <c r="BD47" s="78">
        <f t="shared" ref="BD47" si="452">ROUND(BC47/12*$A$7,0)</f>
        <v>0</v>
      </c>
      <c r="BE47" s="288"/>
      <c r="BF47" s="99">
        <f t="shared" si="77"/>
        <v>0</v>
      </c>
      <c r="BG47" s="288"/>
      <c r="BH47" s="78">
        <f t="shared" ref="BH47" si="453">ROUND(BG47/12*$A$7,0)</f>
        <v>0</v>
      </c>
      <c r="BI47" s="288"/>
      <c r="BJ47" s="79"/>
      <c r="BK47" s="288"/>
      <c r="BL47" s="78">
        <f t="shared" ref="BL47" si="454">ROUND(BK47/12*$A$7,0)</f>
        <v>0</v>
      </c>
      <c r="BM47" s="288"/>
      <c r="BN47" s="79" t="e">
        <f t="shared" si="354"/>
        <v>#DIV/0!</v>
      </c>
      <c r="BO47" s="288"/>
      <c r="BP47" s="78">
        <f t="shared" ref="BP47" si="455">ROUND(BO47/12*$A$7,0)</f>
        <v>0</v>
      </c>
      <c r="BQ47" s="288"/>
      <c r="BR47" s="79" t="e">
        <f t="shared" si="356"/>
        <v>#DIV/0!</v>
      </c>
      <c r="BS47" s="245">
        <f t="shared" si="310"/>
        <v>0</v>
      </c>
      <c r="BT47" s="245">
        <f t="shared" si="267"/>
        <v>0</v>
      </c>
      <c r="BU47" s="245">
        <f t="shared" si="268"/>
        <v>0</v>
      </c>
      <c r="BV47" s="239">
        <f t="shared" si="81"/>
        <v>0</v>
      </c>
    </row>
    <row r="48" spans="1:74" ht="31.5" x14ac:dyDescent="0.25">
      <c r="A48" s="30" t="s">
        <v>153</v>
      </c>
      <c r="B48" s="57" t="s">
        <v>3</v>
      </c>
      <c r="C48" s="288">
        <f>C49*7+C50*8+C51*9+C52*9</f>
        <v>0</v>
      </c>
      <c r="D48" s="78">
        <f t="shared" si="54"/>
        <v>0</v>
      </c>
      <c r="E48" s="288">
        <f>E49*7+E50*8+E51*9+E52*9</f>
        <v>0</v>
      </c>
      <c r="F48" s="99">
        <f t="shared" si="55"/>
        <v>0</v>
      </c>
      <c r="G48" s="288">
        <f t="shared" ref="G48" si="456">G49*7+G50*8+G51*9+G52*9</f>
        <v>0</v>
      </c>
      <c r="H48" s="78">
        <f t="shared" si="441"/>
        <v>0</v>
      </c>
      <c r="I48" s="288">
        <f t="shared" ref="I48" si="457">I49*7+I50*8+I51*9+I52*9</f>
        <v>0</v>
      </c>
      <c r="J48" s="99">
        <f t="shared" si="56"/>
        <v>0</v>
      </c>
      <c r="K48" s="288">
        <f t="shared" ref="K48" si="458">K49*7+K50*8+K51*9+K52*9</f>
        <v>0</v>
      </c>
      <c r="L48" s="78">
        <f t="shared" si="441"/>
        <v>0</v>
      </c>
      <c r="M48" s="288">
        <f t="shared" ref="M48" si="459">M49*7+M50*8+M51*9+M52*9</f>
        <v>0</v>
      </c>
      <c r="N48" s="99">
        <f t="shared" si="57"/>
        <v>0</v>
      </c>
      <c r="O48" s="288">
        <f t="shared" ref="O48" si="460">O49*7+O50*8+O51*9+O52*9</f>
        <v>0</v>
      </c>
      <c r="P48" s="78">
        <f t="shared" ref="P48" si="461">ROUND(O48/12*$A$7,0)</f>
        <v>0</v>
      </c>
      <c r="Q48" s="288">
        <f t="shared" ref="Q48" si="462">Q49*7+Q50*8+Q51*9+Q52*9</f>
        <v>0</v>
      </c>
      <c r="R48" s="99">
        <f t="shared" si="59"/>
        <v>0</v>
      </c>
      <c r="S48" s="288">
        <f t="shared" ref="S48" si="463">S49*7+S50*8+S51*9+S52*9</f>
        <v>0</v>
      </c>
      <c r="T48" s="78">
        <f t="shared" ref="T48" si="464">ROUND(S48/12*$A$7,0)</f>
        <v>0</v>
      </c>
      <c r="U48" s="288">
        <f t="shared" ref="U48" si="465">U49*7+U50*8+U51*9+U52*9</f>
        <v>0</v>
      </c>
      <c r="V48" s="99">
        <f t="shared" si="61"/>
        <v>0</v>
      </c>
      <c r="W48" s="288">
        <f t="shared" ref="W48" si="466">W49*7+W50*8+W51*9+W52*9</f>
        <v>0</v>
      </c>
      <c r="X48" s="78">
        <f t="shared" ref="X48" si="467">ROUND(W48/12*$A$7,0)</f>
        <v>0</v>
      </c>
      <c r="Y48" s="288">
        <f t="shared" ref="Y48" si="468">Y49*7+Y50*8+Y51*9+Y52*9</f>
        <v>0</v>
      </c>
      <c r="Z48" s="99">
        <f t="shared" si="63"/>
        <v>0</v>
      </c>
      <c r="AA48" s="288">
        <f t="shared" ref="AA48" si="469">AA49*7+AA50*8+AA51*9+AA52*9</f>
        <v>0</v>
      </c>
      <c r="AB48" s="78">
        <f t="shared" ref="AB48" si="470">ROUND(AA48/12*$A$7,0)</f>
        <v>0</v>
      </c>
      <c r="AC48" s="288">
        <f t="shared" ref="AC48" si="471">AC49*7+AC50*8+AC51*9+AC52*9</f>
        <v>0</v>
      </c>
      <c r="AD48" s="79" t="e">
        <f t="shared" si="343"/>
        <v>#DIV/0!</v>
      </c>
      <c r="AE48" s="288">
        <f t="shared" ref="AE48" si="472">AE49*7+AE50*8+AE51*9+AE52*9</f>
        <v>0</v>
      </c>
      <c r="AF48" s="78">
        <f t="shared" ref="AF48" si="473">ROUND(AE48/12*$A$7,0)</f>
        <v>0</v>
      </c>
      <c r="AG48" s="288">
        <f t="shared" ref="AG48" si="474">AG49*7+AG50*8+AG51*9+AG52*9</f>
        <v>0</v>
      </c>
      <c r="AH48" s="99">
        <f t="shared" si="66"/>
        <v>0</v>
      </c>
      <c r="AI48" s="288">
        <f t="shared" ref="AI48" si="475">AI49*7+AI50*8+AI51*9+AI52*9</f>
        <v>0</v>
      </c>
      <c r="AJ48" s="78">
        <f t="shared" ref="AJ48" si="476">ROUND(AI48/12*$A$7,0)</f>
        <v>0</v>
      </c>
      <c r="AK48" s="288">
        <f t="shared" ref="AK48" si="477">AK49*7+AK50*8+AK51*9+AK52*9</f>
        <v>0</v>
      </c>
      <c r="AL48" s="99">
        <f t="shared" si="68"/>
        <v>0</v>
      </c>
      <c r="AM48" s="288">
        <f t="shared" ref="AM48" si="478">AM49*7+AM50*8+AM51*9+AM52*9</f>
        <v>0</v>
      </c>
      <c r="AN48" s="78">
        <f t="shared" ref="AN48" si="479">ROUND(AM48/12*$A$7,0)</f>
        <v>0</v>
      </c>
      <c r="AO48" s="288">
        <f t="shared" ref="AO48" si="480">AO49*7+AO50*8+AO51*9+AO52*9</f>
        <v>0</v>
      </c>
      <c r="AP48" s="99">
        <f t="shared" si="70"/>
        <v>0</v>
      </c>
      <c r="AQ48" s="288">
        <f t="shared" ref="AQ48" si="481">AQ49*7+AQ50*8+AQ51*9+AQ52*9</f>
        <v>0</v>
      </c>
      <c r="AR48" s="78">
        <f t="shared" ref="AR48" si="482">ROUND(AQ48/12*$A$7,0)</f>
        <v>0</v>
      </c>
      <c r="AS48" s="288">
        <f t="shared" ref="AS48" si="483">AS49*7+AS50*8+AS51*9+AS52*9</f>
        <v>0</v>
      </c>
      <c r="AT48" s="99">
        <f t="shared" si="72"/>
        <v>0</v>
      </c>
      <c r="AU48" s="288">
        <f t="shared" ref="AU48" si="484">AU49*7+AU50*8+AU51*9+AU52*9</f>
        <v>0</v>
      </c>
      <c r="AV48" s="78">
        <f t="shared" ref="AV48" si="485">ROUND(AU48/12*$A$7,0)</f>
        <v>0</v>
      </c>
      <c r="AW48" s="288">
        <f t="shared" ref="AW48" si="486">AW49*7+AW50*8+AW51*9+AW52*9</f>
        <v>0</v>
      </c>
      <c r="AX48" s="99">
        <f t="shared" si="74"/>
        <v>0</v>
      </c>
      <c r="AY48" s="288">
        <f t="shared" ref="AY48" si="487">AY49*7+AY50*8+AY51*9+AY52*9</f>
        <v>0</v>
      </c>
      <c r="AZ48" s="78">
        <f t="shared" ref="AZ48" si="488">ROUND(AY48/12*$A$7,0)</f>
        <v>0</v>
      </c>
      <c r="BA48" s="288">
        <f t="shared" ref="BA48" si="489">BA49*7+BA50*8+BA51*9+BA52*9</f>
        <v>0</v>
      </c>
      <c r="BB48" s="79" t="e">
        <f t="shared" si="350"/>
        <v>#DIV/0!</v>
      </c>
      <c r="BC48" s="288">
        <f t="shared" ref="BC48" si="490">BC49*7+BC50*8+BC51*9+BC52*9</f>
        <v>0</v>
      </c>
      <c r="BD48" s="78">
        <f t="shared" ref="BD48" si="491">ROUND(BC48/12*$A$7,0)</f>
        <v>0</v>
      </c>
      <c r="BE48" s="288">
        <f t="shared" ref="BE48" si="492">BE49*7+BE50*8+BE51*9+BE52*9</f>
        <v>0</v>
      </c>
      <c r="BF48" s="99">
        <f t="shared" si="77"/>
        <v>0</v>
      </c>
      <c r="BG48" s="288">
        <f t="shared" ref="BG48" si="493">BG49*7+BG50*8+BG51*9+BG52*9</f>
        <v>0</v>
      </c>
      <c r="BH48" s="78">
        <f t="shared" ref="BH48" si="494">ROUND(BG48/12*$A$7,0)</f>
        <v>0</v>
      </c>
      <c r="BI48" s="288">
        <f t="shared" ref="BI48" si="495">BI49*7+BI50*8+BI51*9+BI52*9</f>
        <v>0</v>
      </c>
      <c r="BJ48" s="79"/>
      <c r="BK48" s="288">
        <f t="shared" ref="BK48" si="496">BK49*7+BK50*8+BK51*9+BK52*9</f>
        <v>0</v>
      </c>
      <c r="BL48" s="78">
        <f t="shared" ref="BL48" si="497">ROUND(BK48/12*$A$7,0)</f>
        <v>0</v>
      </c>
      <c r="BM48" s="288">
        <f t="shared" ref="BM48" si="498">BM49*7+BM50*8+BM51*9+BM52*9</f>
        <v>0</v>
      </c>
      <c r="BN48" s="79" t="e">
        <f t="shared" si="354"/>
        <v>#DIV/0!</v>
      </c>
      <c r="BO48" s="288">
        <f t="shared" ref="BO48" si="499">BO49*7+BO50*8+BO51*9+BO52*9</f>
        <v>0</v>
      </c>
      <c r="BP48" s="78">
        <f t="shared" ref="BP48" si="500">ROUND(BO48/12*$A$7,0)</f>
        <v>0</v>
      </c>
      <c r="BQ48" s="288">
        <f t="shared" ref="BQ48" si="501">BQ49*7+BQ50*8+BQ51*9+BQ52*9</f>
        <v>0</v>
      </c>
      <c r="BR48" s="79" t="e">
        <f t="shared" si="356"/>
        <v>#DIV/0!</v>
      </c>
      <c r="BS48" s="245">
        <f t="shared" si="310"/>
        <v>0</v>
      </c>
      <c r="BT48" s="245">
        <f t="shared" si="267"/>
        <v>0</v>
      </c>
      <c r="BU48" s="245">
        <f t="shared" si="268"/>
        <v>0</v>
      </c>
      <c r="BV48" s="239">
        <f t="shared" si="81"/>
        <v>0</v>
      </c>
    </row>
    <row r="49" spans="1:74" x14ac:dyDescent="0.25">
      <c r="A49" s="29" t="s">
        <v>149</v>
      </c>
      <c r="B49" s="60" t="s">
        <v>339</v>
      </c>
      <c r="C49" s="288"/>
      <c r="D49" s="78">
        <f t="shared" si="54"/>
        <v>0</v>
      </c>
      <c r="E49" s="288"/>
      <c r="F49" s="99">
        <f t="shared" si="55"/>
        <v>0</v>
      </c>
      <c r="G49" s="288"/>
      <c r="H49" s="78">
        <f t="shared" si="441"/>
        <v>0</v>
      </c>
      <c r="I49" s="288"/>
      <c r="J49" s="99">
        <f t="shared" si="56"/>
        <v>0</v>
      </c>
      <c r="K49" s="288"/>
      <c r="L49" s="78">
        <f t="shared" si="441"/>
        <v>0</v>
      </c>
      <c r="M49" s="288"/>
      <c r="N49" s="99">
        <f t="shared" si="57"/>
        <v>0</v>
      </c>
      <c r="O49" s="288"/>
      <c r="P49" s="78">
        <f t="shared" ref="P49" si="502">ROUND(O49/12*$A$7,0)</f>
        <v>0</v>
      </c>
      <c r="Q49" s="288"/>
      <c r="R49" s="99">
        <f t="shared" si="59"/>
        <v>0</v>
      </c>
      <c r="S49" s="288"/>
      <c r="T49" s="78">
        <f t="shared" ref="T49" si="503">ROUND(S49/12*$A$7,0)</f>
        <v>0</v>
      </c>
      <c r="U49" s="288"/>
      <c r="V49" s="99">
        <f t="shared" si="61"/>
        <v>0</v>
      </c>
      <c r="W49" s="288"/>
      <c r="X49" s="78">
        <f t="shared" ref="X49" si="504">ROUND(W49/12*$A$7,0)</f>
        <v>0</v>
      </c>
      <c r="Y49" s="288"/>
      <c r="Z49" s="99">
        <f t="shared" si="63"/>
        <v>0</v>
      </c>
      <c r="AA49" s="288"/>
      <c r="AB49" s="78">
        <f t="shared" ref="AB49" si="505">ROUND(AA49/12*$A$7,0)</f>
        <v>0</v>
      </c>
      <c r="AC49" s="288"/>
      <c r="AD49" s="79" t="e">
        <f t="shared" si="343"/>
        <v>#DIV/0!</v>
      </c>
      <c r="AE49" s="288"/>
      <c r="AF49" s="78">
        <f t="shared" ref="AF49" si="506">ROUND(AE49/12*$A$7,0)</f>
        <v>0</v>
      </c>
      <c r="AG49" s="288"/>
      <c r="AH49" s="99">
        <f t="shared" si="66"/>
        <v>0</v>
      </c>
      <c r="AI49" s="288"/>
      <c r="AJ49" s="78">
        <f t="shared" ref="AJ49" si="507">ROUND(AI49/12*$A$7,0)</f>
        <v>0</v>
      </c>
      <c r="AK49" s="288"/>
      <c r="AL49" s="99">
        <f t="shared" si="68"/>
        <v>0</v>
      </c>
      <c r="AM49" s="288"/>
      <c r="AN49" s="78">
        <f t="shared" ref="AN49" si="508">ROUND(AM49/12*$A$7,0)</f>
        <v>0</v>
      </c>
      <c r="AO49" s="288"/>
      <c r="AP49" s="99">
        <f t="shared" si="70"/>
        <v>0</v>
      </c>
      <c r="AQ49" s="288"/>
      <c r="AR49" s="78">
        <f t="shared" ref="AR49" si="509">ROUND(AQ49/12*$A$7,0)</f>
        <v>0</v>
      </c>
      <c r="AS49" s="288"/>
      <c r="AT49" s="99">
        <f t="shared" si="72"/>
        <v>0</v>
      </c>
      <c r="AU49" s="288"/>
      <c r="AV49" s="78">
        <f t="shared" ref="AV49" si="510">ROUND(AU49/12*$A$7,0)</f>
        <v>0</v>
      </c>
      <c r="AW49" s="288"/>
      <c r="AX49" s="99">
        <f t="shared" si="74"/>
        <v>0</v>
      </c>
      <c r="AY49" s="288"/>
      <c r="AZ49" s="78">
        <f t="shared" ref="AZ49" si="511">ROUND(AY49/12*$A$7,0)</f>
        <v>0</v>
      </c>
      <c r="BA49" s="288"/>
      <c r="BB49" s="79" t="e">
        <f t="shared" si="350"/>
        <v>#DIV/0!</v>
      </c>
      <c r="BC49" s="288"/>
      <c r="BD49" s="78">
        <f t="shared" ref="BD49" si="512">ROUND(BC49/12*$A$7,0)</f>
        <v>0</v>
      </c>
      <c r="BE49" s="288"/>
      <c r="BF49" s="99">
        <f t="shared" si="77"/>
        <v>0</v>
      </c>
      <c r="BG49" s="288"/>
      <c r="BH49" s="78">
        <f t="shared" ref="BH49" si="513">ROUND(BG49/12*$A$7,0)</f>
        <v>0</v>
      </c>
      <c r="BI49" s="288"/>
      <c r="BJ49" s="79"/>
      <c r="BK49" s="288"/>
      <c r="BL49" s="78">
        <f t="shared" ref="BL49" si="514">ROUND(BK49/12*$A$7,0)</f>
        <v>0</v>
      </c>
      <c r="BM49" s="288"/>
      <c r="BN49" s="79" t="e">
        <f t="shared" si="354"/>
        <v>#DIV/0!</v>
      </c>
      <c r="BO49" s="288"/>
      <c r="BP49" s="78">
        <f t="shared" ref="BP49" si="515">ROUND(BO49/12*$A$7,0)</f>
        <v>0</v>
      </c>
      <c r="BQ49" s="288"/>
      <c r="BR49" s="79" t="e">
        <f t="shared" si="356"/>
        <v>#DIV/0!</v>
      </c>
      <c r="BS49" s="245">
        <f t="shared" si="310"/>
        <v>0</v>
      </c>
      <c r="BT49" s="245">
        <f t="shared" si="267"/>
        <v>0</v>
      </c>
      <c r="BU49" s="245">
        <f t="shared" si="268"/>
        <v>0</v>
      </c>
      <c r="BV49" s="239">
        <f t="shared" si="81"/>
        <v>0</v>
      </c>
    </row>
    <row r="50" spans="1:74" x14ac:dyDescent="0.25">
      <c r="A50" s="29" t="s">
        <v>150</v>
      </c>
      <c r="B50" s="60" t="s">
        <v>339</v>
      </c>
      <c r="C50" s="288"/>
      <c r="D50" s="78">
        <f t="shared" si="54"/>
        <v>0</v>
      </c>
      <c r="E50" s="288"/>
      <c r="F50" s="99">
        <f t="shared" si="55"/>
        <v>0</v>
      </c>
      <c r="G50" s="288"/>
      <c r="H50" s="78">
        <f t="shared" si="441"/>
        <v>0</v>
      </c>
      <c r="I50" s="288"/>
      <c r="J50" s="99">
        <f t="shared" si="56"/>
        <v>0</v>
      </c>
      <c r="K50" s="288"/>
      <c r="L50" s="78">
        <f t="shared" si="441"/>
        <v>0</v>
      </c>
      <c r="M50" s="288"/>
      <c r="N50" s="99">
        <f t="shared" si="57"/>
        <v>0</v>
      </c>
      <c r="O50" s="288"/>
      <c r="P50" s="78">
        <f t="shared" ref="P50" si="516">ROUND(O50/12*$A$7,0)</f>
        <v>0</v>
      </c>
      <c r="Q50" s="288"/>
      <c r="R50" s="99">
        <f t="shared" si="59"/>
        <v>0</v>
      </c>
      <c r="S50" s="288"/>
      <c r="T50" s="78">
        <f t="shared" ref="T50" si="517">ROUND(S50/12*$A$7,0)</f>
        <v>0</v>
      </c>
      <c r="U50" s="288"/>
      <c r="V50" s="99">
        <f t="shared" si="61"/>
        <v>0</v>
      </c>
      <c r="W50" s="288"/>
      <c r="X50" s="78">
        <f t="shared" ref="X50" si="518">ROUND(W50/12*$A$7,0)</f>
        <v>0</v>
      </c>
      <c r="Y50" s="288"/>
      <c r="Z50" s="99">
        <f t="shared" si="63"/>
        <v>0</v>
      </c>
      <c r="AA50" s="288"/>
      <c r="AB50" s="78">
        <f t="shared" ref="AB50" si="519">ROUND(AA50/12*$A$7,0)</f>
        <v>0</v>
      </c>
      <c r="AC50" s="288"/>
      <c r="AD50" s="79" t="e">
        <f t="shared" si="343"/>
        <v>#DIV/0!</v>
      </c>
      <c r="AE50" s="288"/>
      <c r="AF50" s="78">
        <f t="shared" ref="AF50" si="520">ROUND(AE50/12*$A$7,0)</f>
        <v>0</v>
      </c>
      <c r="AG50" s="288"/>
      <c r="AH50" s="99">
        <f t="shared" si="66"/>
        <v>0</v>
      </c>
      <c r="AI50" s="288"/>
      <c r="AJ50" s="78">
        <f t="shared" ref="AJ50" si="521">ROUND(AI50/12*$A$7,0)</f>
        <v>0</v>
      </c>
      <c r="AK50" s="288"/>
      <c r="AL50" s="99">
        <f t="shared" si="68"/>
        <v>0</v>
      </c>
      <c r="AM50" s="288"/>
      <c r="AN50" s="78">
        <f t="shared" ref="AN50" si="522">ROUND(AM50/12*$A$7,0)</f>
        <v>0</v>
      </c>
      <c r="AO50" s="288"/>
      <c r="AP50" s="99">
        <f t="shared" si="70"/>
        <v>0</v>
      </c>
      <c r="AQ50" s="288"/>
      <c r="AR50" s="78">
        <f t="shared" ref="AR50" si="523">ROUND(AQ50/12*$A$7,0)</f>
        <v>0</v>
      </c>
      <c r="AS50" s="288"/>
      <c r="AT50" s="99">
        <f t="shared" si="72"/>
        <v>0</v>
      </c>
      <c r="AU50" s="288"/>
      <c r="AV50" s="78">
        <f t="shared" ref="AV50" si="524">ROUND(AU50/12*$A$7,0)</f>
        <v>0</v>
      </c>
      <c r="AW50" s="288"/>
      <c r="AX50" s="99">
        <f t="shared" si="74"/>
        <v>0</v>
      </c>
      <c r="AY50" s="288"/>
      <c r="AZ50" s="78">
        <f t="shared" ref="AZ50" si="525">ROUND(AY50/12*$A$7,0)</f>
        <v>0</v>
      </c>
      <c r="BA50" s="288"/>
      <c r="BB50" s="79" t="e">
        <f t="shared" si="350"/>
        <v>#DIV/0!</v>
      </c>
      <c r="BC50" s="288"/>
      <c r="BD50" s="78">
        <f t="shared" ref="BD50" si="526">ROUND(BC50/12*$A$7,0)</f>
        <v>0</v>
      </c>
      <c r="BE50" s="288"/>
      <c r="BF50" s="99">
        <f t="shared" si="77"/>
        <v>0</v>
      </c>
      <c r="BG50" s="288"/>
      <c r="BH50" s="78">
        <f t="shared" ref="BH50" si="527">ROUND(BG50/12*$A$7,0)</f>
        <v>0</v>
      </c>
      <c r="BI50" s="288"/>
      <c r="BJ50" s="79"/>
      <c r="BK50" s="288"/>
      <c r="BL50" s="78">
        <f t="shared" ref="BL50" si="528">ROUND(BK50/12*$A$7,0)</f>
        <v>0</v>
      </c>
      <c r="BM50" s="288"/>
      <c r="BN50" s="79" t="e">
        <f t="shared" si="354"/>
        <v>#DIV/0!</v>
      </c>
      <c r="BO50" s="288"/>
      <c r="BP50" s="78">
        <f t="shared" ref="BP50" si="529">ROUND(BO50/12*$A$7,0)</f>
        <v>0</v>
      </c>
      <c r="BQ50" s="288"/>
      <c r="BR50" s="79" t="e">
        <f t="shared" si="356"/>
        <v>#DIV/0!</v>
      </c>
      <c r="BS50" s="245">
        <f t="shared" si="310"/>
        <v>0</v>
      </c>
      <c r="BT50" s="245">
        <f t="shared" si="267"/>
        <v>0</v>
      </c>
      <c r="BU50" s="245">
        <f t="shared" si="268"/>
        <v>0</v>
      </c>
      <c r="BV50" s="239">
        <f t="shared" si="81"/>
        <v>0</v>
      </c>
    </row>
    <row r="51" spans="1:74" x14ac:dyDescent="0.25">
      <c r="A51" s="29" t="s">
        <v>151</v>
      </c>
      <c r="B51" s="60" t="s">
        <v>339</v>
      </c>
      <c r="C51" s="288"/>
      <c r="D51" s="78">
        <f t="shared" si="54"/>
        <v>0</v>
      </c>
      <c r="E51" s="288"/>
      <c r="F51" s="99">
        <f t="shared" si="55"/>
        <v>0</v>
      </c>
      <c r="G51" s="288"/>
      <c r="H51" s="78">
        <f t="shared" si="441"/>
        <v>0</v>
      </c>
      <c r="I51" s="288"/>
      <c r="J51" s="99">
        <f t="shared" si="56"/>
        <v>0</v>
      </c>
      <c r="K51" s="288"/>
      <c r="L51" s="78">
        <f t="shared" si="441"/>
        <v>0</v>
      </c>
      <c r="M51" s="288"/>
      <c r="N51" s="99">
        <f t="shared" si="57"/>
        <v>0</v>
      </c>
      <c r="O51" s="288"/>
      <c r="P51" s="78">
        <f t="shared" ref="P51" si="530">ROUND(O51/12*$A$7,0)</f>
        <v>0</v>
      </c>
      <c r="Q51" s="288"/>
      <c r="R51" s="99">
        <f t="shared" si="59"/>
        <v>0</v>
      </c>
      <c r="S51" s="288"/>
      <c r="T51" s="78">
        <f t="shared" ref="T51" si="531">ROUND(S51/12*$A$7,0)</f>
        <v>0</v>
      </c>
      <c r="U51" s="288"/>
      <c r="V51" s="99">
        <f t="shared" si="61"/>
        <v>0</v>
      </c>
      <c r="W51" s="288"/>
      <c r="X51" s="78">
        <f t="shared" ref="X51" si="532">ROUND(W51/12*$A$7,0)</f>
        <v>0</v>
      </c>
      <c r="Y51" s="288"/>
      <c r="Z51" s="99">
        <f t="shared" si="63"/>
        <v>0</v>
      </c>
      <c r="AA51" s="288"/>
      <c r="AB51" s="78">
        <f t="shared" ref="AB51" si="533">ROUND(AA51/12*$A$7,0)</f>
        <v>0</v>
      </c>
      <c r="AC51" s="288"/>
      <c r="AD51" s="79" t="e">
        <f t="shared" si="343"/>
        <v>#DIV/0!</v>
      </c>
      <c r="AE51" s="288"/>
      <c r="AF51" s="78">
        <f t="shared" ref="AF51" si="534">ROUND(AE51/12*$A$7,0)</f>
        <v>0</v>
      </c>
      <c r="AG51" s="288"/>
      <c r="AH51" s="99">
        <f t="shared" si="66"/>
        <v>0</v>
      </c>
      <c r="AI51" s="288"/>
      <c r="AJ51" s="78">
        <f t="shared" ref="AJ51" si="535">ROUND(AI51/12*$A$7,0)</f>
        <v>0</v>
      </c>
      <c r="AK51" s="288"/>
      <c r="AL51" s="99">
        <f t="shared" si="68"/>
        <v>0</v>
      </c>
      <c r="AM51" s="288"/>
      <c r="AN51" s="78">
        <f t="shared" ref="AN51" si="536">ROUND(AM51/12*$A$7,0)</f>
        <v>0</v>
      </c>
      <c r="AO51" s="288"/>
      <c r="AP51" s="99">
        <f t="shared" si="70"/>
        <v>0</v>
      </c>
      <c r="AQ51" s="288"/>
      <c r="AR51" s="78">
        <f t="shared" ref="AR51" si="537">ROUND(AQ51/12*$A$7,0)</f>
        <v>0</v>
      </c>
      <c r="AS51" s="288"/>
      <c r="AT51" s="99">
        <f t="shared" si="72"/>
        <v>0</v>
      </c>
      <c r="AU51" s="288"/>
      <c r="AV51" s="78">
        <f t="shared" ref="AV51" si="538">ROUND(AU51/12*$A$7,0)</f>
        <v>0</v>
      </c>
      <c r="AW51" s="288"/>
      <c r="AX51" s="99">
        <f t="shared" si="74"/>
        <v>0</v>
      </c>
      <c r="AY51" s="288"/>
      <c r="AZ51" s="78">
        <f t="shared" ref="AZ51" si="539">ROUND(AY51/12*$A$7,0)</f>
        <v>0</v>
      </c>
      <c r="BA51" s="288"/>
      <c r="BB51" s="79" t="e">
        <f t="shared" si="350"/>
        <v>#DIV/0!</v>
      </c>
      <c r="BC51" s="288"/>
      <c r="BD51" s="78">
        <f t="shared" ref="BD51" si="540">ROUND(BC51/12*$A$7,0)</f>
        <v>0</v>
      </c>
      <c r="BE51" s="288"/>
      <c r="BF51" s="99">
        <f t="shared" si="77"/>
        <v>0</v>
      </c>
      <c r="BG51" s="288"/>
      <c r="BH51" s="78">
        <f t="shared" ref="BH51" si="541">ROUND(BG51/12*$A$7,0)</f>
        <v>0</v>
      </c>
      <c r="BI51" s="288"/>
      <c r="BJ51" s="79"/>
      <c r="BK51" s="288"/>
      <c r="BL51" s="78">
        <f t="shared" ref="BL51" si="542">ROUND(BK51/12*$A$7,0)</f>
        <v>0</v>
      </c>
      <c r="BM51" s="288"/>
      <c r="BN51" s="79" t="e">
        <f t="shared" si="354"/>
        <v>#DIV/0!</v>
      </c>
      <c r="BO51" s="288"/>
      <c r="BP51" s="78">
        <f t="shared" ref="BP51" si="543">ROUND(BO51/12*$A$7,0)</f>
        <v>0</v>
      </c>
      <c r="BQ51" s="288"/>
      <c r="BR51" s="79" t="e">
        <f t="shared" si="356"/>
        <v>#DIV/0!</v>
      </c>
      <c r="BS51" s="245">
        <f t="shared" si="310"/>
        <v>0</v>
      </c>
      <c r="BT51" s="245">
        <f t="shared" si="267"/>
        <v>0</v>
      </c>
      <c r="BU51" s="245">
        <f t="shared" si="268"/>
        <v>0</v>
      </c>
      <c r="BV51" s="239">
        <f t="shared" si="81"/>
        <v>0</v>
      </c>
    </row>
    <row r="52" spans="1:74" x14ac:dyDescent="0.25">
      <c r="A52" s="29" t="s">
        <v>152</v>
      </c>
      <c r="B52" s="60" t="s">
        <v>339</v>
      </c>
      <c r="C52" s="288"/>
      <c r="D52" s="78">
        <f t="shared" si="54"/>
        <v>0</v>
      </c>
      <c r="E52" s="288"/>
      <c r="F52" s="99">
        <f t="shared" si="55"/>
        <v>0</v>
      </c>
      <c r="G52" s="288"/>
      <c r="H52" s="78">
        <f t="shared" si="441"/>
        <v>0</v>
      </c>
      <c r="I52" s="288"/>
      <c r="J52" s="99">
        <f t="shared" si="56"/>
        <v>0</v>
      </c>
      <c r="K52" s="288"/>
      <c r="L52" s="78">
        <f t="shared" si="441"/>
        <v>0</v>
      </c>
      <c r="M52" s="288"/>
      <c r="N52" s="99">
        <f t="shared" si="57"/>
        <v>0</v>
      </c>
      <c r="O52" s="288"/>
      <c r="P52" s="78">
        <f t="shared" ref="P52" si="544">ROUND(O52/12*$A$7,0)</f>
        <v>0</v>
      </c>
      <c r="Q52" s="288"/>
      <c r="R52" s="99">
        <f t="shared" si="59"/>
        <v>0</v>
      </c>
      <c r="S52" s="288"/>
      <c r="T52" s="78">
        <f t="shared" ref="T52" si="545">ROUND(S52/12*$A$7,0)</f>
        <v>0</v>
      </c>
      <c r="U52" s="288"/>
      <c r="V52" s="99">
        <f t="shared" si="61"/>
        <v>0</v>
      </c>
      <c r="W52" s="288"/>
      <c r="X52" s="78">
        <f t="shared" ref="X52" si="546">ROUND(W52/12*$A$7,0)</f>
        <v>0</v>
      </c>
      <c r="Y52" s="288"/>
      <c r="Z52" s="99">
        <f t="shared" si="63"/>
        <v>0</v>
      </c>
      <c r="AA52" s="288"/>
      <c r="AB52" s="78">
        <f t="shared" ref="AB52" si="547">ROUND(AA52/12*$A$7,0)</f>
        <v>0</v>
      </c>
      <c r="AC52" s="288"/>
      <c r="AD52" s="79" t="e">
        <f t="shared" si="343"/>
        <v>#DIV/0!</v>
      </c>
      <c r="AE52" s="288"/>
      <c r="AF52" s="78">
        <f t="shared" ref="AF52" si="548">ROUND(AE52/12*$A$7,0)</f>
        <v>0</v>
      </c>
      <c r="AG52" s="288"/>
      <c r="AH52" s="99">
        <f t="shared" si="66"/>
        <v>0</v>
      </c>
      <c r="AI52" s="288"/>
      <c r="AJ52" s="78">
        <f t="shared" ref="AJ52" si="549">ROUND(AI52/12*$A$7,0)</f>
        <v>0</v>
      </c>
      <c r="AK52" s="288"/>
      <c r="AL52" s="99">
        <f t="shared" si="68"/>
        <v>0</v>
      </c>
      <c r="AM52" s="288"/>
      <c r="AN52" s="78">
        <f t="shared" ref="AN52" si="550">ROUND(AM52/12*$A$7,0)</f>
        <v>0</v>
      </c>
      <c r="AO52" s="288"/>
      <c r="AP52" s="99">
        <f t="shared" si="70"/>
        <v>0</v>
      </c>
      <c r="AQ52" s="288"/>
      <c r="AR52" s="78">
        <f t="shared" ref="AR52" si="551">ROUND(AQ52/12*$A$7,0)</f>
        <v>0</v>
      </c>
      <c r="AS52" s="288"/>
      <c r="AT52" s="99">
        <f t="shared" si="72"/>
        <v>0</v>
      </c>
      <c r="AU52" s="288"/>
      <c r="AV52" s="78">
        <f t="shared" ref="AV52" si="552">ROUND(AU52/12*$A$7,0)</f>
        <v>0</v>
      </c>
      <c r="AW52" s="288"/>
      <c r="AX52" s="99">
        <f t="shared" si="74"/>
        <v>0</v>
      </c>
      <c r="AY52" s="288"/>
      <c r="AZ52" s="78">
        <f t="shared" ref="AZ52" si="553">ROUND(AY52/12*$A$7,0)</f>
        <v>0</v>
      </c>
      <c r="BA52" s="288"/>
      <c r="BB52" s="79" t="e">
        <f t="shared" si="350"/>
        <v>#DIV/0!</v>
      </c>
      <c r="BC52" s="288"/>
      <c r="BD52" s="78">
        <f t="shared" ref="BD52" si="554">ROUND(BC52/12*$A$7,0)</f>
        <v>0</v>
      </c>
      <c r="BE52" s="288"/>
      <c r="BF52" s="99">
        <f t="shared" si="77"/>
        <v>0</v>
      </c>
      <c r="BG52" s="288"/>
      <c r="BH52" s="78">
        <f t="shared" ref="BH52" si="555">ROUND(BG52/12*$A$7,0)</f>
        <v>0</v>
      </c>
      <c r="BI52" s="288"/>
      <c r="BJ52" s="79"/>
      <c r="BK52" s="288"/>
      <c r="BL52" s="78">
        <f t="shared" ref="BL52" si="556">ROUND(BK52/12*$A$7,0)</f>
        <v>0</v>
      </c>
      <c r="BM52" s="288"/>
      <c r="BN52" s="79" t="e">
        <f t="shared" si="354"/>
        <v>#DIV/0!</v>
      </c>
      <c r="BO52" s="288"/>
      <c r="BP52" s="78">
        <f t="shared" ref="BP52" si="557">ROUND(BO52/12*$A$7,0)</f>
        <v>0</v>
      </c>
      <c r="BQ52" s="288"/>
      <c r="BR52" s="79" t="e">
        <f t="shared" si="356"/>
        <v>#DIV/0!</v>
      </c>
      <c r="BS52" s="245">
        <f t="shared" si="310"/>
        <v>0</v>
      </c>
      <c r="BT52" s="245">
        <f t="shared" si="267"/>
        <v>0</v>
      </c>
      <c r="BU52" s="245">
        <f t="shared" si="268"/>
        <v>0</v>
      </c>
      <c r="BV52" s="239">
        <f t="shared" si="81"/>
        <v>0</v>
      </c>
    </row>
    <row r="53" spans="1:74" s="67" customFormat="1" ht="31.5" x14ac:dyDescent="0.25">
      <c r="A53" s="38" t="s">
        <v>154</v>
      </c>
      <c r="B53" s="57" t="s">
        <v>3</v>
      </c>
      <c r="C53" s="493">
        <f>C54+C55+C70+C74</f>
        <v>0</v>
      </c>
      <c r="D53" s="80">
        <f t="shared" si="54"/>
        <v>0</v>
      </c>
      <c r="E53" s="493">
        <f>E54+E55+E70+E74</f>
        <v>0</v>
      </c>
      <c r="F53" s="163">
        <f t="shared" si="55"/>
        <v>0</v>
      </c>
      <c r="G53" s="493">
        <f t="shared" ref="G53" si="558">G54+G55+G70+G74</f>
        <v>0</v>
      </c>
      <c r="H53" s="80">
        <f t="shared" si="441"/>
        <v>0</v>
      </c>
      <c r="I53" s="493">
        <f t="shared" ref="I53" si="559">I54+I55+I70+I74</f>
        <v>0</v>
      </c>
      <c r="J53" s="163">
        <f t="shared" si="56"/>
        <v>0</v>
      </c>
      <c r="K53" s="493">
        <f t="shared" ref="K53" si="560">K54+K55+K70+K74</f>
        <v>0</v>
      </c>
      <c r="L53" s="80">
        <f t="shared" si="441"/>
        <v>0</v>
      </c>
      <c r="M53" s="493">
        <f t="shared" ref="M53" si="561">M54+M55+M70+M74</f>
        <v>0</v>
      </c>
      <c r="N53" s="163">
        <f t="shared" si="57"/>
        <v>0</v>
      </c>
      <c r="O53" s="493">
        <f t="shared" ref="O53" si="562">O54+O55+O70+O74</f>
        <v>0</v>
      </c>
      <c r="P53" s="80">
        <f t="shared" ref="P53" si="563">ROUND(O53/12*$A$7,0)</f>
        <v>0</v>
      </c>
      <c r="Q53" s="493">
        <f t="shared" ref="Q53" si="564">Q54+Q55+Q70+Q74</f>
        <v>0</v>
      </c>
      <c r="R53" s="163">
        <f t="shared" si="59"/>
        <v>0</v>
      </c>
      <c r="S53" s="493">
        <f t="shared" ref="S53" si="565">S54+S55+S70+S74</f>
        <v>0</v>
      </c>
      <c r="T53" s="80">
        <f t="shared" ref="T53" si="566">ROUND(S53/12*$A$7,0)</f>
        <v>0</v>
      </c>
      <c r="U53" s="493">
        <f t="shared" ref="U53" si="567">U54+U55+U70+U74</f>
        <v>0</v>
      </c>
      <c r="V53" s="163">
        <f t="shared" si="61"/>
        <v>0</v>
      </c>
      <c r="W53" s="493">
        <f t="shared" ref="W53:X53" si="568">W54+W55+W70+W74</f>
        <v>300</v>
      </c>
      <c r="X53" s="493">
        <f t="shared" si="568"/>
        <v>300</v>
      </c>
      <c r="Y53" s="493">
        <f t="shared" ref="Y53" si="569">Y54+Y55+Y70+Y74</f>
        <v>227</v>
      </c>
      <c r="Z53" s="163">
        <f t="shared" si="63"/>
        <v>75.666666666666671</v>
      </c>
      <c r="AA53" s="493">
        <f t="shared" ref="AA53" si="570">AA54+AA55+AA70+AA74</f>
        <v>0</v>
      </c>
      <c r="AB53" s="80">
        <f t="shared" ref="AB53" si="571">ROUND(AA53/12*$A$7,0)</f>
        <v>0</v>
      </c>
      <c r="AC53" s="493">
        <f t="shared" ref="AC53" si="572">AC54+AC55+AC70+AC74</f>
        <v>0</v>
      </c>
      <c r="AD53" s="81" t="e">
        <f t="shared" si="343"/>
        <v>#DIV/0!</v>
      </c>
      <c r="AE53" s="493">
        <f t="shared" ref="AE53" si="573">AE54+AE55+AE70+AE74</f>
        <v>0</v>
      </c>
      <c r="AF53" s="80">
        <f t="shared" ref="AF53" si="574">ROUND(AE53/12*$A$7,0)</f>
        <v>0</v>
      </c>
      <c r="AG53" s="493">
        <f t="shared" ref="AG53" si="575">AG54+AG55+AG70+AG74</f>
        <v>0</v>
      </c>
      <c r="AH53" s="163">
        <f t="shared" si="66"/>
        <v>0</v>
      </c>
      <c r="AI53" s="493">
        <f t="shared" ref="AI53" si="576">AI54+AI55+AI70+AI74</f>
        <v>0</v>
      </c>
      <c r="AJ53" s="80">
        <f t="shared" ref="AJ53" si="577">ROUND(AI53/12*$A$7,0)</f>
        <v>0</v>
      </c>
      <c r="AK53" s="493">
        <f t="shared" ref="AK53" si="578">AK54+AK55+AK70+AK74</f>
        <v>0</v>
      </c>
      <c r="AL53" s="163">
        <f t="shared" si="68"/>
        <v>0</v>
      </c>
      <c r="AM53" s="493">
        <f t="shared" ref="AM53" si="579">AM54+AM55+AM70+AM74</f>
        <v>0</v>
      </c>
      <c r="AN53" s="80">
        <f t="shared" ref="AN53" si="580">ROUND(AM53/12*$A$7,0)</f>
        <v>0</v>
      </c>
      <c r="AO53" s="493">
        <f t="shared" ref="AO53" si="581">AO54+AO55+AO70+AO74</f>
        <v>0</v>
      </c>
      <c r="AP53" s="163">
        <f t="shared" si="70"/>
        <v>0</v>
      </c>
      <c r="AQ53" s="493">
        <f t="shared" ref="AQ53" si="582">AQ54+AQ55+AQ70+AQ74</f>
        <v>0</v>
      </c>
      <c r="AR53" s="80">
        <f t="shared" ref="AR53" si="583">ROUND(AQ53/12*$A$7,0)</f>
        <v>0</v>
      </c>
      <c r="AS53" s="493">
        <f t="shared" ref="AS53" si="584">AS54+AS55+AS70+AS74</f>
        <v>0</v>
      </c>
      <c r="AT53" s="163">
        <f t="shared" si="72"/>
        <v>0</v>
      </c>
      <c r="AU53" s="493">
        <f t="shared" ref="AU53" si="585">AU54+AU55+AU70+AU74</f>
        <v>0</v>
      </c>
      <c r="AV53" s="80">
        <f t="shared" ref="AV53" si="586">ROUND(AU53/12*$A$7,0)</f>
        <v>0</v>
      </c>
      <c r="AW53" s="493">
        <f t="shared" ref="AW53" si="587">AW54+AW55+AW70+AW74</f>
        <v>0</v>
      </c>
      <c r="AX53" s="163">
        <f t="shared" si="74"/>
        <v>0</v>
      </c>
      <c r="AY53" s="493">
        <f t="shared" ref="AY53" si="588">AY54+AY55+AY70+AY74</f>
        <v>0</v>
      </c>
      <c r="AZ53" s="80">
        <f t="shared" ref="AZ53" si="589">ROUND(AY53/12*$A$7,0)</f>
        <v>0</v>
      </c>
      <c r="BA53" s="493">
        <f t="shared" ref="BA53" si="590">BA54+BA55+BA70+BA74</f>
        <v>0</v>
      </c>
      <c r="BB53" s="81" t="e">
        <f t="shared" si="350"/>
        <v>#DIV/0!</v>
      </c>
      <c r="BC53" s="493">
        <f t="shared" ref="BC53" si="591">BC54+BC55+BC70+BC74</f>
        <v>0</v>
      </c>
      <c r="BD53" s="80">
        <f t="shared" ref="BD53" si="592">ROUND(BC53/12*$A$7,0)</f>
        <v>0</v>
      </c>
      <c r="BE53" s="493">
        <f t="shared" ref="BE53" si="593">BE54+BE55+BE70+BE74</f>
        <v>0</v>
      </c>
      <c r="BF53" s="163">
        <f t="shared" si="77"/>
        <v>0</v>
      </c>
      <c r="BG53" s="493">
        <f t="shared" ref="BG53" si="594">BG54+BG55+BG70+BG74</f>
        <v>0</v>
      </c>
      <c r="BH53" s="80">
        <f t="shared" ref="BH53" si="595">ROUND(BG53/12*$A$7,0)</f>
        <v>0</v>
      </c>
      <c r="BI53" s="493">
        <f t="shared" ref="BI53" si="596">BI54+BI55+BI70+BI74</f>
        <v>0</v>
      </c>
      <c r="BJ53" s="81"/>
      <c r="BK53" s="493">
        <f t="shared" ref="BK53" si="597">BK54+BK55+BK70+BK74</f>
        <v>0</v>
      </c>
      <c r="BL53" s="80">
        <f t="shared" ref="BL53" si="598">ROUND(BK53/12*$A$7,0)</f>
        <v>0</v>
      </c>
      <c r="BM53" s="493">
        <f t="shared" ref="BM53" si="599">BM54+BM55+BM70+BM74</f>
        <v>0</v>
      </c>
      <c r="BN53" s="81" t="e">
        <f t="shared" si="354"/>
        <v>#DIV/0!</v>
      </c>
      <c r="BO53" s="493">
        <f t="shared" ref="BO53" si="600">BO54+BO55+BO70+BO74</f>
        <v>0</v>
      </c>
      <c r="BP53" s="80">
        <f t="shared" ref="BP53" si="601">ROUND(BO53/12*$A$7,0)</f>
        <v>0</v>
      </c>
      <c r="BQ53" s="493">
        <f t="shared" ref="BQ53" si="602">BQ54+BQ55+BQ70+BQ74</f>
        <v>0</v>
      </c>
      <c r="BR53" s="81" t="e">
        <f t="shared" si="356"/>
        <v>#DIV/0!</v>
      </c>
      <c r="BS53" s="245">
        <f t="shared" si="310"/>
        <v>300</v>
      </c>
      <c r="BT53" s="245">
        <f t="shared" si="267"/>
        <v>300</v>
      </c>
      <c r="BU53" s="245">
        <f t="shared" si="268"/>
        <v>227</v>
      </c>
      <c r="BV53" s="239">
        <f t="shared" si="81"/>
        <v>75.666666666666671</v>
      </c>
    </row>
    <row r="54" spans="1:74" s="69" customFormat="1" x14ac:dyDescent="0.25">
      <c r="A54" s="39" t="s">
        <v>155</v>
      </c>
      <c r="B54" s="68"/>
      <c r="C54" s="494"/>
      <c r="D54" s="78">
        <f t="shared" si="54"/>
        <v>0</v>
      </c>
      <c r="E54" s="494"/>
      <c r="F54" s="179">
        <f t="shared" si="55"/>
        <v>0</v>
      </c>
      <c r="G54" s="494"/>
      <c r="H54" s="78">
        <f t="shared" si="441"/>
        <v>0</v>
      </c>
      <c r="I54" s="494"/>
      <c r="J54" s="179">
        <f t="shared" si="56"/>
        <v>0</v>
      </c>
      <c r="K54" s="494"/>
      <c r="L54" s="78">
        <f t="shared" si="441"/>
        <v>0</v>
      </c>
      <c r="M54" s="494"/>
      <c r="N54" s="179">
        <f t="shared" si="57"/>
        <v>0</v>
      </c>
      <c r="O54" s="494"/>
      <c r="P54" s="78">
        <f t="shared" ref="P54" si="603">ROUND(O54/12*$A$7,0)</f>
        <v>0</v>
      </c>
      <c r="Q54" s="494"/>
      <c r="R54" s="179">
        <f t="shared" si="59"/>
        <v>0</v>
      </c>
      <c r="S54" s="494"/>
      <c r="T54" s="78">
        <f t="shared" ref="T54" si="604">ROUND(S54/12*$A$7,0)</f>
        <v>0</v>
      </c>
      <c r="U54" s="494"/>
      <c r="V54" s="179">
        <f t="shared" si="61"/>
        <v>0</v>
      </c>
      <c r="W54" s="494">
        <v>300</v>
      </c>
      <c r="X54" s="78">
        <f t="shared" ref="X54" si="605">ROUND(W54/12*$A$7,0)</f>
        <v>300</v>
      </c>
      <c r="Y54" s="494">
        <v>227</v>
      </c>
      <c r="Z54" s="179">
        <f t="shared" si="63"/>
        <v>75.666666666666671</v>
      </c>
      <c r="AA54" s="494"/>
      <c r="AB54" s="78">
        <f t="shared" ref="AB54" si="606">ROUND(AA54/12*$A$7,0)</f>
        <v>0</v>
      </c>
      <c r="AC54" s="494"/>
      <c r="AD54" s="82" t="e">
        <f t="shared" si="343"/>
        <v>#DIV/0!</v>
      </c>
      <c r="AE54" s="494"/>
      <c r="AF54" s="78">
        <f t="shared" ref="AF54" si="607">ROUND(AE54/12*$A$7,0)</f>
        <v>0</v>
      </c>
      <c r="AG54" s="494"/>
      <c r="AH54" s="179">
        <f t="shared" si="66"/>
        <v>0</v>
      </c>
      <c r="AI54" s="494"/>
      <c r="AJ54" s="78">
        <f t="shared" ref="AJ54" si="608">ROUND(AI54/12*$A$7,0)</f>
        <v>0</v>
      </c>
      <c r="AK54" s="494"/>
      <c r="AL54" s="179">
        <f t="shared" si="68"/>
        <v>0</v>
      </c>
      <c r="AM54" s="494"/>
      <c r="AN54" s="78">
        <f t="shared" ref="AN54" si="609">ROUND(AM54/12*$A$7,0)</f>
        <v>0</v>
      </c>
      <c r="AO54" s="494"/>
      <c r="AP54" s="179">
        <f t="shared" si="70"/>
        <v>0</v>
      </c>
      <c r="AQ54" s="494"/>
      <c r="AR54" s="78">
        <f t="shared" ref="AR54" si="610">ROUND(AQ54/12*$A$7,0)</f>
        <v>0</v>
      </c>
      <c r="AS54" s="494"/>
      <c r="AT54" s="179">
        <f t="shared" si="72"/>
        <v>0</v>
      </c>
      <c r="AU54" s="494"/>
      <c r="AV54" s="78">
        <f t="shared" ref="AV54" si="611">ROUND(AU54/12*$A$7,0)</f>
        <v>0</v>
      </c>
      <c r="AW54" s="494"/>
      <c r="AX54" s="179">
        <f t="shared" si="74"/>
        <v>0</v>
      </c>
      <c r="AY54" s="494"/>
      <c r="AZ54" s="78">
        <f t="shared" ref="AZ54" si="612">ROUND(AY54/12*$A$7,0)</f>
        <v>0</v>
      </c>
      <c r="BA54" s="494"/>
      <c r="BB54" s="82" t="e">
        <f t="shared" si="350"/>
        <v>#DIV/0!</v>
      </c>
      <c r="BC54" s="494"/>
      <c r="BD54" s="78">
        <f t="shared" ref="BD54" si="613">ROUND(BC54/12*$A$7,0)</f>
        <v>0</v>
      </c>
      <c r="BE54" s="494"/>
      <c r="BF54" s="179">
        <f t="shared" si="77"/>
        <v>0</v>
      </c>
      <c r="BG54" s="494"/>
      <c r="BH54" s="78">
        <f t="shared" ref="BH54" si="614">ROUND(BG54/12*$A$7,0)</f>
        <v>0</v>
      </c>
      <c r="BI54" s="494"/>
      <c r="BJ54" s="82"/>
      <c r="BK54" s="494"/>
      <c r="BL54" s="78">
        <f t="shared" ref="BL54" si="615">ROUND(BK54/12*$A$7,0)</f>
        <v>0</v>
      </c>
      <c r="BM54" s="494"/>
      <c r="BN54" s="82" t="e">
        <f t="shared" si="354"/>
        <v>#DIV/0!</v>
      </c>
      <c r="BO54" s="494"/>
      <c r="BP54" s="78">
        <f t="shared" ref="BP54" si="616">ROUND(BO54/12*$A$7,0)</f>
        <v>0</v>
      </c>
      <c r="BQ54" s="494"/>
      <c r="BR54" s="82" t="e">
        <f t="shared" si="356"/>
        <v>#DIV/0!</v>
      </c>
      <c r="BS54" s="245">
        <f t="shared" si="310"/>
        <v>300</v>
      </c>
      <c r="BT54" s="245">
        <f t="shared" si="267"/>
        <v>300</v>
      </c>
      <c r="BU54" s="245">
        <f t="shared" si="268"/>
        <v>227</v>
      </c>
      <c r="BV54" s="239">
        <f t="shared" si="81"/>
        <v>75.666666666666671</v>
      </c>
    </row>
    <row r="55" spans="1:74" s="64" customFormat="1" ht="23.25" customHeight="1" x14ac:dyDescent="0.25">
      <c r="A55" s="45" t="s">
        <v>156</v>
      </c>
      <c r="B55" s="57" t="s">
        <v>3</v>
      </c>
      <c r="C55" s="495">
        <f>C56*4+C57+C58*3+C59*6+C60*2+C61*7+C62*2+C63*4+C64*8+C65*8+C66*3+C67*2+C68*7+C69*9</f>
        <v>0</v>
      </c>
      <c r="D55" s="76">
        <f t="shared" si="54"/>
        <v>0</v>
      </c>
      <c r="E55" s="495">
        <f>E56*4+E57+E58*3+E59*6+E60*2+E61*7+E62*2+E63*4+E64*8+E65*8+E66*3+E67*2+E68*7+E69*9</f>
        <v>0</v>
      </c>
      <c r="F55" s="117">
        <f t="shared" si="55"/>
        <v>0</v>
      </c>
      <c r="G55" s="495">
        <f t="shared" ref="G55" si="617">G56*4+G57+G58*3+G59*6+G60*2+G61*7+G62*2+G63*4+G64*8+G65*8+G66*3+G67*2+G68*7+G69*9</f>
        <v>0</v>
      </c>
      <c r="H55" s="76">
        <f t="shared" si="441"/>
        <v>0</v>
      </c>
      <c r="I55" s="495">
        <f t="shared" ref="I55" si="618">I56*4+I57+I58*3+I59*6+I60*2+I61*7+I62*2+I63*4+I64*8+I65*8+I66*3+I67*2+I68*7+I69*9</f>
        <v>0</v>
      </c>
      <c r="J55" s="117">
        <f t="shared" si="56"/>
        <v>0</v>
      </c>
      <c r="K55" s="495">
        <f t="shared" ref="K55" si="619">K56*4+K57+K58*3+K59*6+K60*2+K61*7+K62*2+K63*4+K64*8+K65*8+K66*3+K67*2+K68*7+K69*9</f>
        <v>0</v>
      </c>
      <c r="L55" s="76">
        <f t="shared" si="441"/>
        <v>0</v>
      </c>
      <c r="M55" s="495">
        <f t="shared" ref="M55" si="620">M56*4+M57+M58*3+M59*6+M60*2+M61*7+M62*2+M63*4+M64*8+M65*8+M66*3+M67*2+M68*7+M69*9</f>
        <v>0</v>
      </c>
      <c r="N55" s="117">
        <f t="shared" si="57"/>
        <v>0</v>
      </c>
      <c r="O55" s="495">
        <f t="shared" ref="O55" si="621">O56*4+O57+O58*3+O59*6+O60*2+O61*7+O62*2+O63*4+O64*8+O65*8+O66*3+O67*2+O68*7+O69*9</f>
        <v>0</v>
      </c>
      <c r="P55" s="76">
        <f t="shared" ref="P55" si="622">ROUND(O55/12*$A$7,0)</f>
        <v>0</v>
      </c>
      <c r="Q55" s="495">
        <f t="shared" ref="Q55" si="623">Q56*4+Q57+Q58*3+Q59*6+Q60*2+Q61*7+Q62*2+Q63*4+Q64*8+Q65*8+Q66*3+Q67*2+Q68*7+Q69*9</f>
        <v>0</v>
      </c>
      <c r="R55" s="117">
        <f t="shared" si="59"/>
        <v>0</v>
      </c>
      <c r="S55" s="495">
        <f t="shared" ref="S55" si="624">S56*4+S57+S58*3+S59*6+S60*2+S61*7+S62*2+S63*4+S64*8+S65*8+S66*3+S67*2+S68*7+S69*9</f>
        <v>0</v>
      </c>
      <c r="T55" s="76">
        <f t="shared" ref="T55" si="625">ROUND(S55/12*$A$7,0)</f>
        <v>0</v>
      </c>
      <c r="U55" s="495">
        <f t="shared" ref="U55" si="626">U56*4+U57+U58*3+U59*6+U60*2+U61*7+U62*2+U63*4+U64*8+U65*8+U66*3+U67*2+U68*7+U69*9</f>
        <v>0</v>
      </c>
      <c r="V55" s="117">
        <f t="shared" si="61"/>
        <v>0</v>
      </c>
      <c r="W55" s="495"/>
      <c r="X55" s="76">
        <f t="shared" ref="X55" si="627">ROUND(W55/12*$A$7,0)</f>
        <v>0</v>
      </c>
      <c r="Y55" s="495">
        <f t="shared" ref="Y55" si="628">Y56*4+Y57+Y58*3+Y59*6+Y60*2+Y61*7+Y62*2+Y63*4+Y64*8+Y65*8+Y66*3+Y67*2+Y68*7+Y69*9</f>
        <v>0</v>
      </c>
      <c r="Z55" s="117">
        <f t="shared" si="63"/>
        <v>0</v>
      </c>
      <c r="AA55" s="495">
        <f t="shared" ref="AA55" si="629">AA56*4+AA57+AA58*3+AA59*6+AA60*2+AA61*7+AA62*2+AA63*4+AA64*8+AA65*8+AA66*3+AA67*2+AA68*7+AA69*9</f>
        <v>0</v>
      </c>
      <c r="AB55" s="76">
        <f t="shared" ref="AB55" si="630">ROUND(AA55/12*$A$7,0)</f>
        <v>0</v>
      </c>
      <c r="AC55" s="495">
        <f t="shared" ref="AC55" si="631">AC56*4+AC57+AC58*3+AC59*6+AC60*2+AC61*7+AC62*2+AC63*4+AC64*8+AC65*8+AC66*3+AC67*2+AC68*7+AC69*9</f>
        <v>0</v>
      </c>
      <c r="AD55" s="77" t="e">
        <f t="shared" si="343"/>
        <v>#DIV/0!</v>
      </c>
      <c r="AE55" s="495">
        <f t="shared" ref="AE55" si="632">AE56*4+AE57+AE58*3+AE59*6+AE60*2+AE61*7+AE62*2+AE63*4+AE64*8+AE65*8+AE66*3+AE67*2+AE68*7+AE69*9</f>
        <v>0</v>
      </c>
      <c r="AF55" s="76">
        <f t="shared" ref="AF55" si="633">ROUND(AE55/12*$A$7,0)</f>
        <v>0</v>
      </c>
      <c r="AG55" s="495">
        <f t="shared" ref="AG55" si="634">AG56*4+AG57+AG58*3+AG59*6+AG60*2+AG61*7+AG62*2+AG63*4+AG64*8+AG65*8+AG66*3+AG67*2+AG68*7+AG69*9</f>
        <v>0</v>
      </c>
      <c r="AH55" s="117">
        <f t="shared" si="66"/>
        <v>0</v>
      </c>
      <c r="AI55" s="495">
        <f t="shared" ref="AI55" si="635">AI56*4+AI57+AI58*3+AI59*6+AI60*2+AI61*7+AI62*2+AI63*4+AI64*8+AI65*8+AI66*3+AI67*2+AI68*7+AI69*9</f>
        <v>0</v>
      </c>
      <c r="AJ55" s="76">
        <f t="shared" ref="AJ55" si="636">ROUND(AI55/12*$A$7,0)</f>
        <v>0</v>
      </c>
      <c r="AK55" s="495">
        <f t="shared" ref="AK55" si="637">AK56*4+AK57+AK58*3+AK59*6+AK60*2+AK61*7+AK62*2+AK63*4+AK64*8+AK65*8+AK66*3+AK67*2+AK68*7+AK69*9</f>
        <v>0</v>
      </c>
      <c r="AL55" s="117">
        <f t="shared" si="68"/>
        <v>0</v>
      </c>
      <c r="AM55" s="495">
        <f t="shared" ref="AM55" si="638">AM56*4+AM57+AM58*3+AM59*6+AM60*2+AM61*7+AM62*2+AM63*4+AM64*8+AM65*8+AM66*3+AM67*2+AM68*7+AM69*9</f>
        <v>0</v>
      </c>
      <c r="AN55" s="76">
        <f t="shared" ref="AN55" si="639">ROUND(AM55/12*$A$7,0)</f>
        <v>0</v>
      </c>
      <c r="AO55" s="495">
        <f t="shared" ref="AO55" si="640">AO56*4+AO57+AO58*3+AO59*6+AO60*2+AO61*7+AO62*2+AO63*4+AO64*8+AO65*8+AO66*3+AO67*2+AO68*7+AO69*9</f>
        <v>0</v>
      </c>
      <c r="AP55" s="117">
        <f t="shared" si="70"/>
        <v>0</v>
      </c>
      <c r="AQ55" s="495">
        <f t="shared" ref="AQ55" si="641">AQ56*4+AQ57+AQ58*3+AQ59*6+AQ60*2+AQ61*7+AQ62*2+AQ63*4+AQ64*8+AQ65*8+AQ66*3+AQ67*2+AQ68*7+AQ69*9</f>
        <v>0</v>
      </c>
      <c r="AR55" s="76">
        <f t="shared" ref="AR55" si="642">ROUND(AQ55/12*$A$7,0)</f>
        <v>0</v>
      </c>
      <c r="AS55" s="495">
        <f t="shared" ref="AS55" si="643">AS56*4+AS57+AS58*3+AS59*6+AS60*2+AS61*7+AS62*2+AS63*4+AS64*8+AS65*8+AS66*3+AS67*2+AS68*7+AS69*9</f>
        <v>0</v>
      </c>
      <c r="AT55" s="117">
        <f t="shared" si="72"/>
        <v>0</v>
      </c>
      <c r="AU55" s="495">
        <f t="shared" ref="AU55" si="644">AU56*4+AU57+AU58*3+AU59*6+AU60*2+AU61*7+AU62*2+AU63*4+AU64*8+AU65*8+AU66*3+AU67*2+AU68*7+AU69*9</f>
        <v>0</v>
      </c>
      <c r="AV55" s="76">
        <f t="shared" ref="AV55" si="645">ROUND(AU55/12*$A$7,0)</f>
        <v>0</v>
      </c>
      <c r="AW55" s="495">
        <f t="shared" ref="AW55" si="646">AW56*4+AW57+AW58*3+AW59*6+AW60*2+AW61*7+AW62*2+AW63*4+AW64*8+AW65*8+AW66*3+AW67*2+AW68*7+AW69*9</f>
        <v>0</v>
      </c>
      <c r="AX55" s="117">
        <f t="shared" si="74"/>
        <v>0</v>
      </c>
      <c r="AY55" s="495">
        <f t="shared" ref="AY55" si="647">AY56*4+AY57+AY58*3+AY59*6+AY60*2+AY61*7+AY62*2+AY63*4+AY64*8+AY65*8+AY66*3+AY67*2+AY68*7+AY69*9</f>
        <v>0</v>
      </c>
      <c r="AZ55" s="76">
        <f t="shared" ref="AZ55" si="648">ROUND(AY55/12*$A$7,0)</f>
        <v>0</v>
      </c>
      <c r="BA55" s="495">
        <f t="shared" ref="BA55" si="649">BA56*4+BA57+BA58*3+BA59*6+BA60*2+BA61*7+BA62*2+BA63*4+BA64*8+BA65*8+BA66*3+BA67*2+BA68*7+BA69*9</f>
        <v>0</v>
      </c>
      <c r="BB55" s="77" t="e">
        <f t="shared" si="350"/>
        <v>#DIV/0!</v>
      </c>
      <c r="BC55" s="495">
        <f t="shared" ref="BC55" si="650">BC56*4+BC57+BC58*3+BC59*6+BC60*2+BC61*7+BC62*2+BC63*4+BC64*8+BC65*8+BC66*3+BC67*2+BC68*7+BC69*9</f>
        <v>0</v>
      </c>
      <c r="BD55" s="76">
        <f t="shared" ref="BD55" si="651">ROUND(BC55/12*$A$7,0)</f>
        <v>0</v>
      </c>
      <c r="BE55" s="495">
        <f t="shared" ref="BE55" si="652">BE56*4+BE57+BE58*3+BE59*6+BE60*2+BE61*7+BE62*2+BE63*4+BE64*8+BE65*8+BE66*3+BE67*2+BE68*7+BE69*9</f>
        <v>0</v>
      </c>
      <c r="BF55" s="117">
        <f t="shared" si="77"/>
        <v>0</v>
      </c>
      <c r="BG55" s="495">
        <f t="shared" ref="BG55" si="653">BG56*4+BG57+BG58*3+BG59*6+BG60*2+BG61*7+BG62*2+BG63*4+BG64*8+BG65*8+BG66*3+BG67*2+BG68*7+BG69*9</f>
        <v>0</v>
      </c>
      <c r="BH55" s="76">
        <f t="shared" ref="BH55" si="654">ROUND(BG55/12*$A$7,0)</f>
        <v>0</v>
      </c>
      <c r="BI55" s="495">
        <f t="shared" ref="BI55" si="655">BI56*4+BI57+BI58*3+BI59*6+BI60*2+BI61*7+BI62*2+BI63*4+BI64*8+BI65*8+BI66*3+BI67*2+BI68*7+BI69*9</f>
        <v>0</v>
      </c>
      <c r="BJ55" s="77"/>
      <c r="BK55" s="495">
        <f t="shared" ref="BK55" si="656">BK56*4+BK57+BK58*3+BK59*6+BK60*2+BK61*7+BK62*2+BK63*4+BK64*8+BK65*8+BK66*3+BK67*2+BK68*7+BK69*9</f>
        <v>0</v>
      </c>
      <c r="BL55" s="76">
        <f t="shared" ref="BL55" si="657">ROUND(BK55/12*$A$7,0)</f>
        <v>0</v>
      </c>
      <c r="BM55" s="495">
        <f t="shared" ref="BM55" si="658">BM56*4+BM57+BM58*3+BM59*6+BM60*2+BM61*7+BM62*2+BM63*4+BM64*8+BM65*8+BM66*3+BM67*2+BM68*7+BM69*9</f>
        <v>0</v>
      </c>
      <c r="BN55" s="77" t="e">
        <f t="shared" si="354"/>
        <v>#DIV/0!</v>
      </c>
      <c r="BO55" s="495">
        <f t="shared" ref="BO55" si="659">BO56*4+BO57+BO58*3+BO59*6+BO60*2+BO61*7+BO62*2+BO63*4+BO64*8+BO65*8+BO66*3+BO67*2+BO68*7+BO69*9</f>
        <v>0</v>
      </c>
      <c r="BP55" s="76">
        <f t="shared" ref="BP55" si="660">ROUND(BO55/12*$A$7,0)</f>
        <v>0</v>
      </c>
      <c r="BQ55" s="495">
        <f t="shared" ref="BQ55" si="661">BQ56*4+BQ57+BQ58*3+BQ59*6+BQ60*2+BQ61*7+BQ62*2+BQ63*4+BQ64*8+BQ65*8+BQ66*3+BQ67*2+BQ68*7+BQ69*9</f>
        <v>0</v>
      </c>
      <c r="BR55" s="77" t="e">
        <f t="shared" si="356"/>
        <v>#DIV/0!</v>
      </c>
      <c r="BS55" s="245">
        <f t="shared" si="310"/>
        <v>0</v>
      </c>
      <c r="BT55" s="245">
        <f t="shared" si="267"/>
        <v>0</v>
      </c>
      <c r="BU55" s="245">
        <f t="shared" si="268"/>
        <v>0</v>
      </c>
      <c r="BV55" s="239">
        <f t="shared" si="81"/>
        <v>0</v>
      </c>
    </row>
    <row r="56" spans="1:74" x14ac:dyDescent="0.25">
      <c r="A56" s="31" t="s">
        <v>157</v>
      </c>
      <c r="B56" s="60" t="s">
        <v>339</v>
      </c>
      <c r="C56" s="288"/>
      <c r="D56" s="78">
        <f t="shared" si="54"/>
        <v>0</v>
      </c>
      <c r="E56" s="288"/>
      <c r="F56" s="99">
        <f t="shared" si="55"/>
        <v>0</v>
      </c>
      <c r="G56" s="288"/>
      <c r="H56" s="78">
        <f t="shared" si="441"/>
        <v>0</v>
      </c>
      <c r="I56" s="288"/>
      <c r="J56" s="99">
        <f t="shared" si="56"/>
        <v>0</v>
      </c>
      <c r="K56" s="288"/>
      <c r="L56" s="78">
        <f t="shared" si="441"/>
        <v>0</v>
      </c>
      <c r="M56" s="288"/>
      <c r="N56" s="99">
        <f t="shared" si="57"/>
        <v>0</v>
      </c>
      <c r="O56" s="288"/>
      <c r="P56" s="78">
        <f t="shared" ref="P56" si="662">ROUND(O56/12*$A$7,0)</f>
        <v>0</v>
      </c>
      <c r="Q56" s="288"/>
      <c r="R56" s="99">
        <f t="shared" si="59"/>
        <v>0</v>
      </c>
      <c r="S56" s="288"/>
      <c r="T56" s="78">
        <f t="shared" ref="T56" si="663">ROUND(S56/12*$A$7,0)</f>
        <v>0</v>
      </c>
      <c r="U56" s="288"/>
      <c r="V56" s="99">
        <f t="shared" si="61"/>
        <v>0</v>
      </c>
      <c r="W56" s="288"/>
      <c r="X56" s="78">
        <f t="shared" ref="X56" si="664">ROUND(W56/12*$A$7,0)</f>
        <v>0</v>
      </c>
      <c r="Y56" s="288"/>
      <c r="Z56" s="99">
        <f t="shared" si="63"/>
        <v>0</v>
      </c>
      <c r="AA56" s="288"/>
      <c r="AB56" s="78">
        <f t="shared" ref="AB56" si="665">ROUND(AA56/12*$A$7,0)</f>
        <v>0</v>
      </c>
      <c r="AC56" s="288"/>
      <c r="AD56" s="79" t="e">
        <f t="shared" si="343"/>
        <v>#DIV/0!</v>
      </c>
      <c r="AE56" s="288"/>
      <c r="AF56" s="78">
        <f t="shared" ref="AF56" si="666">ROUND(AE56/12*$A$7,0)</f>
        <v>0</v>
      </c>
      <c r="AG56" s="288"/>
      <c r="AH56" s="99">
        <f t="shared" si="66"/>
        <v>0</v>
      </c>
      <c r="AI56" s="288"/>
      <c r="AJ56" s="78">
        <f t="shared" ref="AJ56" si="667">ROUND(AI56/12*$A$7,0)</f>
        <v>0</v>
      </c>
      <c r="AK56" s="288"/>
      <c r="AL56" s="99">
        <f t="shared" si="68"/>
        <v>0</v>
      </c>
      <c r="AM56" s="288"/>
      <c r="AN56" s="78">
        <f t="shared" ref="AN56" si="668">ROUND(AM56/12*$A$7,0)</f>
        <v>0</v>
      </c>
      <c r="AO56" s="288"/>
      <c r="AP56" s="99">
        <f t="shared" si="70"/>
        <v>0</v>
      </c>
      <c r="AQ56" s="288"/>
      <c r="AR56" s="78">
        <f t="shared" ref="AR56" si="669">ROUND(AQ56/12*$A$7,0)</f>
        <v>0</v>
      </c>
      <c r="AS56" s="288"/>
      <c r="AT56" s="99">
        <f t="shared" si="72"/>
        <v>0</v>
      </c>
      <c r="AU56" s="288"/>
      <c r="AV56" s="78">
        <f t="shared" ref="AV56" si="670">ROUND(AU56/12*$A$7,0)</f>
        <v>0</v>
      </c>
      <c r="AW56" s="288"/>
      <c r="AX56" s="99">
        <f t="shared" si="74"/>
        <v>0</v>
      </c>
      <c r="AY56" s="288"/>
      <c r="AZ56" s="78">
        <f t="shared" ref="AZ56" si="671">ROUND(AY56/12*$A$7,0)</f>
        <v>0</v>
      </c>
      <c r="BA56" s="288"/>
      <c r="BB56" s="79" t="e">
        <f t="shared" si="350"/>
        <v>#DIV/0!</v>
      </c>
      <c r="BC56" s="288"/>
      <c r="BD56" s="78">
        <f t="shared" ref="BD56" si="672">ROUND(BC56/12*$A$7,0)</f>
        <v>0</v>
      </c>
      <c r="BE56" s="288"/>
      <c r="BF56" s="99">
        <f t="shared" si="77"/>
        <v>0</v>
      </c>
      <c r="BG56" s="288"/>
      <c r="BH56" s="78">
        <f t="shared" ref="BH56" si="673">ROUND(BG56/12*$A$7,0)</f>
        <v>0</v>
      </c>
      <c r="BI56" s="288"/>
      <c r="BJ56" s="79"/>
      <c r="BK56" s="288"/>
      <c r="BL56" s="78">
        <f t="shared" ref="BL56" si="674">ROUND(BK56/12*$A$7,0)</f>
        <v>0</v>
      </c>
      <c r="BM56" s="288"/>
      <c r="BN56" s="79" t="e">
        <f t="shared" si="354"/>
        <v>#DIV/0!</v>
      </c>
      <c r="BO56" s="288"/>
      <c r="BP56" s="78">
        <f t="shared" ref="BP56" si="675">ROUND(BO56/12*$A$7,0)</f>
        <v>0</v>
      </c>
      <c r="BQ56" s="288"/>
      <c r="BR56" s="79" t="e">
        <f t="shared" si="356"/>
        <v>#DIV/0!</v>
      </c>
      <c r="BS56" s="245">
        <f t="shared" si="310"/>
        <v>0</v>
      </c>
      <c r="BT56" s="245">
        <f t="shared" si="267"/>
        <v>0</v>
      </c>
      <c r="BU56" s="245">
        <f t="shared" si="268"/>
        <v>0</v>
      </c>
      <c r="BV56" s="239">
        <f t="shared" si="81"/>
        <v>0</v>
      </c>
    </row>
    <row r="57" spans="1:74" ht="47.25" x14ac:dyDescent="0.25">
      <c r="A57" s="31" t="s">
        <v>158</v>
      </c>
      <c r="B57" s="60" t="s">
        <v>339</v>
      </c>
      <c r="C57" s="288"/>
      <c r="D57" s="78">
        <f t="shared" si="54"/>
        <v>0</v>
      </c>
      <c r="E57" s="288"/>
      <c r="F57" s="99">
        <f t="shared" si="55"/>
        <v>0</v>
      </c>
      <c r="G57" s="288"/>
      <c r="H57" s="78">
        <f t="shared" si="441"/>
        <v>0</v>
      </c>
      <c r="I57" s="288"/>
      <c r="J57" s="99">
        <f t="shared" si="56"/>
        <v>0</v>
      </c>
      <c r="K57" s="288"/>
      <c r="L57" s="78">
        <f t="shared" si="441"/>
        <v>0</v>
      </c>
      <c r="M57" s="288"/>
      <c r="N57" s="99">
        <f t="shared" si="57"/>
        <v>0</v>
      </c>
      <c r="O57" s="288"/>
      <c r="P57" s="78">
        <f t="shared" ref="P57" si="676">ROUND(O57/12*$A$7,0)</f>
        <v>0</v>
      </c>
      <c r="Q57" s="288"/>
      <c r="R57" s="99">
        <f t="shared" si="59"/>
        <v>0</v>
      </c>
      <c r="S57" s="288"/>
      <c r="T57" s="78">
        <f t="shared" ref="T57" si="677">ROUND(S57/12*$A$7,0)</f>
        <v>0</v>
      </c>
      <c r="U57" s="288"/>
      <c r="V57" s="99">
        <f t="shared" si="61"/>
        <v>0</v>
      </c>
      <c r="W57" s="288"/>
      <c r="X57" s="78">
        <f t="shared" ref="X57" si="678">ROUND(W57/12*$A$7,0)</f>
        <v>0</v>
      </c>
      <c r="Y57" s="288"/>
      <c r="Z57" s="99">
        <f t="shared" si="63"/>
        <v>0</v>
      </c>
      <c r="AA57" s="288"/>
      <c r="AB57" s="78">
        <f t="shared" ref="AB57" si="679">ROUND(AA57/12*$A$7,0)</f>
        <v>0</v>
      </c>
      <c r="AC57" s="288"/>
      <c r="AD57" s="79" t="e">
        <f t="shared" si="343"/>
        <v>#DIV/0!</v>
      </c>
      <c r="AE57" s="288"/>
      <c r="AF57" s="78">
        <f t="shared" ref="AF57" si="680">ROUND(AE57/12*$A$7,0)</f>
        <v>0</v>
      </c>
      <c r="AG57" s="288"/>
      <c r="AH57" s="99">
        <f t="shared" si="66"/>
        <v>0</v>
      </c>
      <c r="AI57" s="288"/>
      <c r="AJ57" s="78">
        <f t="shared" ref="AJ57" si="681">ROUND(AI57/12*$A$7,0)</f>
        <v>0</v>
      </c>
      <c r="AK57" s="288"/>
      <c r="AL57" s="99">
        <f t="shared" si="68"/>
        <v>0</v>
      </c>
      <c r="AM57" s="288"/>
      <c r="AN57" s="78">
        <f t="shared" ref="AN57" si="682">ROUND(AM57/12*$A$7,0)</f>
        <v>0</v>
      </c>
      <c r="AO57" s="288"/>
      <c r="AP57" s="99">
        <f t="shared" si="70"/>
        <v>0</v>
      </c>
      <c r="AQ57" s="288"/>
      <c r="AR57" s="78">
        <f t="shared" ref="AR57" si="683">ROUND(AQ57/12*$A$7,0)</f>
        <v>0</v>
      </c>
      <c r="AS57" s="288"/>
      <c r="AT57" s="99">
        <f t="shared" si="72"/>
        <v>0</v>
      </c>
      <c r="AU57" s="288"/>
      <c r="AV57" s="78">
        <f t="shared" ref="AV57" si="684">ROUND(AU57/12*$A$7,0)</f>
        <v>0</v>
      </c>
      <c r="AW57" s="288"/>
      <c r="AX57" s="99">
        <f t="shared" si="74"/>
        <v>0</v>
      </c>
      <c r="AY57" s="288"/>
      <c r="AZ57" s="78">
        <f t="shared" ref="AZ57" si="685">ROUND(AY57/12*$A$7,0)</f>
        <v>0</v>
      </c>
      <c r="BA57" s="288"/>
      <c r="BB57" s="79" t="e">
        <f t="shared" si="350"/>
        <v>#DIV/0!</v>
      </c>
      <c r="BC57" s="288"/>
      <c r="BD57" s="78">
        <f t="shared" ref="BD57" si="686">ROUND(BC57/12*$A$7,0)</f>
        <v>0</v>
      </c>
      <c r="BE57" s="288"/>
      <c r="BF57" s="99">
        <f t="shared" si="77"/>
        <v>0</v>
      </c>
      <c r="BG57" s="288"/>
      <c r="BH57" s="78">
        <f t="shared" ref="BH57" si="687">ROUND(BG57/12*$A$7,0)</f>
        <v>0</v>
      </c>
      <c r="BI57" s="288"/>
      <c r="BJ57" s="79"/>
      <c r="BK57" s="288"/>
      <c r="BL57" s="78">
        <f t="shared" ref="BL57" si="688">ROUND(BK57/12*$A$7,0)</f>
        <v>0</v>
      </c>
      <c r="BM57" s="288"/>
      <c r="BN57" s="79" t="e">
        <f t="shared" si="354"/>
        <v>#DIV/0!</v>
      </c>
      <c r="BO57" s="288"/>
      <c r="BP57" s="78">
        <f t="shared" ref="BP57" si="689">ROUND(BO57/12*$A$7,0)</f>
        <v>0</v>
      </c>
      <c r="BQ57" s="288"/>
      <c r="BR57" s="79" t="e">
        <f t="shared" si="356"/>
        <v>#DIV/0!</v>
      </c>
      <c r="BS57" s="245">
        <f t="shared" si="310"/>
        <v>0</v>
      </c>
      <c r="BT57" s="245">
        <f t="shared" si="267"/>
        <v>0</v>
      </c>
      <c r="BU57" s="245">
        <f t="shared" si="268"/>
        <v>0</v>
      </c>
      <c r="BV57" s="239">
        <f t="shared" si="81"/>
        <v>0</v>
      </c>
    </row>
    <row r="58" spans="1:74" ht="31.5" x14ac:dyDescent="0.25">
      <c r="A58" s="31" t="s">
        <v>193</v>
      </c>
      <c r="B58" s="60" t="s">
        <v>339</v>
      </c>
      <c r="C58" s="288"/>
      <c r="D58" s="78">
        <f t="shared" si="54"/>
        <v>0</v>
      </c>
      <c r="E58" s="288"/>
      <c r="F58" s="99">
        <f t="shared" si="55"/>
        <v>0</v>
      </c>
      <c r="G58" s="288"/>
      <c r="H58" s="78">
        <f t="shared" si="441"/>
        <v>0</v>
      </c>
      <c r="I58" s="288"/>
      <c r="J58" s="99">
        <f t="shared" si="56"/>
        <v>0</v>
      </c>
      <c r="K58" s="288"/>
      <c r="L58" s="78">
        <f t="shared" si="441"/>
        <v>0</v>
      </c>
      <c r="M58" s="288"/>
      <c r="N58" s="99">
        <f t="shared" si="57"/>
        <v>0</v>
      </c>
      <c r="O58" s="288"/>
      <c r="P58" s="78">
        <f t="shared" ref="P58" si="690">ROUND(O58/12*$A$7,0)</f>
        <v>0</v>
      </c>
      <c r="Q58" s="288"/>
      <c r="R58" s="99">
        <f t="shared" si="59"/>
        <v>0</v>
      </c>
      <c r="S58" s="288"/>
      <c r="T58" s="78">
        <f t="shared" ref="T58" si="691">ROUND(S58/12*$A$7,0)</f>
        <v>0</v>
      </c>
      <c r="U58" s="288"/>
      <c r="V58" s="99">
        <f t="shared" si="61"/>
        <v>0</v>
      </c>
      <c r="W58" s="288"/>
      <c r="X58" s="78">
        <f t="shared" ref="X58" si="692">ROUND(W58/12*$A$7,0)</f>
        <v>0</v>
      </c>
      <c r="Y58" s="288"/>
      <c r="Z58" s="99">
        <f t="shared" si="63"/>
        <v>0</v>
      </c>
      <c r="AA58" s="288"/>
      <c r="AB58" s="78">
        <f t="shared" ref="AB58" si="693">ROUND(AA58/12*$A$7,0)</f>
        <v>0</v>
      </c>
      <c r="AC58" s="288"/>
      <c r="AD58" s="79" t="e">
        <f t="shared" si="343"/>
        <v>#DIV/0!</v>
      </c>
      <c r="AE58" s="288"/>
      <c r="AF58" s="78">
        <f t="shared" ref="AF58" si="694">ROUND(AE58/12*$A$7,0)</f>
        <v>0</v>
      </c>
      <c r="AG58" s="288"/>
      <c r="AH58" s="99">
        <f t="shared" si="66"/>
        <v>0</v>
      </c>
      <c r="AI58" s="288"/>
      <c r="AJ58" s="78">
        <f t="shared" ref="AJ58" si="695">ROUND(AI58/12*$A$7,0)</f>
        <v>0</v>
      </c>
      <c r="AK58" s="288"/>
      <c r="AL58" s="99">
        <f t="shared" si="68"/>
        <v>0</v>
      </c>
      <c r="AM58" s="288"/>
      <c r="AN58" s="78">
        <f t="shared" ref="AN58" si="696">ROUND(AM58/12*$A$7,0)</f>
        <v>0</v>
      </c>
      <c r="AO58" s="288"/>
      <c r="AP58" s="99">
        <f t="shared" si="70"/>
        <v>0</v>
      </c>
      <c r="AQ58" s="288"/>
      <c r="AR58" s="78">
        <f t="shared" ref="AR58" si="697">ROUND(AQ58/12*$A$7,0)</f>
        <v>0</v>
      </c>
      <c r="AS58" s="288"/>
      <c r="AT58" s="99">
        <f t="shared" si="72"/>
        <v>0</v>
      </c>
      <c r="AU58" s="288"/>
      <c r="AV58" s="78">
        <f t="shared" ref="AV58" si="698">ROUND(AU58/12*$A$7,0)</f>
        <v>0</v>
      </c>
      <c r="AW58" s="288"/>
      <c r="AX58" s="99">
        <f t="shared" si="74"/>
        <v>0</v>
      </c>
      <c r="AY58" s="288"/>
      <c r="AZ58" s="78">
        <f t="shared" ref="AZ58" si="699">ROUND(AY58/12*$A$7,0)</f>
        <v>0</v>
      </c>
      <c r="BA58" s="288"/>
      <c r="BB58" s="79" t="e">
        <f t="shared" si="350"/>
        <v>#DIV/0!</v>
      </c>
      <c r="BC58" s="288"/>
      <c r="BD58" s="78">
        <f t="shared" ref="BD58" si="700">ROUND(BC58/12*$A$7,0)</f>
        <v>0</v>
      </c>
      <c r="BE58" s="288"/>
      <c r="BF58" s="99">
        <f t="shared" si="77"/>
        <v>0</v>
      </c>
      <c r="BG58" s="288"/>
      <c r="BH58" s="78">
        <f t="shared" ref="BH58" si="701">ROUND(BG58/12*$A$7,0)</f>
        <v>0</v>
      </c>
      <c r="BI58" s="288"/>
      <c r="BJ58" s="79"/>
      <c r="BK58" s="288"/>
      <c r="BL58" s="78">
        <f t="shared" ref="BL58" si="702">ROUND(BK58/12*$A$7,0)</f>
        <v>0</v>
      </c>
      <c r="BM58" s="288"/>
      <c r="BN58" s="79" t="e">
        <f t="shared" si="354"/>
        <v>#DIV/0!</v>
      </c>
      <c r="BO58" s="288"/>
      <c r="BP58" s="78">
        <f t="shared" ref="BP58" si="703">ROUND(BO58/12*$A$7,0)</f>
        <v>0</v>
      </c>
      <c r="BQ58" s="288"/>
      <c r="BR58" s="79" t="e">
        <f t="shared" si="356"/>
        <v>#DIV/0!</v>
      </c>
      <c r="BS58" s="245">
        <f t="shared" si="310"/>
        <v>0</v>
      </c>
      <c r="BT58" s="245">
        <f t="shared" ref="BT58:BT81" si="704">SUM(BH58,BD58,AZ58,AV58,AR58,AN58,AJ58,AF58,AB58,X58,T58,P58,L58,H58,D58)+BL58+BP58</f>
        <v>0</v>
      </c>
      <c r="BU58" s="245">
        <f t="shared" ref="BU58:BU81" si="705">SUM(BI58,BE58,BA58,AW58,AS58,AO58,AK58,AG58,AC58,Y58,U58,Q58,M58,I58,E58)+BM58+BQ58</f>
        <v>0</v>
      </c>
      <c r="BV58" s="239">
        <f t="shared" si="81"/>
        <v>0</v>
      </c>
    </row>
    <row r="59" spans="1:74" x14ac:dyDescent="0.25">
      <c r="A59" s="31" t="s">
        <v>159</v>
      </c>
      <c r="B59" s="60" t="s">
        <v>339</v>
      </c>
      <c r="C59" s="288"/>
      <c r="D59" s="78">
        <f t="shared" si="54"/>
        <v>0</v>
      </c>
      <c r="E59" s="288"/>
      <c r="F59" s="99">
        <f t="shared" si="55"/>
        <v>0</v>
      </c>
      <c r="G59" s="288"/>
      <c r="H59" s="78">
        <f t="shared" si="441"/>
        <v>0</v>
      </c>
      <c r="I59" s="288"/>
      <c r="J59" s="99">
        <f t="shared" si="56"/>
        <v>0</v>
      </c>
      <c r="K59" s="288"/>
      <c r="L59" s="78">
        <f t="shared" si="441"/>
        <v>0</v>
      </c>
      <c r="M59" s="288"/>
      <c r="N59" s="99">
        <f t="shared" si="57"/>
        <v>0</v>
      </c>
      <c r="O59" s="288"/>
      <c r="P59" s="78">
        <f t="shared" ref="P59" si="706">ROUND(O59/12*$A$7,0)</f>
        <v>0</v>
      </c>
      <c r="Q59" s="288"/>
      <c r="R59" s="99">
        <f t="shared" si="59"/>
        <v>0</v>
      </c>
      <c r="S59" s="288"/>
      <c r="T59" s="78">
        <f t="shared" ref="T59" si="707">ROUND(S59/12*$A$7,0)</f>
        <v>0</v>
      </c>
      <c r="U59" s="288"/>
      <c r="V59" s="99">
        <f t="shared" si="61"/>
        <v>0</v>
      </c>
      <c r="W59" s="288"/>
      <c r="X59" s="78">
        <f t="shared" ref="X59" si="708">ROUND(W59/12*$A$7,0)</f>
        <v>0</v>
      </c>
      <c r="Y59" s="288"/>
      <c r="Z59" s="99">
        <f t="shared" si="63"/>
        <v>0</v>
      </c>
      <c r="AA59" s="288"/>
      <c r="AB59" s="78">
        <f t="shared" ref="AB59" si="709">ROUND(AA59/12*$A$7,0)</f>
        <v>0</v>
      </c>
      <c r="AC59" s="288"/>
      <c r="AD59" s="79" t="e">
        <f t="shared" si="343"/>
        <v>#DIV/0!</v>
      </c>
      <c r="AE59" s="288"/>
      <c r="AF59" s="78">
        <f t="shared" ref="AF59" si="710">ROUND(AE59/12*$A$7,0)</f>
        <v>0</v>
      </c>
      <c r="AG59" s="288"/>
      <c r="AH59" s="99">
        <f t="shared" si="66"/>
        <v>0</v>
      </c>
      <c r="AI59" s="288"/>
      <c r="AJ59" s="78">
        <f t="shared" ref="AJ59" si="711">ROUND(AI59/12*$A$7,0)</f>
        <v>0</v>
      </c>
      <c r="AK59" s="288"/>
      <c r="AL59" s="99">
        <f t="shared" si="68"/>
        <v>0</v>
      </c>
      <c r="AM59" s="288"/>
      <c r="AN59" s="78">
        <f t="shared" ref="AN59" si="712">ROUND(AM59/12*$A$7,0)</f>
        <v>0</v>
      </c>
      <c r="AO59" s="288"/>
      <c r="AP59" s="99">
        <f t="shared" si="70"/>
        <v>0</v>
      </c>
      <c r="AQ59" s="288"/>
      <c r="AR59" s="78">
        <f t="shared" ref="AR59" si="713">ROUND(AQ59/12*$A$7,0)</f>
        <v>0</v>
      </c>
      <c r="AS59" s="288"/>
      <c r="AT59" s="99">
        <f t="shared" si="72"/>
        <v>0</v>
      </c>
      <c r="AU59" s="288"/>
      <c r="AV59" s="78">
        <f t="shared" ref="AV59" si="714">ROUND(AU59/12*$A$7,0)</f>
        <v>0</v>
      </c>
      <c r="AW59" s="288"/>
      <c r="AX59" s="99">
        <f t="shared" si="74"/>
        <v>0</v>
      </c>
      <c r="AY59" s="288"/>
      <c r="AZ59" s="78">
        <f t="shared" ref="AZ59" si="715">ROUND(AY59/12*$A$7,0)</f>
        <v>0</v>
      </c>
      <c r="BA59" s="288"/>
      <c r="BB59" s="79" t="e">
        <f t="shared" si="350"/>
        <v>#DIV/0!</v>
      </c>
      <c r="BC59" s="288"/>
      <c r="BD59" s="78">
        <f t="shared" ref="BD59" si="716">ROUND(BC59/12*$A$7,0)</f>
        <v>0</v>
      </c>
      <c r="BE59" s="288"/>
      <c r="BF59" s="99">
        <f t="shared" si="77"/>
        <v>0</v>
      </c>
      <c r="BG59" s="288"/>
      <c r="BH59" s="78">
        <f t="shared" ref="BH59" si="717">ROUND(BG59/12*$A$7,0)</f>
        <v>0</v>
      </c>
      <c r="BI59" s="288"/>
      <c r="BJ59" s="79"/>
      <c r="BK59" s="288"/>
      <c r="BL59" s="78">
        <f t="shared" ref="BL59" si="718">ROUND(BK59/12*$A$7,0)</f>
        <v>0</v>
      </c>
      <c r="BM59" s="288"/>
      <c r="BN59" s="79" t="e">
        <f t="shared" si="354"/>
        <v>#DIV/0!</v>
      </c>
      <c r="BO59" s="288"/>
      <c r="BP59" s="78">
        <f t="shared" ref="BP59" si="719">ROUND(BO59/12*$A$7,0)</f>
        <v>0</v>
      </c>
      <c r="BQ59" s="288"/>
      <c r="BR59" s="79" t="e">
        <f t="shared" si="356"/>
        <v>#DIV/0!</v>
      </c>
      <c r="BS59" s="245">
        <f t="shared" ref="BS59:BS81" si="720">SUM(BG59,BC59,AY59,AU59,AQ59,AM59,AI59,AE59,AA59,W59,S59,O59,K59,G59,C59)+BK59+BO59</f>
        <v>0</v>
      </c>
      <c r="BT59" s="245">
        <f t="shared" si="704"/>
        <v>0</v>
      </c>
      <c r="BU59" s="245">
        <f t="shared" si="705"/>
        <v>0</v>
      </c>
      <c r="BV59" s="239">
        <f t="shared" si="81"/>
        <v>0</v>
      </c>
    </row>
    <row r="60" spans="1:74" x14ac:dyDescent="0.25">
      <c r="A60" s="31" t="s">
        <v>160</v>
      </c>
      <c r="B60" s="60" t="s">
        <v>339</v>
      </c>
      <c r="C60" s="288"/>
      <c r="D60" s="78">
        <f t="shared" si="54"/>
        <v>0</v>
      </c>
      <c r="E60" s="288"/>
      <c r="F60" s="99">
        <f t="shared" si="55"/>
        <v>0</v>
      </c>
      <c r="G60" s="288"/>
      <c r="H60" s="78">
        <f t="shared" si="441"/>
        <v>0</v>
      </c>
      <c r="I60" s="288"/>
      <c r="J60" s="99">
        <f t="shared" si="56"/>
        <v>0</v>
      </c>
      <c r="K60" s="288"/>
      <c r="L60" s="78">
        <f t="shared" si="441"/>
        <v>0</v>
      </c>
      <c r="M60" s="288"/>
      <c r="N60" s="99">
        <f t="shared" si="57"/>
        <v>0</v>
      </c>
      <c r="O60" s="288"/>
      <c r="P60" s="78">
        <f t="shared" ref="P60" si="721">ROUND(O60/12*$A$7,0)</f>
        <v>0</v>
      </c>
      <c r="Q60" s="288"/>
      <c r="R60" s="99">
        <f t="shared" si="59"/>
        <v>0</v>
      </c>
      <c r="S60" s="288"/>
      <c r="T60" s="78">
        <f t="shared" ref="T60" si="722">ROUND(S60/12*$A$7,0)</f>
        <v>0</v>
      </c>
      <c r="U60" s="288"/>
      <c r="V60" s="99">
        <f t="shared" si="61"/>
        <v>0</v>
      </c>
      <c r="W60" s="288"/>
      <c r="X60" s="78">
        <f t="shared" ref="X60" si="723">ROUND(W60/12*$A$7,0)</f>
        <v>0</v>
      </c>
      <c r="Y60" s="288"/>
      <c r="Z60" s="99">
        <f t="shared" si="63"/>
        <v>0</v>
      </c>
      <c r="AA60" s="288"/>
      <c r="AB60" s="78">
        <f t="shared" ref="AB60" si="724">ROUND(AA60/12*$A$7,0)</f>
        <v>0</v>
      </c>
      <c r="AC60" s="288"/>
      <c r="AD60" s="79" t="e">
        <f t="shared" si="343"/>
        <v>#DIV/0!</v>
      </c>
      <c r="AE60" s="288"/>
      <c r="AF60" s="78">
        <f t="shared" ref="AF60" si="725">ROUND(AE60/12*$A$7,0)</f>
        <v>0</v>
      </c>
      <c r="AG60" s="288"/>
      <c r="AH60" s="99">
        <f t="shared" si="66"/>
        <v>0</v>
      </c>
      <c r="AI60" s="288"/>
      <c r="AJ60" s="78">
        <f t="shared" ref="AJ60" si="726">ROUND(AI60/12*$A$7,0)</f>
        <v>0</v>
      </c>
      <c r="AK60" s="288"/>
      <c r="AL60" s="99">
        <f t="shared" si="68"/>
        <v>0</v>
      </c>
      <c r="AM60" s="288"/>
      <c r="AN60" s="78">
        <f t="shared" ref="AN60" si="727">ROUND(AM60/12*$A$7,0)</f>
        <v>0</v>
      </c>
      <c r="AO60" s="288"/>
      <c r="AP60" s="99">
        <f t="shared" si="70"/>
        <v>0</v>
      </c>
      <c r="AQ60" s="288"/>
      <c r="AR60" s="78">
        <f t="shared" ref="AR60" si="728">ROUND(AQ60/12*$A$7,0)</f>
        <v>0</v>
      </c>
      <c r="AS60" s="288"/>
      <c r="AT60" s="99">
        <f t="shared" si="72"/>
        <v>0</v>
      </c>
      <c r="AU60" s="288"/>
      <c r="AV60" s="78">
        <f t="shared" ref="AV60" si="729">ROUND(AU60/12*$A$7,0)</f>
        <v>0</v>
      </c>
      <c r="AW60" s="288"/>
      <c r="AX60" s="99">
        <f t="shared" si="74"/>
        <v>0</v>
      </c>
      <c r="AY60" s="288"/>
      <c r="AZ60" s="78">
        <f t="shared" ref="AZ60" si="730">ROUND(AY60/12*$A$7,0)</f>
        <v>0</v>
      </c>
      <c r="BA60" s="288"/>
      <c r="BB60" s="79" t="e">
        <f t="shared" si="350"/>
        <v>#DIV/0!</v>
      </c>
      <c r="BC60" s="288"/>
      <c r="BD60" s="78">
        <f t="shared" ref="BD60" si="731">ROUND(BC60/12*$A$7,0)</f>
        <v>0</v>
      </c>
      <c r="BE60" s="288"/>
      <c r="BF60" s="99">
        <f t="shared" si="77"/>
        <v>0</v>
      </c>
      <c r="BG60" s="288"/>
      <c r="BH60" s="78">
        <f t="shared" ref="BH60" si="732">ROUND(BG60/12*$A$7,0)</f>
        <v>0</v>
      </c>
      <c r="BI60" s="288"/>
      <c r="BJ60" s="79"/>
      <c r="BK60" s="288"/>
      <c r="BL60" s="78">
        <f t="shared" ref="BL60" si="733">ROUND(BK60/12*$A$7,0)</f>
        <v>0</v>
      </c>
      <c r="BM60" s="288"/>
      <c r="BN60" s="79" t="e">
        <f t="shared" si="354"/>
        <v>#DIV/0!</v>
      </c>
      <c r="BO60" s="288"/>
      <c r="BP60" s="78">
        <f t="shared" ref="BP60" si="734">ROUND(BO60/12*$A$7,0)</f>
        <v>0</v>
      </c>
      <c r="BQ60" s="288"/>
      <c r="BR60" s="79" t="e">
        <f t="shared" si="356"/>
        <v>#DIV/0!</v>
      </c>
      <c r="BS60" s="245">
        <f t="shared" si="720"/>
        <v>0</v>
      </c>
      <c r="BT60" s="245">
        <f t="shared" si="704"/>
        <v>0</v>
      </c>
      <c r="BU60" s="245">
        <f t="shared" si="705"/>
        <v>0</v>
      </c>
      <c r="BV60" s="239">
        <f t="shared" si="81"/>
        <v>0</v>
      </c>
    </row>
    <row r="61" spans="1:74" x14ac:dyDescent="0.25">
      <c r="A61" s="31" t="s">
        <v>161</v>
      </c>
      <c r="B61" s="60" t="s">
        <v>339</v>
      </c>
      <c r="C61" s="288"/>
      <c r="D61" s="78">
        <f t="shared" si="54"/>
        <v>0</v>
      </c>
      <c r="E61" s="288"/>
      <c r="F61" s="99">
        <f t="shared" si="55"/>
        <v>0</v>
      </c>
      <c r="G61" s="288"/>
      <c r="H61" s="78">
        <f t="shared" si="441"/>
        <v>0</v>
      </c>
      <c r="I61" s="288"/>
      <c r="J61" s="99">
        <f t="shared" si="56"/>
        <v>0</v>
      </c>
      <c r="K61" s="288"/>
      <c r="L61" s="78">
        <f t="shared" si="441"/>
        <v>0</v>
      </c>
      <c r="M61" s="288"/>
      <c r="N61" s="99">
        <f t="shared" si="57"/>
        <v>0</v>
      </c>
      <c r="O61" s="288"/>
      <c r="P61" s="78">
        <f t="shared" ref="P61:BP76" si="735">ROUND(O61/12*$A$7,0)</f>
        <v>0</v>
      </c>
      <c r="Q61" s="288"/>
      <c r="R61" s="99">
        <f t="shared" si="59"/>
        <v>0</v>
      </c>
      <c r="S61" s="288"/>
      <c r="T61" s="78">
        <f t="shared" ref="T61" si="736">ROUND(S61/12*$A$7,0)</f>
        <v>0</v>
      </c>
      <c r="U61" s="288"/>
      <c r="V61" s="99">
        <f t="shared" si="61"/>
        <v>0</v>
      </c>
      <c r="W61" s="288"/>
      <c r="X61" s="78">
        <f t="shared" ref="X61" si="737">ROUND(W61/12*$A$7,0)</f>
        <v>0</v>
      </c>
      <c r="Y61" s="288"/>
      <c r="Z61" s="99">
        <f t="shared" si="63"/>
        <v>0</v>
      </c>
      <c r="AA61" s="288"/>
      <c r="AB61" s="78">
        <f t="shared" ref="AB61" si="738">ROUND(AA61/12*$A$7,0)</f>
        <v>0</v>
      </c>
      <c r="AC61" s="288"/>
      <c r="AD61" s="79" t="e">
        <f t="shared" si="343"/>
        <v>#DIV/0!</v>
      </c>
      <c r="AE61" s="288"/>
      <c r="AF61" s="78">
        <f t="shared" ref="AF61" si="739">ROUND(AE61/12*$A$7,0)</f>
        <v>0</v>
      </c>
      <c r="AG61" s="288"/>
      <c r="AH61" s="99">
        <f t="shared" si="66"/>
        <v>0</v>
      </c>
      <c r="AI61" s="288"/>
      <c r="AJ61" s="78">
        <f t="shared" ref="AJ61" si="740">ROUND(AI61/12*$A$7,0)</f>
        <v>0</v>
      </c>
      <c r="AK61" s="288"/>
      <c r="AL61" s="99">
        <f t="shared" si="68"/>
        <v>0</v>
      </c>
      <c r="AM61" s="288"/>
      <c r="AN61" s="78">
        <f t="shared" ref="AN61" si="741">ROUND(AM61/12*$A$7,0)</f>
        <v>0</v>
      </c>
      <c r="AO61" s="288"/>
      <c r="AP61" s="99">
        <f t="shared" si="70"/>
        <v>0</v>
      </c>
      <c r="AQ61" s="288"/>
      <c r="AR61" s="78">
        <f t="shared" ref="AR61" si="742">ROUND(AQ61/12*$A$7,0)</f>
        <v>0</v>
      </c>
      <c r="AS61" s="288"/>
      <c r="AT61" s="99">
        <f t="shared" si="72"/>
        <v>0</v>
      </c>
      <c r="AU61" s="288"/>
      <c r="AV61" s="78">
        <f t="shared" ref="AV61" si="743">ROUND(AU61/12*$A$7,0)</f>
        <v>0</v>
      </c>
      <c r="AW61" s="288"/>
      <c r="AX61" s="99">
        <f t="shared" si="74"/>
        <v>0</v>
      </c>
      <c r="AY61" s="288"/>
      <c r="AZ61" s="78">
        <f t="shared" ref="AZ61" si="744">ROUND(AY61/12*$A$7,0)</f>
        <v>0</v>
      </c>
      <c r="BA61" s="288"/>
      <c r="BB61" s="79" t="e">
        <f t="shared" si="350"/>
        <v>#DIV/0!</v>
      </c>
      <c r="BC61" s="288"/>
      <c r="BD61" s="78">
        <f t="shared" ref="BD61" si="745">ROUND(BC61/12*$A$7,0)</f>
        <v>0</v>
      </c>
      <c r="BE61" s="288"/>
      <c r="BF61" s="99">
        <f t="shared" si="77"/>
        <v>0</v>
      </c>
      <c r="BG61" s="288"/>
      <c r="BH61" s="78">
        <f t="shared" ref="BH61" si="746">ROUND(BG61/12*$A$7,0)</f>
        <v>0</v>
      </c>
      <c r="BI61" s="288"/>
      <c r="BJ61" s="79"/>
      <c r="BK61" s="288"/>
      <c r="BL61" s="78">
        <f t="shared" ref="BL61" si="747">ROUND(BK61/12*$A$7,0)</f>
        <v>0</v>
      </c>
      <c r="BM61" s="288"/>
      <c r="BN61" s="79" t="e">
        <f t="shared" si="354"/>
        <v>#DIV/0!</v>
      </c>
      <c r="BO61" s="288"/>
      <c r="BP61" s="78">
        <f t="shared" ref="BP61" si="748">ROUND(BO61/12*$A$7,0)</f>
        <v>0</v>
      </c>
      <c r="BQ61" s="288"/>
      <c r="BR61" s="79" t="e">
        <f t="shared" si="356"/>
        <v>#DIV/0!</v>
      </c>
      <c r="BS61" s="245">
        <f t="shared" si="720"/>
        <v>0</v>
      </c>
      <c r="BT61" s="245">
        <f t="shared" si="704"/>
        <v>0</v>
      </c>
      <c r="BU61" s="245">
        <f t="shared" si="705"/>
        <v>0</v>
      </c>
      <c r="BV61" s="239">
        <f t="shared" si="81"/>
        <v>0</v>
      </c>
    </row>
    <row r="62" spans="1:74" x14ac:dyDescent="0.25">
      <c r="A62" s="31" t="s">
        <v>162</v>
      </c>
      <c r="B62" s="60" t="s">
        <v>339</v>
      </c>
      <c r="C62" s="288"/>
      <c r="D62" s="78">
        <f t="shared" si="54"/>
        <v>0</v>
      </c>
      <c r="E62" s="288"/>
      <c r="F62" s="99">
        <f t="shared" si="55"/>
        <v>0</v>
      </c>
      <c r="G62" s="288"/>
      <c r="H62" s="78">
        <f t="shared" ref="H62:L77" si="749">ROUND(G62/12*$A$7,0)</f>
        <v>0</v>
      </c>
      <c r="I62" s="288"/>
      <c r="J62" s="99">
        <f t="shared" si="56"/>
        <v>0</v>
      </c>
      <c r="K62" s="288"/>
      <c r="L62" s="78">
        <f t="shared" si="749"/>
        <v>0</v>
      </c>
      <c r="M62" s="288"/>
      <c r="N62" s="99">
        <f t="shared" si="57"/>
        <v>0</v>
      </c>
      <c r="O62" s="288"/>
      <c r="P62" s="78">
        <f t="shared" si="735"/>
        <v>0</v>
      </c>
      <c r="Q62" s="288"/>
      <c r="R62" s="99">
        <f t="shared" si="59"/>
        <v>0</v>
      </c>
      <c r="S62" s="288"/>
      <c r="T62" s="78">
        <f t="shared" si="735"/>
        <v>0</v>
      </c>
      <c r="U62" s="288"/>
      <c r="V62" s="99">
        <f t="shared" si="61"/>
        <v>0</v>
      </c>
      <c r="W62" s="288"/>
      <c r="X62" s="78">
        <f t="shared" si="735"/>
        <v>0</v>
      </c>
      <c r="Y62" s="288"/>
      <c r="Z62" s="99">
        <f t="shared" si="63"/>
        <v>0</v>
      </c>
      <c r="AA62" s="288"/>
      <c r="AB62" s="78">
        <f t="shared" si="735"/>
        <v>0</v>
      </c>
      <c r="AC62" s="288"/>
      <c r="AD62" s="79" t="e">
        <f t="shared" si="343"/>
        <v>#DIV/0!</v>
      </c>
      <c r="AE62" s="288"/>
      <c r="AF62" s="78">
        <f t="shared" si="735"/>
        <v>0</v>
      </c>
      <c r="AG62" s="288"/>
      <c r="AH62" s="99">
        <f t="shared" si="66"/>
        <v>0</v>
      </c>
      <c r="AI62" s="288"/>
      <c r="AJ62" s="78">
        <f t="shared" si="735"/>
        <v>0</v>
      </c>
      <c r="AK62" s="288"/>
      <c r="AL62" s="99">
        <f t="shared" si="68"/>
        <v>0</v>
      </c>
      <c r="AM62" s="288"/>
      <c r="AN62" s="78">
        <f t="shared" si="735"/>
        <v>0</v>
      </c>
      <c r="AO62" s="288"/>
      <c r="AP62" s="99">
        <f t="shared" si="70"/>
        <v>0</v>
      </c>
      <c r="AQ62" s="288"/>
      <c r="AR62" s="78">
        <f t="shared" si="735"/>
        <v>0</v>
      </c>
      <c r="AS62" s="288"/>
      <c r="AT62" s="99">
        <f t="shared" si="72"/>
        <v>0</v>
      </c>
      <c r="AU62" s="288"/>
      <c r="AV62" s="78">
        <f t="shared" si="735"/>
        <v>0</v>
      </c>
      <c r="AW62" s="288"/>
      <c r="AX62" s="99">
        <f t="shared" si="74"/>
        <v>0</v>
      </c>
      <c r="AY62" s="288"/>
      <c r="AZ62" s="78">
        <f t="shared" si="735"/>
        <v>0</v>
      </c>
      <c r="BA62" s="288"/>
      <c r="BB62" s="79" t="e">
        <f t="shared" si="350"/>
        <v>#DIV/0!</v>
      </c>
      <c r="BC62" s="288"/>
      <c r="BD62" s="78">
        <f t="shared" si="735"/>
        <v>0</v>
      </c>
      <c r="BE62" s="288"/>
      <c r="BF62" s="99">
        <f t="shared" si="77"/>
        <v>0</v>
      </c>
      <c r="BG62" s="288"/>
      <c r="BH62" s="78">
        <f t="shared" si="735"/>
        <v>0</v>
      </c>
      <c r="BI62" s="288"/>
      <c r="BJ62" s="79"/>
      <c r="BK62" s="288"/>
      <c r="BL62" s="78">
        <f t="shared" si="735"/>
        <v>0</v>
      </c>
      <c r="BM62" s="288"/>
      <c r="BN62" s="79" t="e">
        <f t="shared" si="354"/>
        <v>#DIV/0!</v>
      </c>
      <c r="BO62" s="288"/>
      <c r="BP62" s="78">
        <f t="shared" si="735"/>
        <v>0</v>
      </c>
      <c r="BQ62" s="288"/>
      <c r="BR62" s="79" t="e">
        <f t="shared" si="356"/>
        <v>#DIV/0!</v>
      </c>
      <c r="BS62" s="245">
        <f t="shared" si="720"/>
        <v>0</v>
      </c>
      <c r="BT62" s="245">
        <f t="shared" si="704"/>
        <v>0</v>
      </c>
      <c r="BU62" s="245">
        <f t="shared" si="705"/>
        <v>0</v>
      </c>
      <c r="BV62" s="239">
        <f t="shared" si="81"/>
        <v>0</v>
      </c>
    </row>
    <row r="63" spans="1:74" x14ac:dyDescent="0.25">
      <c r="A63" s="31" t="s">
        <v>163</v>
      </c>
      <c r="B63" s="60" t="s">
        <v>339</v>
      </c>
      <c r="C63" s="288"/>
      <c r="D63" s="78">
        <f t="shared" si="54"/>
        <v>0</v>
      </c>
      <c r="E63" s="288"/>
      <c r="F63" s="99">
        <f t="shared" si="55"/>
        <v>0</v>
      </c>
      <c r="G63" s="288"/>
      <c r="H63" s="78">
        <f t="shared" si="749"/>
        <v>0</v>
      </c>
      <c r="I63" s="288"/>
      <c r="J63" s="99">
        <f t="shared" si="56"/>
        <v>0</v>
      </c>
      <c r="K63" s="288"/>
      <c r="L63" s="78">
        <f t="shared" si="749"/>
        <v>0</v>
      </c>
      <c r="M63" s="288"/>
      <c r="N63" s="99">
        <f t="shared" si="57"/>
        <v>0</v>
      </c>
      <c r="O63" s="288"/>
      <c r="P63" s="78">
        <f t="shared" si="735"/>
        <v>0</v>
      </c>
      <c r="Q63" s="288"/>
      <c r="R63" s="99">
        <f t="shared" si="59"/>
        <v>0</v>
      </c>
      <c r="S63" s="288"/>
      <c r="T63" s="78">
        <f t="shared" si="735"/>
        <v>0</v>
      </c>
      <c r="U63" s="288"/>
      <c r="V63" s="99">
        <f t="shared" si="61"/>
        <v>0</v>
      </c>
      <c r="W63" s="288"/>
      <c r="X63" s="78">
        <f t="shared" si="735"/>
        <v>0</v>
      </c>
      <c r="Y63" s="288"/>
      <c r="Z63" s="99">
        <f t="shared" si="63"/>
        <v>0</v>
      </c>
      <c r="AA63" s="288"/>
      <c r="AB63" s="78">
        <f t="shared" si="735"/>
        <v>0</v>
      </c>
      <c r="AC63" s="288"/>
      <c r="AD63" s="79" t="e">
        <f t="shared" si="343"/>
        <v>#DIV/0!</v>
      </c>
      <c r="AE63" s="288"/>
      <c r="AF63" s="78">
        <f t="shared" si="735"/>
        <v>0</v>
      </c>
      <c r="AG63" s="288"/>
      <c r="AH63" s="99">
        <f t="shared" si="66"/>
        <v>0</v>
      </c>
      <c r="AI63" s="288"/>
      <c r="AJ63" s="78">
        <f t="shared" si="735"/>
        <v>0</v>
      </c>
      <c r="AK63" s="288"/>
      <c r="AL63" s="99">
        <f t="shared" si="68"/>
        <v>0</v>
      </c>
      <c r="AM63" s="288"/>
      <c r="AN63" s="78">
        <f t="shared" si="735"/>
        <v>0</v>
      </c>
      <c r="AO63" s="288"/>
      <c r="AP63" s="99">
        <f t="shared" si="70"/>
        <v>0</v>
      </c>
      <c r="AQ63" s="288"/>
      <c r="AR63" s="78">
        <f t="shared" si="735"/>
        <v>0</v>
      </c>
      <c r="AS63" s="288"/>
      <c r="AT63" s="99">
        <f t="shared" si="72"/>
        <v>0</v>
      </c>
      <c r="AU63" s="288"/>
      <c r="AV63" s="78">
        <f t="shared" si="735"/>
        <v>0</v>
      </c>
      <c r="AW63" s="288"/>
      <c r="AX63" s="99">
        <f t="shared" si="74"/>
        <v>0</v>
      </c>
      <c r="AY63" s="288"/>
      <c r="AZ63" s="78">
        <f t="shared" si="735"/>
        <v>0</v>
      </c>
      <c r="BA63" s="288"/>
      <c r="BB63" s="79" t="e">
        <f t="shared" si="350"/>
        <v>#DIV/0!</v>
      </c>
      <c r="BC63" s="288"/>
      <c r="BD63" s="78">
        <f t="shared" si="735"/>
        <v>0</v>
      </c>
      <c r="BE63" s="288"/>
      <c r="BF63" s="99">
        <f t="shared" si="77"/>
        <v>0</v>
      </c>
      <c r="BG63" s="288"/>
      <c r="BH63" s="78">
        <f t="shared" si="735"/>
        <v>0</v>
      </c>
      <c r="BI63" s="288"/>
      <c r="BJ63" s="79"/>
      <c r="BK63" s="288"/>
      <c r="BL63" s="78">
        <f t="shared" si="735"/>
        <v>0</v>
      </c>
      <c r="BM63" s="288"/>
      <c r="BN63" s="79" t="e">
        <f t="shared" si="354"/>
        <v>#DIV/0!</v>
      </c>
      <c r="BO63" s="288"/>
      <c r="BP63" s="78">
        <f t="shared" si="735"/>
        <v>0</v>
      </c>
      <c r="BQ63" s="288"/>
      <c r="BR63" s="79" t="e">
        <f t="shared" si="356"/>
        <v>#DIV/0!</v>
      </c>
      <c r="BS63" s="245">
        <f t="shared" si="720"/>
        <v>0</v>
      </c>
      <c r="BT63" s="245">
        <f t="shared" si="704"/>
        <v>0</v>
      </c>
      <c r="BU63" s="245">
        <f t="shared" si="705"/>
        <v>0</v>
      </c>
      <c r="BV63" s="239">
        <f t="shared" si="81"/>
        <v>0</v>
      </c>
    </row>
    <row r="64" spans="1:74" x14ac:dyDescent="0.25">
      <c r="A64" s="31" t="s">
        <v>164</v>
      </c>
      <c r="B64" s="60" t="s">
        <v>339</v>
      </c>
      <c r="C64" s="288"/>
      <c r="D64" s="78">
        <f t="shared" si="54"/>
        <v>0</v>
      </c>
      <c r="E64" s="288"/>
      <c r="F64" s="99">
        <f t="shared" si="55"/>
        <v>0</v>
      </c>
      <c r="G64" s="288"/>
      <c r="H64" s="78">
        <f t="shared" si="749"/>
        <v>0</v>
      </c>
      <c r="I64" s="288"/>
      <c r="J64" s="99">
        <f t="shared" si="56"/>
        <v>0</v>
      </c>
      <c r="K64" s="288"/>
      <c r="L64" s="78">
        <f t="shared" si="749"/>
        <v>0</v>
      </c>
      <c r="M64" s="288"/>
      <c r="N64" s="99">
        <f t="shared" si="57"/>
        <v>0</v>
      </c>
      <c r="O64" s="288"/>
      <c r="P64" s="78">
        <f t="shared" si="735"/>
        <v>0</v>
      </c>
      <c r="Q64" s="288"/>
      <c r="R64" s="99">
        <f t="shared" si="59"/>
        <v>0</v>
      </c>
      <c r="S64" s="288"/>
      <c r="T64" s="78">
        <f t="shared" si="735"/>
        <v>0</v>
      </c>
      <c r="U64" s="288"/>
      <c r="V64" s="99">
        <f t="shared" si="61"/>
        <v>0</v>
      </c>
      <c r="W64" s="288"/>
      <c r="X64" s="78">
        <f t="shared" si="735"/>
        <v>0</v>
      </c>
      <c r="Y64" s="288"/>
      <c r="Z64" s="99">
        <f t="shared" si="63"/>
        <v>0</v>
      </c>
      <c r="AA64" s="288"/>
      <c r="AB64" s="78">
        <f t="shared" si="735"/>
        <v>0</v>
      </c>
      <c r="AC64" s="288"/>
      <c r="AD64" s="79" t="e">
        <f t="shared" si="343"/>
        <v>#DIV/0!</v>
      </c>
      <c r="AE64" s="288"/>
      <c r="AF64" s="78">
        <f t="shared" si="735"/>
        <v>0</v>
      </c>
      <c r="AG64" s="288"/>
      <c r="AH64" s="99">
        <f t="shared" si="66"/>
        <v>0</v>
      </c>
      <c r="AI64" s="288"/>
      <c r="AJ64" s="78">
        <f t="shared" si="735"/>
        <v>0</v>
      </c>
      <c r="AK64" s="288"/>
      <c r="AL64" s="99">
        <f t="shared" si="68"/>
        <v>0</v>
      </c>
      <c r="AM64" s="288"/>
      <c r="AN64" s="78">
        <f t="shared" si="735"/>
        <v>0</v>
      </c>
      <c r="AO64" s="288"/>
      <c r="AP64" s="99">
        <f t="shared" si="70"/>
        <v>0</v>
      </c>
      <c r="AQ64" s="288"/>
      <c r="AR64" s="78">
        <f t="shared" si="735"/>
        <v>0</v>
      </c>
      <c r="AS64" s="288"/>
      <c r="AT64" s="99">
        <f t="shared" si="72"/>
        <v>0</v>
      </c>
      <c r="AU64" s="288"/>
      <c r="AV64" s="78">
        <f t="shared" si="735"/>
        <v>0</v>
      </c>
      <c r="AW64" s="288"/>
      <c r="AX64" s="99">
        <f t="shared" si="74"/>
        <v>0</v>
      </c>
      <c r="AY64" s="288"/>
      <c r="AZ64" s="78">
        <f t="shared" si="735"/>
        <v>0</v>
      </c>
      <c r="BA64" s="288"/>
      <c r="BB64" s="79" t="e">
        <f t="shared" si="350"/>
        <v>#DIV/0!</v>
      </c>
      <c r="BC64" s="288"/>
      <c r="BD64" s="78">
        <f t="shared" si="735"/>
        <v>0</v>
      </c>
      <c r="BE64" s="288"/>
      <c r="BF64" s="99">
        <f t="shared" si="77"/>
        <v>0</v>
      </c>
      <c r="BG64" s="288"/>
      <c r="BH64" s="78">
        <f t="shared" si="735"/>
        <v>0</v>
      </c>
      <c r="BI64" s="288"/>
      <c r="BJ64" s="79"/>
      <c r="BK64" s="288"/>
      <c r="BL64" s="78">
        <f t="shared" si="735"/>
        <v>0</v>
      </c>
      <c r="BM64" s="288"/>
      <c r="BN64" s="79" t="e">
        <f t="shared" si="354"/>
        <v>#DIV/0!</v>
      </c>
      <c r="BO64" s="288"/>
      <c r="BP64" s="78">
        <f t="shared" si="735"/>
        <v>0</v>
      </c>
      <c r="BQ64" s="288"/>
      <c r="BR64" s="79" t="e">
        <f t="shared" si="356"/>
        <v>#DIV/0!</v>
      </c>
      <c r="BS64" s="245">
        <f t="shared" si="720"/>
        <v>0</v>
      </c>
      <c r="BT64" s="245">
        <f t="shared" si="704"/>
        <v>0</v>
      </c>
      <c r="BU64" s="245">
        <f t="shared" si="705"/>
        <v>0</v>
      </c>
      <c r="BV64" s="239">
        <f t="shared" si="81"/>
        <v>0</v>
      </c>
    </row>
    <row r="65" spans="1:74" x14ac:dyDescent="0.25">
      <c r="A65" s="31" t="s">
        <v>165</v>
      </c>
      <c r="B65" s="60" t="s">
        <v>339</v>
      </c>
      <c r="C65" s="288"/>
      <c r="D65" s="78">
        <f t="shared" si="54"/>
        <v>0</v>
      </c>
      <c r="E65" s="288"/>
      <c r="F65" s="99">
        <f t="shared" si="55"/>
        <v>0</v>
      </c>
      <c r="G65" s="288"/>
      <c r="H65" s="78">
        <f t="shared" si="749"/>
        <v>0</v>
      </c>
      <c r="I65" s="288"/>
      <c r="J65" s="99">
        <f t="shared" si="56"/>
        <v>0</v>
      </c>
      <c r="K65" s="288"/>
      <c r="L65" s="78">
        <f t="shared" si="749"/>
        <v>0</v>
      </c>
      <c r="M65" s="288"/>
      <c r="N65" s="99">
        <f t="shared" si="57"/>
        <v>0</v>
      </c>
      <c r="O65" s="288"/>
      <c r="P65" s="78">
        <f t="shared" si="735"/>
        <v>0</v>
      </c>
      <c r="Q65" s="288"/>
      <c r="R65" s="99">
        <f t="shared" si="59"/>
        <v>0</v>
      </c>
      <c r="S65" s="288"/>
      <c r="T65" s="78">
        <f t="shared" si="735"/>
        <v>0</v>
      </c>
      <c r="U65" s="288"/>
      <c r="V65" s="99">
        <f t="shared" si="61"/>
        <v>0</v>
      </c>
      <c r="W65" s="288"/>
      <c r="X65" s="78">
        <f t="shared" si="735"/>
        <v>0</v>
      </c>
      <c r="Y65" s="288"/>
      <c r="Z65" s="99">
        <f t="shared" si="63"/>
        <v>0</v>
      </c>
      <c r="AA65" s="288"/>
      <c r="AB65" s="78">
        <f t="shared" si="735"/>
        <v>0</v>
      </c>
      <c r="AC65" s="288"/>
      <c r="AD65" s="79" t="e">
        <f t="shared" si="343"/>
        <v>#DIV/0!</v>
      </c>
      <c r="AE65" s="288"/>
      <c r="AF65" s="78">
        <f t="shared" si="735"/>
        <v>0</v>
      </c>
      <c r="AG65" s="288"/>
      <c r="AH65" s="99">
        <f t="shared" si="66"/>
        <v>0</v>
      </c>
      <c r="AI65" s="288"/>
      <c r="AJ65" s="78">
        <f t="shared" si="735"/>
        <v>0</v>
      </c>
      <c r="AK65" s="288"/>
      <c r="AL65" s="99">
        <f t="shared" si="68"/>
        <v>0</v>
      </c>
      <c r="AM65" s="288"/>
      <c r="AN65" s="78">
        <f t="shared" si="735"/>
        <v>0</v>
      </c>
      <c r="AO65" s="288"/>
      <c r="AP65" s="99">
        <f t="shared" si="70"/>
        <v>0</v>
      </c>
      <c r="AQ65" s="288"/>
      <c r="AR65" s="78">
        <f t="shared" si="735"/>
        <v>0</v>
      </c>
      <c r="AS65" s="288"/>
      <c r="AT65" s="99">
        <f t="shared" si="72"/>
        <v>0</v>
      </c>
      <c r="AU65" s="288"/>
      <c r="AV65" s="78">
        <f t="shared" si="735"/>
        <v>0</v>
      </c>
      <c r="AW65" s="288"/>
      <c r="AX65" s="99">
        <f t="shared" si="74"/>
        <v>0</v>
      </c>
      <c r="AY65" s="288"/>
      <c r="AZ65" s="78">
        <f t="shared" si="735"/>
        <v>0</v>
      </c>
      <c r="BA65" s="288"/>
      <c r="BB65" s="79" t="e">
        <f t="shared" si="350"/>
        <v>#DIV/0!</v>
      </c>
      <c r="BC65" s="288"/>
      <c r="BD65" s="78">
        <f t="shared" si="735"/>
        <v>0</v>
      </c>
      <c r="BE65" s="288"/>
      <c r="BF65" s="99">
        <f t="shared" si="77"/>
        <v>0</v>
      </c>
      <c r="BG65" s="288"/>
      <c r="BH65" s="78">
        <f t="shared" si="735"/>
        <v>0</v>
      </c>
      <c r="BI65" s="288"/>
      <c r="BJ65" s="79"/>
      <c r="BK65" s="288"/>
      <c r="BL65" s="78">
        <f t="shared" si="735"/>
        <v>0</v>
      </c>
      <c r="BM65" s="288"/>
      <c r="BN65" s="79" t="e">
        <f t="shared" si="354"/>
        <v>#DIV/0!</v>
      </c>
      <c r="BO65" s="288"/>
      <c r="BP65" s="78">
        <f t="shared" si="735"/>
        <v>0</v>
      </c>
      <c r="BQ65" s="288"/>
      <c r="BR65" s="79" t="e">
        <f t="shared" si="356"/>
        <v>#DIV/0!</v>
      </c>
      <c r="BS65" s="245">
        <f t="shared" si="720"/>
        <v>0</v>
      </c>
      <c r="BT65" s="245">
        <f t="shared" si="704"/>
        <v>0</v>
      </c>
      <c r="BU65" s="245">
        <f t="shared" si="705"/>
        <v>0</v>
      </c>
      <c r="BV65" s="239">
        <f t="shared" si="81"/>
        <v>0</v>
      </c>
    </row>
    <row r="66" spans="1:74" x14ac:dyDescent="0.25">
      <c r="A66" s="31" t="s">
        <v>166</v>
      </c>
      <c r="B66" s="60" t="s">
        <v>339</v>
      </c>
      <c r="C66" s="288"/>
      <c r="D66" s="78">
        <f t="shared" si="54"/>
        <v>0</v>
      </c>
      <c r="E66" s="288"/>
      <c r="F66" s="99">
        <f t="shared" si="55"/>
        <v>0</v>
      </c>
      <c r="G66" s="288"/>
      <c r="H66" s="78">
        <f t="shared" si="749"/>
        <v>0</v>
      </c>
      <c r="I66" s="288"/>
      <c r="J66" s="99">
        <f t="shared" si="56"/>
        <v>0</v>
      </c>
      <c r="K66" s="288"/>
      <c r="L66" s="78">
        <f t="shared" si="749"/>
        <v>0</v>
      </c>
      <c r="M66" s="288"/>
      <c r="N66" s="99">
        <f t="shared" si="57"/>
        <v>0</v>
      </c>
      <c r="O66" s="288"/>
      <c r="P66" s="78">
        <f t="shared" si="735"/>
        <v>0</v>
      </c>
      <c r="Q66" s="288"/>
      <c r="R66" s="99">
        <f t="shared" si="59"/>
        <v>0</v>
      </c>
      <c r="S66" s="288"/>
      <c r="T66" s="78">
        <f t="shared" si="735"/>
        <v>0</v>
      </c>
      <c r="U66" s="288"/>
      <c r="V66" s="99">
        <f t="shared" si="61"/>
        <v>0</v>
      </c>
      <c r="W66" s="288"/>
      <c r="X66" s="78">
        <f t="shared" si="735"/>
        <v>0</v>
      </c>
      <c r="Y66" s="288"/>
      <c r="Z66" s="99">
        <f t="shared" si="63"/>
        <v>0</v>
      </c>
      <c r="AA66" s="288"/>
      <c r="AB66" s="78">
        <f t="shared" si="735"/>
        <v>0</v>
      </c>
      <c r="AC66" s="288"/>
      <c r="AD66" s="79" t="e">
        <f t="shared" si="343"/>
        <v>#DIV/0!</v>
      </c>
      <c r="AE66" s="288"/>
      <c r="AF66" s="78">
        <f t="shared" si="735"/>
        <v>0</v>
      </c>
      <c r="AG66" s="288"/>
      <c r="AH66" s="99">
        <f t="shared" si="66"/>
        <v>0</v>
      </c>
      <c r="AI66" s="288"/>
      <c r="AJ66" s="78">
        <f t="shared" si="735"/>
        <v>0</v>
      </c>
      <c r="AK66" s="288"/>
      <c r="AL66" s="99">
        <f t="shared" si="68"/>
        <v>0</v>
      </c>
      <c r="AM66" s="288"/>
      <c r="AN66" s="78">
        <f t="shared" si="735"/>
        <v>0</v>
      </c>
      <c r="AO66" s="288"/>
      <c r="AP66" s="99">
        <f t="shared" si="70"/>
        <v>0</v>
      </c>
      <c r="AQ66" s="288"/>
      <c r="AR66" s="78">
        <f t="shared" si="735"/>
        <v>0</v>
      </c>
      <c r="AS66" s="288"/>
      <c r="AT66" s="99">
        <f t="shared" si="72"/>
        <v>0</v>
      </c>
      <c r="AU66" s="288"/>
      <c r="AV66" s="78">
        <f t="shared" si="735"/>
        <v>0</v>
      </c>
      <c r="AW66" s="288"/>
      <c r="AX66" s="99">
        <f t="shared" si="74"/>
        <v>0</v>
      </c>
      <c r="AY66" s="288"/>
      <c r="AZ66" s="78">
        <f t="shared" si="735"/>
        <v>0</v>
      </c>
      <c r="BA66" s="288"/>
      <c r="BB66" s="79" t="e">
        <f t="shared" si="350"/>
        <v>#DIV/0!</v>
      </c>
      <c r="BC66" s="288"/>
      <c r="BD66" s="78">
        <f t="shared" si="735"/>
        <v>0</v>
      </c>
      <c r="BE66" s="288"/>
      <c r="BF66" s="99">
        <f t="shared" si="77"/>
        <v>0</v>
      </c>
      <c r="BG66" s="288"/>
      <c r="BH66" s="78">
        <f t="shared" si="735"/>
        <v>0</v>
      </c>
      <c r="BI66" s="288"/>
      <c r="BJ66" s="79"/>
      <c r="BK66" s="288"/>
      <c r="BL66" s="78">
        <f t="shared" si="735"/>
        <v>0</v>
      </c>
      <c r="BM66" s="288"/>
      <c r="BN66" s="79" t="e">
        <f t="shared" si="354"/>
        <v>#DIV/0!</v>
      </c>
      <c r="BO66" s="288"/>
      <c r="BP66" s="78">
        <f t="shared" si="735"/>
        <v>0</v>
      </c>
      <c r="BQ66" s="288"/>
      <c r="BR66" s="79" t="e">
        <f t="shared" si="356"/>
        <v>#DIV/0!</v>
      </c>
      <c r="BS66" s="245">
        <f t="shared" si="720"/>
        <v>0</v>
      </c>
      <c r="BT66" s="245">
        <f t="shared" si="704"/>
        <v>0</v>
      </c>
      <c r="BU66" s="245">
        <f t="shared" si="705"/>
        <v>0</v>
      </c>
      <c r="BV66" s="239">
        <f t="shared" si="81"/>
        <v>0</v>
      </c>
    </row>
    <row r="67" spans="1:74" x14ac:dyDescent="0.25">
      <c r="A67" s="31" t="s">
        <v>167</v>
      </c>
      <c r="B67" s="60" t="s">
        <v>339</v>
      </c>
      <c r="C67" s="288"/>
      <c r="D67" s="78">
        <f t="shared" si="54"/>
        <v>0</v>
      </c>
      <c r="E67" s="288"/>
      <c r="F67" s="99">
        <f t="shared" si="55"/>
        <v>0</v>
      </c>
      <c r="G67" s="288"/>
      <c r="H67" s="78">
        <f t="shared" si="749"/>
        <v>0</v>
      </c>
      <c r="I67" s="288"/>
      <c r="J67" s="99">
        <f t="shared" si="56"/>
        <v>0</v>
      </c>
      <c r="K67" s="288"/>
      <c r="L67" s="78">
        <f t="shared" si="749"/>
        <v>0</v>
      </c>
      <c r="M67" s="288"/>
      <c r="N67" s="99">
        <f t="shared" si="57"/>
        <v>0</v>
      </c>
      <c r="O67" s="288"/>
      <c r="P67" s="78">
        <f t="shared" si="735"/>
        <v>0</v>
      </c>
      <c r="Q67" s="288"/>
      <c r="R67" s="99">
        <f t="shared" si="59"/>
        <v>0</v>
      </c>
      <c r="S67" s="288"/>
      <c r="T67" s="78">
        <f t="shared" si="735"/>
        <v>0</v>
      </c>
      <c r="U67" s="288"/>
      <c r="V67" s="99">
        <f t="shared" si="61"/>
        <v>0</v>
      </c>
      <c r="W67" s="288"/>
      <c r="X67" s="78">
        <f t="shared" si="735"/>
        <v>0</v>
      </c>
      <c r="Y67" s="288"/>
      <c r="Z67" s="99">
        <f t="shared" si="63"/>
        <v>0</v>
      </c>
      <c r="AA67" s="288"/>
      <c r="AB67" s="78">
        <f t="shared" si="735"/>
        <v>0</v>
      </c>
      <c r="AC67" s="288"/>
      <c r="AD67" s="79" t="e">
        <f t="shared" si="343"/>
        <v>#DIV/0!</v>
      </c>
      <c r="AE67" s="288"/>
      <c r="AF67" s="78">
        <f t="shared" si="735"/>
        <v>0</v>
      </c>
      <c r="AG67" s="288"/>
      <c r="AH67" s="99">
        <f t="shared" si="66"/>
        <v>0</v>
      </c>
      <c r="AI67" s="288"/>
      <c r="AJ67" s="78">
        <f t="shared" si="735"/>
        <v>0</v>
      </c>
      <c r="AK67" s="288"/>
      <c r="AL67" s="99">
        <f t="shared" si="68"/>
        <v>0</v>
      </c>
      <c r="AM67" s="288"/>
      <c r="AN67" s="78">
        <f t="shared" si="735"/>
        <v>0</v>
      </c>
      <c r="AO67" s="288"/>
      <c r="AP67" s="99">
        <f t="shared" si="70"/>
        <v>0</v>
      </c>
      <c r="AQ67" s="288"/>
      <c r="AR67" s="78">
        <f t="shared" si="735"/>
        <v>0</v>
      </c>
      <c r="AS67" s="288"/>
      <c r="AT67" s="99">
        <f t="shared" si="72"/>
        <v>0</v>
      </c>
      <c r="AU67" s="288"/>
      <c r="AV67" s="78">
        <f t="shared" si="735"/>
        <v>0</v>
      </c>
      <c r="AW67" s="288"/>
      <c r="AX67" s="99">
        <f t="shared" si="74"/>
        <v>0</v>
      </c>
      <c r="AY67" s="288"/>
      <c r="AZ67" s="78">
        <f t="shared" si="735"/>
        <v>0</v>
      </c>
      <c r="BA67" s="288"/>
      <c r="BB67" s="79" t="e">
        <f t="shared" si="350"/>
        <v>#DIV/0!</v>
      </c>
      <c r="BC67" s="288"/>
      <c r="BD67" s="78">
        <f t="shared" si="735"/>
        <v>0</v>
      </c>
      <c r="BE67" s="288"/>
      <c r="BF67" s="99">
        <f t="shared" si="77"/>
        <v>0</v>
      </c>
      <c r="BG67" s="288"/>
      <c r="BH67" s="78">
        <f t="shared" si="735"/>
        <v>0</v>
      </c>
      <c r="BI67" s="288"/>
      <c r="BJ67" s="79"/>
      <c r="BK67" s="288"/>
      <c r="BL67" s="78">
        <f t="shared" si="735"/>
        <v>0</v>
      </c>
      <c r="BM67" s="288"/>
      <c r="BN67" s="79" t="e">
        <f t="shared" si="354"/>
        <v>#DIV/0!</v>
      </c>
      <c r="BO67" s="288"/>
      <c r="BP67" s="78">
        <f t="shared" si="735"/>
        <v>0</v>
      </c>
      <c r="BQ67" s="288"/>
      <c r="BR67" s="79" t="e">
        <f t="shared" si="356"/>
        <v>#DIV/0!</v>
      </c>
      <c r="BS67" s="245">
        <f t="shared" si="720"/>
        <v>0</v>
      </c>
      <c r="BT67" s="245">
        <f t="shared" si="704"/>
        <v>0</v>
      </c>
      <c r="BU67" s="245">
        <f t="shared" si="705"/>
        <v>0</v>
      </c>
      <c r="BV67" s="239">
        <f t="shared" si="81"/>
        <v>0</v>
      </c>
    </row>
    <row r="68" spans="1:74" x14ac:dyDescent="0.25">
      <c r="A68" s="31" t="s">
        <v>168</v>
      </c>
      <c r="B68" s="60" t="s">
        <v>339</v>
      </c>
      <c r="C68" s="288"/>
      <c r="D68" s="78">
        <f t="shared" si="54"/>
        <v>0</v>
      </c>
      <c r="E68" s="288"/>
      <c r="F68" s="99">
        <f t="shared" si="55"/>
        <v>0</v>
      </c>
      <c r="G68" s="288"/>
      <c r="H68" s="78">
        <f t="shared" si="749"/>
        <v>0</v>
      </c>
      <c r="I68" s="288"/>
      <c r="J68" s="99">
        <f t="shared" si="56"/>
        <v>0</v>
      </c>
      <c r="K68" s="288"/>
      <c r="L68" s="78">
        <f t="shared" si="749"/>
        <v>0</v>
      </c>
      <c r="M68" s="288"/>
      <c r="N68" s="99">
        <f t="shared" si="57"/>
        <v>0</v>
      </c>
      <c r="O68" s="288"/>
      <c r="P68" s="78">
        <f t="shared" si="735"/>
        <v>0</v>
      </c>
      <c r="Q68" s="288"/>
      <c r="R68" s="99">
        <f t="shared" si="59"/>
        <v>0</v>
      </c>
      <c r="S68" s="288"/>
      <c r="T68" s="78">
        <f t="shared" si="735"/>
        <v>0</v>
      </c>
      <c r="U68" s="288"/>
      <c r="V68" s="99">
        <f t="shared" si="61"/>
        <v>0</v>
      </c>
      <c r="W68" s="288"/>
      <c r="X68" s="78">
        <f t="shared" si="735"/>
        <v>0</v>
      </c>
      <c r="Y68" s="288"/>
      <c r="Z68" s="99">
        <f t="shared" si="63"/>
        <v>0</v>
      </c>
      <c r="AA68" s="288"/>
      <c r="AB68" s="78">
        <f t="shared" si="735"/>
        <v>0</v>
      </c>
      <c r="AC68" s="288"/>
      <c r="AD68" s="79" t="e">
        <f t="shared" si="343"/>
        <v>#DIV/0!</v>
      </c>
      <c r="AE68" s="288"/>
      <c r="AF68" s="78">
        <f t="shared" si="735"/>
        <v>0</v>
      </c>
      <c r="AG68" s="288"/>
      <c r="AH68" s="99">
        <f t="shared" si="66"/>
        <v>0</v>
      </c>
      <c r="AI68" s="288"/>
      <c r="AJ68" s="78">
        <f t="shared" si="735"/>
        <v>0</v>
      </c>
      <c r="AK68" s="288"/>
      <c r="AL68" s="99">
        <f t="shared" si="68"/>
        <v>0</v>
      </c>
      <c r="AM68" s="288"/>
      <c r="AN68" s="78">
        <f t="shared" si="735"/>
        <v>0</v>
      </c>
      <c r="AO68" s="288"/>
      <c r="AP68" s="99">
        <f t="shared" si="70"/>
        <v>0</v>
      </c>
      <c r="AQ68" s="288"/>
      <c r="AR68" s="78">
        <f t="shared" si="735"/>
        <v>0</v>
      </c>
      <c r="AS68" s="288"/>
      <c r="AT68" s="99">
        <f t="shared" si="72"/>
        <v>0</v>
      </c>
      <c r="AU68" s="288"/>
      <c r="AV68" s="78">
        <f t="shared" si="735"/>
        <v>0</v>
      </c>
      <c r="AW68" s="288"/>
      <c r="AX68" s="99">
        <f t="shared" si="74"/>
        <v>0</v>
      </c>
      <c r="AY68" s="288"/>
      <c r="AZ68" s="78">
        <f t="shared" si="735"/>
        <v>0</v>
      </c>
      <c r="BA68" s="288"/>
      <c r="BB68" s="79" t="e">
        <f t="shared" si="350"/>
        <v>#DIV/0!</v>
      </c>
      <c r="BC68" s="288"/>
      <c r="BD68" s="78">
        <f t="shared" si="735"/>
        <v>0</v>
      </c>
      <c r="BE68" s="288"/>
      <c r="BF68" s="99">
        <f t="shared" si="77"/>
        <v>0</v>
      </c>
      <c r="BG68" s="288"/>
      <c r="BH68" s="78">
        <f t="shared" si="735"/>
        <v>0</v>
      </c>
      <c r="BI68" s="288"/>
      <c r="BJ68" s="79"/>
      <c r="BK68" s="288"/>
      <c r="BL68" s="78">
        <f t="shared" si="735"/>
        <v>0</v>
      </c>
      <c r="BM68" s="288"/>
      <c r="BN68" s="79" t="e">
        <f t="shared" si="354"/>
        <v>#DIV/0!</v>
      </c>
      <c r="BO68" s="288"/>
      <c r="BP68" s="78">
        <f t="shared" si="735"/>
        <v>0</v>
      </c>
      <c r="BQ68" s="288"/>
      <c r="BR68" s="79" t="e">
        <f t="shared" si="356"/>
        <v>#DIV/0!</v>
      </c>
      <c r="BS68" s="245">
        <f t="shared" si="720"/>
        <v>0</v>
      </c>
      <c r="BT68" s="245">
        <f t="shared" si="704"/>
        <v>0</v>
      </c>
      <c r="BU68" s="245">
        <f t="shared" si="705"/>
        <v>0</v>
      </c>
      <c r="BV68" s="239">
        <f t="shared" si="81"/>
        <v>0</v>
      </c>
    </row>
    <row r="69" spans="1:74" ht="31.5" x14ac:dyDescent="0.25">
      <c r="A69" s="31" t="s">
        <v>169</v>
      </c>
      <c r="B69" s="60" t="s">
        <v>339</v>
      </c>
      <c r="C69" s="288"/>
      <c r="D69" s="78">
        <f t="shared" si="54"/>
        <v>0</v>
      </c>
      <c r="E69" s="288"/>
      <c r="F69" s="99">
        <f t="shared" si="55"/>
        <v>0</v>
      </c>
      <c r="G69" s="288"/>
      <c r="H69" s="78">
        <f t="shared" si="749"/>
        <v>0</v>
      </c>
      <c r="I69" s="288"/>
      <c r="J69" s="99">
        <f t="shared" si="56"/>
        <v>0</v>
      </c>
      <c r="K69" s="288"/>
      <c r="L69" s="78">
        <f t="shared" si="749"/>
        <v>0</v>
      </c>
      <c r="M69" s="288"/>
      <c r="N69" s="99">
        <f t="shared" si="57"/>
        <v>0</v>
      </c>
      <c r="O69" s="288"/>
      <c r="P69" s="78">
        <f t="shared" si="735"/>
        <v>0</v>
      </c>
      <c r="Q69" s="288"/>
      <c r="R69" s="99">
        <f t="shared" si="59"/>
        <v>0</v>
      </c>
      <c r="S69" s="288"/>
      <c r="T69" s="78">
        <f t="shared" si="735"/>
        <v>0</v>
      </c>
      <c r="U69" s="288"/>
      <c r="V69" s="99">
        <f t="shared" si="61"/>
        <v>0</v>
      </c>
      <c r="W69" s="288"/>
      <c r="X69" s="78">
        <f t="shared" si="735"/>
        <v>0</v>
      </c>
      <c r="Y69" s="288"/>
      <c r="Z69" s="99">
        <f t="shared" si="63"/>
        <v>0</v>
      </c>
      <c r="AA69" s="288"/>
      <c r="AB69" s="78">
        <f t="shared" si="735"/>
        <v>0</v>
      </c>
      <c r="AC69" s="288"/>
      <c r="AD69" s="79" t="e">
        <f t="shared" si="343"/>
        <v>#DIV/0!</v>
      </c>
      <c r="AE69" s="288"/>
      <c r="AF69" s="78">
        <f t="shared" si="735"/>
        <v>0</v>
      </c>
      <c r="AG69" s="288"/>
      <c r="AH69" s="99">
        <f t="shared" si="66"/>
        <v>0</v>
      </c>
      <c r="AI69" s="288"/>
      <c r="AJ69" s="78">
        <f t="shared" si="735"/>
        <v>0</v>
      </c>
      <c r="AK69" s="288"/>
      <c r="AL69" s="99">
        <f t="shared" si="68"/>
        <v>0</v>
      </c>
      <c r="AM69" s="288"/>
      <c r="AN69" s="78">
        <f t="shared" si="735"/>
        <v>0</v>
      </c>
      <c r="AO69" s="288"/>
      <c r="AP69" s="99">
        <f t="shared" si="70"/>
        <v>0</v>
      </c>
      <c r="AQ69" s="288"/>
      <c r="AR69" s="78">
        <f t="shared" si="735"/>
        <v>0</v>
      </c>
      <c r="AS69" s="288"/>
      <c r="AT69" s="99">
        <f t="shared" si="72"/>
        <v>0</v>
      </c>
      <c r="AU69" s="288"/>
      <c r="AV69" s="78">
        <f t="shared" si="735"/>
        <v>0</v>
      </c>
      <c r="AW69" s="288"/>
      <c r="AX69" s="99">
        <f t="shared" si="74"/>
        <v>0</v>
      </c>
      <c r="AY69" s="288"/>
      <c r="AZ69" s="78">
        <f t="shared" si="735"/>
        <v>0</v>
      </c>
      <c r="BA69" s="288"/>
      <c r="BB69" s="79" t="e">
        <f t="shared" si="350"/>
        <v>#DIV/0!</v>
      </c>
      <c r="BC69" s="288"/>
      <c r="BD69" s="78">
        <f t="shared" si="735"/>
        <v>0</v>
      </c>
      <c r="BE69" s="288"/>
      <c r="BF69" s="99">
        <f t="shared" si="77"/>
        <v>0</v>
      </c>
      <c r="BG69" s="288"/>
      <c r="BH69" s="78">
        <f t="shared" si="735"/>
        <v>0</v>
      </c>
      <c r="BI69" s="288"/>
      <c r="BJ69" s="79"/>
      <c r="BK69" s="288"/>
      <c r="BL69" s="78">
        <f t="shared" si="735"/>
        <v>0</v>
      </c>
      <c r="BM69" s="288"/>
      <c r="BN69" s="79" t="e">
        <f t="shared" si="354"/>
        <v>#DIV/0!</v>
      </c>
      <c r="BO69" s="288"/>
      <c r="BP69" s="78">
        <f t="shared" si="735"/>
        <v>0</v>
      </c>
      <c r="BQ69" s="288"/>
      <c r="BR69" s="79" t="e">
        <f t="shared" si="356"/>
        <v>#DIV/0!</v>
      </c>
      <c r="BS69" s="245">
        <f t="shared" si="720"/>
        <v>0</v>
      </c>
      <c r="BT69" s="245">
        <f t="shared" si="704"/>
        <v>0</v>
      </c>
      <c r="BU69" s="245">
        <f t="shared" si="705"/>
        <v>0</v>
      </c>
      <c r="BV69" s="239">
        <f t="shared" si="81"/>
        <v>0</v>
      </c>
    </row>
    <row r="70" spans="1:74" s="69" customFormat="1" ht="31.5" x14ac:dyDescent="0.25">
      <c r="A70" s="39" t="s">
        <v>170</v>
      </c>
      <c r="B70" s="57" t="s">
        <v>3</v>
      </c>
      <c r="C70" s="494">
        <f>C71*7+C72*8+C73*8</f>
        <v>0</v>
      </c>
      <c r="D70" s="83">
        <f t="shared" si="54"/>
        <v>0</v>
      </c>
      <c r="E70" s="494">
        <f>E71*7+E72*8+E73*8</f>
        <v>0</v>
      </c>
      <c r="F70" s="179">
        <f t="shared" si="55"/>
        <v>0</v>
      </c>
      <c r="G70" s="494">
        <f t="shared" ref="G70" si="750">G71*7+G72*8+G73*8</f>
        <v>0</v>
      </c>
      <c r="H70" s="83">
        <f t="shared" si="749"/>
        <v>0</v>
      </c>
      <c r="I70" s="494">
        <f t="shared" ref="I70" si="751">I71*7+I72*8+I73*8</f>
        <v>0</v>
      </c>
      <c r="J70" s="179">
        <f t="shared" si="56"/>
        <v>0</v>
      </c>
      <c r="K70" s="494">
        <f t="shared" ref="K70" si="752">K71*7+K72*8+K73*8</f>
        <v>0</v>
      </c>
      <c r="L70" s="83">
        <f t="shared" si="749"/>
        <v>0</v>
      </c>
      <c r="M70" s="494">
        <f t="shared" ref="M70" si="753">M71*7+M72*8+M73*8</f>
        <v>0</v>
      </c>
      <c r="N70" s="179">
        <f t="shared" si="57"/>
        <v>0</v>
      </c>
      <c r="O70" s="494">
        <f t="shared" ref="O70" si="754">O71*7+O72*8+O73*8</f>
        <v>0</v>
      </c>
      <c r="P70" s="83">
        <f t="shared" si="735"/>
        <v>0</v>
      </c>
      <c r="Q70" s="494">
        <f t="shared" ref="Q70" si="755">Q71*7+Q72*8+Q73*8</f>
        <v>0</v>
      </c>
      <c r="R70" s="179">
        <f t="shared" si="59"/>
        <v>0</v>
      </c>
      <c r="S70" s="494">
        <f t="shared" ref="S70" si="756">S71*7+S72*8+S73*8</f>
        <v>0</v>
      </c>
      <c r="T70" s="83">
        <f t="shared" si="735"/>
        <v>0</v>
      </c>
      <c r="U70" s="494">
        <f t="shared" ref="U70" si="757">U71*7+U72*8+U73*8</f>
        <v>0</v>
      </c>
      <c r="V70" s="179">
        <f t="shared" si="61"/>
        <v>0</v>
      </c>
      <c r="W70" s="494">
        <f t="shared" ref="W70" si="758">W71*7+W72*8+W73*8</f>
        <v>0</v>
      </c>
      <c r="X70" s="83">
        <f t="shared" si="735"/>
        <v>0</v>
      </c>
      <c r="Y70" s="494">
        <f t="shared" ref="Y70" si="759">Y71*7+Y72*8+Y73*8</f>
        <v>0</v>
      </c>
      <c r="Z70" s="179">
        <f t="shared" si="63"/>
        <v>0</v>
      </c>
      <c r="AA70" s="494">
        <f t="shared" ref="AA70" si="760">AA71*7+AA72*8+AA73*8</f>
        <v>0</v>
      </c>
      <c r="AB70" s="83">
        <f t="shared" si="735"/>
        <v>0</v>
      </c>
      <c r="AC70" s="494">
        <f t="shared" ref="AC70" si="761">AC71*7+AC72*8+AC73*8</f>
        <v>0</v>
      </c>
      <c r="AD70" s="82" t="e">
        <f t="shared" si="343"/>
        <v>#DIV/0!</v>
      </c>
      <c r="AE70" s="494">
        <f t="shared" ref="AE70" si="762">AE71*7+AE72*8+AE73*8</f>
        <v>0</v>
      </c>
      <c r="AF70" s="83">
        <f t="shared" si="735"/>
        <v>0</v>
      </c>
      <c r="AG70" s="494">
        <f t="shared" ref="AG70" si="763">AG71*7+AG72*8+AG73*8</f>
        <v>0</v>
      </c>
      <c r="AH70" s="179">
        <f t="shared" si="66"/>
        <v>0</v>
      </c>
      <c r="AI70" s="494">
        <f t="shared" ref="AI70" si="764">AI71*7+AI72*8+AI73*8</f>
        <v>0</v>
      </c>
      <c r="AJ70" s="83">
        <f t="shared" si="735"/>
        <v>0</v>
      </c>
      <c r="AK70" s="494">
        <f t="shared" ref="AK70" si="765">AK71*7+AK72*8+AK73*8</f>
        <v>0</v>
      </c>
      <c r="AL70" s="179">
        <f t="shared" si="68"/>
        <v>0</v>
      </c>
      <c r="AM70" s="494">
        <f t="shared" ref="AM70" si="766">AM71*7+AM72*8+AM73*8</f>
        <v>0</v>
      </c>
      <c r="AN70" s="83">
        <f t="shared" si="735"/>
        <v>0</v>
      </c>
      <c r="AO70" s="494">
        <f t="shared" ref="AO70" si="767">AO71*7+AO72*8+AO73*8</f>
        <v>0</v>
      </c>
      <c r="AP70" s="179">
        <f t="shared" si="70"/>
        <v>0</v>
      </c>
      <c r="AQ70" s="494">
        <f t="shared" ref="AQ70" si="768">AQ71*7+AQ72*8+AQ73*8</f>
        <v>0</v>
      </c>
      <c r="AR70" s="83">
        <f t="shared" si="735"/>
        <v>0</v>
      </c>
      <c r="AS70" s="494">
        <f t="shared" ref="AS70" si="769">AS71*7+AS72*8+AS73*8</f>
        <v>0</v>
      </c>
      <c r="AT70" s="179">
        <f t="shared" si="72"/>
        <v>0</v>
      </c>
      <c r="AU70" s="494">
        <f t="shared" ref="AU70" si="770">AU71*7+AU72*8+AU73*8</f>
        <v>0</v>
      </c>
      <c r="AV70" s="83">
        <f t="shared" si="735"/>
        <v>0</v>
      </c>
      <c r="AW70" s="494">
        <f t="shared" ref="AW70" si="771">AW71*7+AW72*8+AW73*8</f>
        <v>0</v>
      </c>
      <c r="AX70" s="179">
        <f t="shared" si="74"/>
        <v>0</v>
      </c>
      <c r="AY70" s="494">
        <f t="shared" ref="AY70" si="772">AY71*7+AY72*8+AY73*8</f>
        <v>0</v>
      </c>
      <c r="AZ70" s="83">
        <f t="shared" si="735"/>
        <v>0</v>
      </c>
      <c r="BA70" s="494">
        <f t="shared" ref="BA70" si="773">BA71*7+BA72*8+BA73*8</f>
        <v>0</v>
      </c>
      <c r="BB70" s="82" t="e">
        <f t="shared" si="350"/>
        <v>#DIV/0!</v>
      </c>
      <c r="BC70" s="494">
        <f t="shared" ref="BC70" si="774">BC71*7+BC72*8+BC73*8</f>
        <v>0</v>
      </c>
      <c r="BD70" s="83">
        <f t="shared" si="735"/>
        <v>0</v>
      </c>
      <c r="BE70" s="494">
        <f t="shared" ref="BE70" si="775">BE71*7+BE72*8+BE73*8</f>
        <v>0</v>
      </c>
      <c r="BF70" s="179">
        <f t="shared" si="77"/>
        <v>0</v>
      </c>
      <c r="BG70" s="494">
        <f t="shared" ref="BG70" si="776">BG71*7+BG72*8+BG73*8</f>
        <v>0</v>
      </c>
      <c r="BH70" s="83">
        <f t="shared" si="735"/>
        <v>0</v>
      </c>
      <c r="BI70" s="494">
        <f t="shared" ref="BI70" si="777">BI71*7+BI72*8+BI73*8</f>
        <v>0</v>
      </c>
      <c r="BJ70" s="82"/>
      <c r="BK70" s="494">
        <f t="shared" ref="BK70" si="778">BK71*7+BK72*8+BK73*8</f>
        <v>0</v>
      </c>
      <c r="BL70" s="83">
        <f t="shared" si="735"/>
        <v>0</v>
      </c>
      <c r="BM70" s="494">
        <f t="shared" ref="BM70" si="779">BM71*7+BM72*8+BM73*8</f>
        <v>0</v>
      </c>
      <c r="BN70" s="82" t="e">
        <f t="shared" si="354"/>
        <v>#DIV/0!</v>
      </c>
      <c r="BO70" s="494">
        <f t="shared" ref="BO70" si="780">BO71*7+BO72*8+BO73*8</f>
        <v>0</v>
      </c>
      <c r="BP70" s="83">
        <f t="shared" si="735"/>
        <v>0</v>
      </c>
      <c r="BQ70" s="494">
        <f t="shared" ref="BQ70" si="781">BQ71*7+BQ72*8+BQ73*8</f>
        <v>0</v>
      </c>
      <c r="BR70" s="82" t="e">
        <f t="shared" si="356"/>
        <v>#DIV/0!</v>
      </c>
      <c r="BS70" s="245">
        <f t="shared" si="720"/>
        <v>0</v>
      </c>
      <c r="BT70" s="245">
        <f t="shared" si="704"/>
        <v>0</v>
      </c>
      <c r="BU70" s="245">
        <f t="shared" si="705"/>
        <v>0</v>
      </c>
      <c r="BV70" s="239">
        <f t="shared" si="81"/>
        <v>0</v>
      </c>
    </row>
    <row r="71" spans="1:74" x14ac:dyDescent="0.25">
      <c r="A71" s="32" t="s">
        <v>171</v>
      </c>
      <c r="B71" s="60" t="s">
        <v>339</v>
      </c>
      <c r="C71" s="288"/>
      <c r="D71" s="78">
        <f t="shared" si="54"/>
        <v>0</v>
      </c>
      <c r="E71" s="288"/>
      <c r="F71" s="99">
        <f t="shared" si="55"/>
        <v>0</v>
      </c>
      <c r="G71" s="288"/>
      <c r="H71" s="78">
        <f t="shared" si="749"/>
        <v>0</v>
      </c>
      <c r="I71" s="288"/>
      <c r="J71" s="99">
        <f t="shared" si="56"/>
        <v>0</v>
      </c>
      <c r="K71" s="288"/>
      <c r="L71" s="78">
        <f t="shared" si="749"/>
        <v>0</v>
      </c>
      <c r="M71" s="288"/>
      <c r="N71" s="99">
        <f t="shared" si="57"/>
        <v>0</v>
      </c>
      <c r="O71" s="288"/>
      <c r="P71" s="78">
        <f t="shared" si="735"/>
        <v>0</v>
      </c>
      <c r="Q71" s="288"/>
      <c r="R71" s="99">
        <f t="shared" si="59"/>
        <v>0</v>
      </c>
      <c r="S71" s="288"/>
      <c r="T71" s="78">
        <f t="shared" si="735"/>
        <v>0</v>
      </c>
      <c r="U71" s="288"/>
      <c r="V71" s="99">
        <f t="shared" si="61"/>
        <v>0</v>
      </c>
      <c r="W71" s="288"/>
      <c r="X71" s="78">
        <f t="shared" si="735"/>
        <v>0</v>
      </c>
      <c r="Y71" s="288"/>
      <c r="Z71" s="99">
        <f t="shared" si="63"/>
        <v>0</v>
      </c>
      <c r="AA71" s="288"/>
      <c r="AB71" s="78">
        <f t="shared" si="735"/>
        <v>0</v>
      </c>
      <c r="AC71" s="288"/>
      <c r="AD71" s="79" t="e">
        <f t="shared" si="343"/>
        <v>#DIV/0!</v>
      </c>
      <c r="AE71" s="288"/>
      <c r="AF71" s="78">
        <f t="shared" si="735"/>
        <v>0</v>
      </c>
      <c r="AG71" s="288"/>
      <c r="AH71" s="99">
        <f t="shared" si="66"/>
        <v>0</v>
      </c>
      <c r="AI71" s="288"/>
      <c r="AJ71" s="78">
        <f t="shared" si="735"/>
        <v>0</v>
      </c>
      <c r="AK71" s="288"/>
      <c r="AL71" s="99">
        <f t="shared" si="68"/>
        <v>0</v>
      </c>
      <c r="AM71" s="288"/>
      <c r="AN71" s="78">
        <f t="shared" si="735"/>
        <v>0</v>
      </c>
      <c r="AO71" s="288"/>
      <c r="AP71" s="99">
        <f t="shared" si="70"/>
        <v>0</v>
      </c>
      <c r="AQ71" s="288"/>
      <c r="AR71" s="78">
        <f t="shared" si="735"/>
        <v>0</v>
      </c>
      <c r="AS71" s="288"/>
      <c r="AT71" s="99">
        <f t="shared" si="72"/>
        <v>0</v>
      </c>
      <c r="AU71" s="288"/>
      <c r="AV71" s="78">
        <f t="shared" si="735"/>
        <v>0</v>
      </c>
      <c r="AW71" s="288"/>
      <c r="AX71" s="99">
        <f t="shared" si="74"/>
        <v>0</v>
      </c>
      <c r="AY71" s="288"/>
      <c r="AZ71" s="78">
        <f t="shared" si="735"/>
        <v>0</v>
      </c>
      <c r="BA71" s="288"/>
      <c r="BB71" s="79" t="e">
        <f t="shared" si="350"/>
        <v>#DIV/0!</v>
      </c>
      <c r="BC71" s="288"/>
      <c r="BD71" s="78">
        <f t="shared" si="735"/>
        <v>0</v>
      </c>
      <c r="BE71" s="288"/>
      <c r="BF71" s="99">
        <f t="shared" si="77"/>
        <v>0</v>
      </c>
      <c r="BG71" s="288"/>
      <c r="BH71" s="78">
        <f t="shared" si="735"/>
        <v>0</v>
      </c>
      <c r="BI71" s="288"/>
      <c r="BJ71" s="79"/>
      <c r="BK71" s="288"/>
      <c r="BL71" s="78">
        <f t="shared" si="735"/>
        <v>0</v>
      </c>
      <c r="BM71" s="288"/>
      <c r="BN71" s="79" t="e">
        <f t="shared" si="354"/>
        <v>#DIV/0!</v>
      </c>
      <c r="BO71" s="288"/>
      <c r="BP71" s="78">
        <f t="shared" si="735"/>
        <v>0</v>
      </c>
      <c r="BQ71" s="288"/>
      <c r="BR71" s="79" t="e">
        <f t="shared" si="356"/>
        <v>#DIV/0!</v>
      </c>
      <c r="BS71" s="245">
        <f t="shared" si="720"/>
        <v>0</v>
      </c>
      <c r="BT71" s="245">
        <f t="shared" si="704"/>
        <v>0</v>
      </c>
      <c r="BU71" s="245">
        <f t="shared" si="705"/>
        <v>0</v>
      </c>
      <c r="BV71" s="239">
        <f t="shared" si="81"/>
        <v>0</v>
      </c>
    </row>
    <row r="72" spans="1:74" ht="47.25" x14ac:dyDescent="0.25">
      <c r="A72" s="32" t="s">
        <v>172</v>
      </c>
      <c r="B72" s="60" t="s">
        <v>339</v>
      </c>
      <c r="C72" s="288"/>
      <c r="D72" s="78">
        <f t="shared" si="54"/>
        <v>0</v>
      </c>
      <c r="E72" s="288"/>
      <c r="F72" s="99">
        <f t="shared" si="55"/>
        <v>0</v>
      </c>
      <c r="G72" s="288"/>
      <c r="H72" s="78">
        <f t="shared" si="749"/>
        <v>0</v>
      </c>
      <c r="I72" s="288"/>
      <c r="J72" s="99">
        <f t="shared" si="56"/>
        <v>0</v>
      </c>
      <c r="K72" s="288"/>
      <c r="L72" s="78">
        <f t="shared" si="749"/>
        <v>0</v>
      </c>
      <c r="M72" s="288"/>
      <c r="N72" s="99">
        <f t="shared" si="57"/>
        <v>0</v>
      </c>
      <c r="O72" s="288"/>
      <c r="P72" s="78">
        <f t="shared" si="735"/>
        <v>0</v>
      </c>
      <c r="Q72" s="288"/>
      <c r="R72" s="99">
        <f t="shared" si="59"/>
        <v>0</v>
      </c>
      <c r="S72" s="288"/>
      <c r="T72" s="78">
        <f t="shared" si="735"/>
        <v>0</v>
      </c>
      <c r="U72" s="288"/>
      <c r="V72" s="99">
        <f t="shared" si="61"/>
        <v>0</v>
      </c>
      <c r="W72" s="288"/>
      <c r="X72" s="78">
        <f t="shared" si="735"/>
        <v>0</v>
      </c>
      <c r="Y72" s="288"/>
      <c r="Z72" s="99">
        <f t="shared" si="63"/>
        <v>0</v>
      </c>
      <c r="AA72" s="288"/>
      <c r="AB72" s="78">
        <f t="shared" si="735"/>
        <v>0</v>
      </c>
      <c r="AC72" s="288"/>
      <c r="AD72" s="79" t="e">
        <f t="shared" si="343"/>
        <v>#DIV/0!</v>
      </c>
      <c r="AE72" s="288"/>
      <c r="AF72" s="78">
        <f t="shared" si="735"/>
        <v>0</v>
      </c>
      <c r="AG72" s="288"/>
      <c r="AH72" s="99">
        <f t="shared" si="66"/>
        <v>0</v>
      </c>
      <c r="AI72" s="288"/>
      <c r="AJ72" s="78">
        <f t="shared" si="735"/>
        <v>0</v>
      </c>
      <c r="AK72" s="288"/>
      <c r="AL72" s="99">
        <f t="shared" si="68"/>
        <v>0</v>
      </c>
      <c r="AM72" s="288"/>
      <c r="AN72" s="78">
        <f t="shared" si="735"/>
        <v>0</v>
      </c>
      <c r="AO72" s="288"/>
      <c r="AP72" s="99">
        <f t="shared" si="70"/>
        <v>0</v>
      </c>
      <c r="AQ72" s="288"/>
      <c r="AR72" s="78">
        <f t="shared" si="735"/>
        <v>0</v>
      </c>
      <c r="AS72" s="288"/>
      <c r="AT72" s="99">
        <f t="shared" si="72"/>
        <v>0</v>
      </c>
      <c r="AU72" s="288"/>
      <c r="AV72" s="78">
        <f t="shared" si="735"/>
        <v>0</v>
      </c>
      <c r="AW72" s="288"/>
      <c r="AX72" s="99">
        <f t="shared" si="74"/>
        <v>0</v>
      </c>
      <c r="AY72" s="288"/>
      <c r="AZ72" s="78">
        <f t="shared" si="735"/>
        <v>0</v>
      </c>
      <c r="BA72" s="288"/>
      <c r="BB72" s="79" t="e">
        <f t="shared" si="350"/>
        <v>#DIV/0!</v>
      </c>
      <c r="BC72" s="288"/>
      <c r="BD72" s="78">
        <f t="shared" si="735"/>
        <v>0</v>
      </c>
      <c r="BE72" s="288"/>
      <c r="BF72" s="99">
        <f t="shared" si="77"/>
        <v>0</v>
      </c>
      <c r="BG72" s="288"/>
      <c r="BH72" s="78">
        <f t="shared" si="735"/>
        <v>0</v>
      </c>
      <c r="BI72" s="288"/>
      <c r="BJ72" s="79"/>
      <c r="BK72" s="288"/>
      <c r="BL72" s="78">
        <f t="shared" si="735"/>
        <v>0</v>
      </c>
      <c r="BM72" s="288"/>
      <c r="BN72" s="79" t="e">
        <f t="shared" si="354"/>
        <v>#DIV/0!</v>
      </c>
      <c r="BO72" s="288"/>
      <c r="BP72" s="78">
        <f t="shared" si="735"/>
        <v>0</v>
      </c>
      <c r="BQ72" s="288"/>
      <c r="BR72" s="79" t="e">
        <f t="shared" si="356"/>
        <v>#DIV/0!</v>
      </c>
      <c r="BS72" s="245">
        <f t="shared" si="720"/>
        <v>0</v>
      </c>
      <c r="BT72" s="245">
        <f t="shared" si="704"/>
        <v>0</v>
      </c>
      <c r="BU72" s="245">
        <f t="shared" si="705"/>
        <v>0</v>
      </c>
      <c r="BV72" s="239">
        <f t="shared" si="81"/>
        <v>0</v>
      </c>
    </row>
    <row r="73" spans="1:74" ht="78.75" x14ac:dyDescent="0.25">
      <c r="A73" s="32" t="s">
        <v>173</v>
      </c>
      <c r="B73" s="60" t="s">
        <v>339</v>
      </c>
      <c r="C73" s="288"/>
      <c r="D73" s="78">
        <f t="shared" si="54"/>
        <v>0</v>
      </c>
      <c r="E73" s="288"/>
      <c r="F73" s="99">
        <f t="shared" si="55"/>
        <v>0</v>
      </c>
      <c r="G73" s="288"/>
      <c r="H73" s="78">
        <f t="shared" si="749"/>
        <v>0</v>
      </c>
      <c r="I73" s="288"/>
      <c r="J73" s="99">
        <f t="shared" si="56"/>
        <v>0</v>
      </c>
      <c r="K73" s="288"/>
      <c r="L73" s="78">
        <f t="shared" si="749"/>
        <v>0</v>
      </c>
      <c r="M73" s="288"/>
      <c r="N73" s="99">
        <f t="shared" si="57"/>
        <v>0</v>
      </c>
      <c r="O73" s="288"/>
      <c r="P73" s="78">
        <f t="shared" si="735"/>
        <v>0</v>
      </c>
      <c r="Q73" s="288"/>
      <c r="R73" s="99">
        <f t="shared" si="59"/>
        <v>0</v>
      </c>
      <c r="S73" s="288"/>
      <c r="T73" s="78">
        <f t="shared" si="735"/>
        <v>0</v>
      </c>
      <c r="U73" s="288"/>
      <c r="V73" s="99">
        <f t="shared" si="61"/>
        <v>0</v>
      </c>
      <c r="W73" s="288"/>
      <c r="X73" s="78">
        <f t="shared" si="735"/>
        <v>0</v>
      </c>
      <c r="Y73" s="288"/>
      <c r="Z73" s="99">
        <f t="shared" si="63"/>
        <v>0</v>
      </c>
      <c r="AA73" s="288"/>
      <c r="AB73" s="78">
        <f t="shared" si="735"/>
        <v>0</v>
      </c>
      <c r="AC73" s="288"/>
      <c r="AD73" s="79" t="e">
        <f t="shared" si="343"/>
        <v>#DIV/0!</v>
      </c>
      <c r="AE73" s="288"/>
      <c r="AF73" s="78">
        <f t="shared" si="735"/>
        <v>0</v>
      </c>
      <c r="AG73" s="288"/>
      <c r="AH73" s="99">
        <f t="shared" si="66"/>
        <v>0</v>
      </c>
      <c r="AI73" s="288"/>
      <c r="AJ73" s="78">
        <f t="shared" si="735"/>
        <v>0</v>
      </c>
      <c r="AK73" s="288"/>
      <c r="AL73" s="99">
        <f t="shared" si="68"/>
        <v>0</v>
      </c>
      <c r="AM73" s="288"/>
      <c r="AN73" s="78">
        <f t="shared" si="735"/>
        <v>0</v>
      </c>
      <c r="AO73" s="288"/>
      <c r="AP73" s="99">
        <f t="shared" si="70"/>
        <v>0</v>
      </c>
      <c r="AQ73" s="288"/>
      <c r="AR73" s="78">
        <f t="shared" si="735"/>
        <v>0</v>
      </c>
      <c r="AS73" s="288"/>
      <c r="AT73" s="99">
        <f t="shared" si="72"/>
        <v>0</v>
      </c>
      <c r="AU73" s="288"/>
      <c r="AV73" s="78">
        <f t="shared" si="735"/>
        <v>0</v>
      </c>
      <c r="AW73" s="288"/>
      <c r="AX73" s="99">
        <f t="shared" si="74"/>
        <v>0</v>
      </c>
      <c r="AY73" s="288"/>
      <c r="AZ73" s="78">
        <f t="shared" si="735"/>
        <v>0</v>
      </c>
      <c r="BA73" s="288"/>
      <c r="BB73" s="79" t="e">
        <f t="shared" si="350"/>
        <v>#DIV/0!</v>
      </c>
      <c r="BC73" s="288"/>
      <c r="BD73" s="78">
        <f t="shared" si="735"/>
        <v>0</v>
      </c>
      <c r="BE73" s="288"/>
      <c r="BF73" s="99">
        <f t="shared" si="77"/>
        <v>0</v>
      </c>
      <c r="BG73" s="288"/>
      <c r="BH73" s="78">
        <f t="shared" si="735"/>
        <v>0</v>
      </c>
      <c r="BI73" s="288"/>
      <c r="BJ73" s="79"/>
      <c r="BK73" s="288"/>
      <c r="BL73" s="78">
        <f t="shared" si="735"/>
        <v>0</v>
      </c>
      <c r="BM73" s="288"/>
      <c r="BN73" s="79" t="e">
        <f t="shared" si="354"/>
        <v>#DIV/0!</v>
      </c>
      <c r="BO73" s="288"/>
      <c r="BP73" s="78">
        <f t="shared" si="735"/>
        <v>0</v>
      </c>
      <c r="BQ73" s="288"/>
      <c r="BR73" s="79" t="e">
        <f t="shared" si="356"/>
        <v>#DIV/0!</v>
      </c>
      <c r="BS73" s="245">
        <f t="shared" si="720"/>
        <v>0</v>
      </c>
      <c r="BT73" s="245">
        <f t="shared" si="704"/>
        <v>0</v>
      </c>
      <c r="BU73" s="245">
        <f t="shared" si="705"/>
        <v>0</v>
      </c>
      <c r="BV73" s="239">
        <f t="shared" si="81"/>
        <v>0</v>
      </c>
    </row>
    <row r="74" spans="1:74" s="69" customFormat="1" ht="24" customHeight="1" x14ac:dyDescent="0.25">
      <c r="A74" s="39" t="s">
        <v>174</v>
      </c>
      <c r="B74" s="57" t="s">
        <v>3</v>
      </c>
      <c r="C74" s="494">
        <f>C75+C76+C77</f>
        <v>0</v>
      </c>
      <c r="D74" s="83">
        <f t="shared" si="54"/>
        <v>0</v>
      </c>
      <c r="E74" s="494">
        <f>E75+E76+E77</f>
        <v>0</v>
      </c>
      <c r="F74" s="179">
        <f t="shared" si="55"/>
        <v>0</v>
      </c>
      <c r="G74" s="494">
        <f t="shared" ref="G74" si="782">G75+G76+G77</f>
        <v>0</v>
      </c>
      <c r="H74" s="83">
        <f t="shared" si="749"/>
        <v>0</v>
      </c>
      <c r="I74" s="494">
        <f t="shared" ref="I74" si="783">I75+I76+I77</f>
        <v>0</v>
      </c>
      <c r="J74" s="179">
        <f t="shared" si="56"/>
        <v>0</v>
      </c>
      <c r="K74" s="494">
        <f t="shared" ref="K74" si="784">K75+K76+K77</f>
        <v>0</v>
      </c>
      <c r="L74" s="83">
        <f t="shared" si="749"/>
        <v>0</v>
      </c>
      <c r="M74" s="494">
        <f t="shared" ref="M74" si="785">M75+M76+M77</f>
        <v>0</v>
      </c>
      <c r="N74" s="179">
        <f t="shared" si="57"/>
        <v>0</v>
      </c>
      <c r="O74" s="494">
        <f t="shared" ref="O74" si="786">O75+O76+O77</f>
        <v>0</v>
      </c>
      <c r="P74" s="83">
        <f t="shared" si="735"/>
        <v>0</v>
      </c>
      <c r="Q74" s="494">
        <f t="shared" ref="Q74" si="787">Q75+Q76+Q77</f>
        <v>0</v>
      </c>
      <c r="R74" s="179">
        <f t="shared" si="59"/>
        <v>0</v>
      </c>
      <c r="S74" s="494">
        <f t="shared" ref="S74" si="788">S75+S76+S77</f>
        <v>0</v>
      </c>
      <c r="T74" s="83">
        <f t="shared" si="735"/>
        <v>0</v>
      </c>
      <c r="U74" s="494">
        <f t="shared" ref="U74" si="789">U75+U76+U77</f>
        <v>0</v>
      </c>
      <c r="V74" s="179">
        <f t="shared" si="61"/>
        <v>0</v>
      </c>
      <c r="W74" s="494">
        <f t="shared" ref="W74" si="790">W75+W76+W77</f>
        <v>0</v>
      </c>
      <c r="X74" s="83">
        <f t="shared" si="735"/>
        <v>0</v>
      </c>
      <c r="Y74" s="494">
        <f t="shared" ref="Y74" si="791">Y75+Y76+Y77</f>
        <v>0</v>
      </c>
      <c r="Z74" s="179">
        <f t="shared" si="63"/>
        <v>0</v>
      </c>
      <c r="AA74" s="494">
        <f t="shared" ref="AA74" si="792">AA75+AA76+AA77</f>
        <v>0</v>
      </c>
      <c r="AB74" s="83">
        <f t="shared" si="735"/>
        <v>0</v>
      </c>
      <c r="AC74" s="494">
        <f t="shared" ref="AC74" si="793">AC75+AC76+AC77</f>
        <v>0</v>
      </c>
      <c r="AD74" s="82" t="e">
        <f t="shared" si="343"/>
        <v>#DIV/0!</v>
      </c>
      <c r="AE74" s="494">
        <f t="shared" ref="AE74" si="794">AE75+AE76+AE77</f>
        <v>0</v>
      </c>
      <c r="AF74" s="83">
        <f t="shared" si="735"/>
        <v>0</v>
      </c>
      <c r="AG74" s="494">
        <f t="shared" ref="AG74" si="795">AG75+AG76+AG77</f>
        <v>0</v>
      </c>
      <c r="AH74" s="179">
        <f t="shared" si="66"/>
        <v>0</v>
      </c>
      <c r="AI74" s="494">
        <f t="shared" ref="AI74" si="796">AI75+AI76+AI77</f>
        <v>0</v>
      </c>
      <c r="AJ74" s="83">
        <f t="shared" si="735"/>
        <v>0</v>
      </c>
      <c r="AK74" s="494">
        <f t="shared" ref="AK74" si="797">AK75+AK76+AK77</f>
        <v>0</v>
      </c>
      <c r="AL74" s="179">
        <f t="shared" si="68"/>
        <v>0</v>
      </c>
      <c r="AM74" s="494">
        <f t="shared" ref="AM74" si="798">AM75+AM76+AM77</f>
        <v>0</v>
      </c>
      <c r="AN74" s="83">
        <f t="shared" si="735"/>
        <v>0</v>
      </c>
      <c r="AO74" s="494">
        <f t="shared" ref="AO74" si="799">AO75+AO76+AO77</f>
        <v>0</v>
      </c>
      <c r="AP74" s="179">
        <f t="shared" si="70"/>
        <v>0</v>
      </c>
      <c r="AQ74" s="494">
        <f t="shared" ref="AQ74" si="800">AQ75+AQ76+AQ77</f>
        <v>0</v>
      </c>
      <c r="AR74" s="83">
        <f t="shared" si="735"/>
        <v>0</v>
      </c>
      <c r="AS74" s="494">
        <f t="shared" ref="AS74" si="801">AS75+AS76+AS77</f>
        <v>0</v>
      </c>
      <c r="AT74" s="179">
        <f t="shared" si="72"/>
        <v>0</v>
      </c>
      <c r="AU74" s="494">
        <f t="shared" ref="AU74" si="802">AU75+AU76+AU77</f>
        <v>0</v>
      </c>
      <c r="AV74" s="83">
        <f t="shared" si="735"/>
        <v>0</v>
      </c>
      <c r="AW74" s="494">
        <f t="shared" ref="AW74" si="803">AW75+AW76+AW77</f>
        <v>0</v>
      </c>
      <c r="AX74" s="179">
        <f t="shared" si="74"/>
        <v>0</v>
      </c>
      <c r="AY74" s="494">
        <f t="shared" ref="AY74" si="804">AY75+AY76+AY77</f>
        <v>0</v>
      </c>
      <c r="AZ74" s="83">
        <f t="shared" si="735"/>
        <v>0</v>
      </c>
      <c r="BA74" s="494">
        <f t="shared" ref="BA74" si="805">BA75+BA76+BA77</f>
        <v>0</v>
      </c>
      <c r="BB74" s="82" t="e">
        <f t="shared" si="350"/>
        <v>#DIV/0!</v>
      </c>
      <c r="BC74" s="494">
        <f t="shared" ref="BC74" si="806">BC75+BC76+BC77</f>
        <v>0</v>
      </c>
      <c r="BD74" s="83">
        <f t="shared" si="735"/>
        <v>0</v>
      </c>
      <c r="BE74" s="494">
        <f t="shared" ref="BE74" si="807">BE75+BE76+BE77</f>
        <v>0</v>
      </c>
      <c r="BF74" s="179">
        <f t="shared" si="77"/>
        <v>0</v>
      </c>
      <c r="BG74" s="494">
        <f t="shared" ref="BG74" si="808">BG75+BG76+BG77</f>
        <v>0</v>
      </c>
      <c r="BH74" s="83">
        <f t="shared" si="735"/>
        <v>0</v>
      </c>
      <c r="BI74" s="494">
        <f t="shared" ref="BI74" si="809">BI75+BI76+BI77</f>
        <v>0</v>
      </c>
      <c r="BJ74" s="82"/>
      <c r="BK74" s="494">
        <f t="shared" ref="BK74" si="810">BK75+BK76+BK77</f>
        <v>0</v>
      </c>
      <c r="BL74" s="83">
        <f t="shared" si="735"/>
        <v>0</v>
      </c>
      <c r="BM74" s="494">
        <f t="shared" ref="BM74" si="811">BM75+BM76+BM77</f>
        <v>0</v>
      </c>
      <c r="BN74" s="82" t="e">
        <f t="shared" si="354"/>
        <v>#DIV/0!</v>
      </c>
      <c r="BO74" s="494">
        <f t="shared" ref="BO74" si="812">BO75+BO76+BO77</f>
        <v>0</v>
      </c>
      <c r="BP74" s="83">
        <f t="shared" si="735"/>
        <v>0</v>
      </c>
      <c r="BQ74" s="494">
        <f t="shared" ref="BQ74" si="813">BQ75+BQ76+BQ77</f>
        <v>0</v>
      </c>
      <c r="BR74" s="82" t="e">
        <f t="shared" si="356"/>
        <v>#DIV/0!</v>
      </c>
      <c r="BS74" s="245">
        <f t="shared" si="720"/>
        <v>0</v>
      </c>
      <c r="BT74" s="245">
        <f t="shared" si="704"/>
        <v>0</v>
      </c>
      <c r="BU74" s="245">
        <f t="shared" si="705"/>
        <v>0</v>
      </c>
      <c r="BV74" s="239">
        <f t="shared" si="81"/>
        <v>0</v>
      </c>
    </row>
    <row r="75" spans="1:74" x14ac:dyDescent="0.25">
      <c r="A75" s="32" t="s">
        <v>175</v>
      </c>
      <c r="B75" s="60" t="s">
        <v>339</v>
      </c>
      <c r="C75" s="288"/>
      <c r="D75" s="78">
        <f t="shared" si="54"/>
        <v>0</v>
      </c>
      <c r="E75" s="288"/>
      <c r="F75" s="99">
        <f t="shared" si="55"/>
        <v>0</v>
      </c>
      <c r="G75" s="288"/>
      <c r="H75" s="78">
        <f t="shared" si="749"/>
        <v>0</v>
      </c>
      <c r="I75" s="288"/>
      <c r="J75" s="99">
        <f t="shared" si="56"/>
        <v>0</v>
      </c>
      <c r="K75" s="288"/>
      <c r="L75" s="78">
        <f t="shared" si="749"/>
        <v>0</v>
      </c>
      <c r="M75" s="288"/>
      <c r="N75" s="99">
        <f t="shared" si="57"/>
        <v>0</v>
      </c>
      <c r="O75" s="288"/>
      <c r="P75" s="78">
        <f t="shared" si="735"/>
        <v>0</v>
      </c>
      <c r="Q75" s="288"/>
      <c r="R75" s="99">
        <f t="shared" si="59"/>
        <v>0</v>
      </c>
      <c r="S75" s="288"/>
      <c r="T75" s="78">
        <f t="shared" si="735"/>
        <v>0</v>
      </c>
      <c r="U75" s="288"/>
      <c r="V75" s="99">
        <f t="shared" si="61"/>
        <v>0</v>
      </c>
      <c r="W75" s="288"/>
      <c r="X75" s="78">
        <f t="shared" si="735"/>
        <v>0</v>
      </c>
      <c r="Y75" s="288"/>
      <c r="Z75" s="99">
        <f t="shared" si="63"/>
        <v>0</v>
      </c>
      <c r="AA75" s="288"/>
      <c r="AB75" s="78">
        <f t="shared" si="735"/>
        <v>0</v>
      </c>
      <c r="AC75" s="288"/>
      <c r="AD75" s="79" t="e">
        <f t="shared" si="343"/>
        <v>#DIV/0!</v>
      </c>
      <c r="AE75" s="288"/>
      <c r="AF75" s="78">
        <f t="shared" si="735"/>
        <v>0</v>
      </c>
      <c r="AG75" s="288"/>
      <c r="AH75" s="99">
        <f t="shared" si="66"/>
        <v>0</v>
      </c>
      <c r="AI75" s="288"/>
      <c r="AJ75" s="78">
        <f t="shared" si="735"/>
        <v>0</v>
      </c>
      <c r="AK75" s="288"/>
      <c r="AL75" s="99">
        <f t="shared" si="68"/>
        <v>0</v>
      </c>
      <c r="AM75" s="288"/>
      <c r="AN75" s="78">
        <f t="shared" si="735"/>
        <v>0</v>
      </c>
      <c r="AO75" s="288"/>
      <c r="AP75" s="99">
        <f t="shared" si="70"/>
        <v>0</v>
      </c>
      <c r="AQ75" s="288"/>
      <c r="AR75" s="78">
        <f t="shared" si="735"/>
        <v>0</v>
      </c>
      <c r="AS75" s="288"/>
      <c r="AT75" s="99">
        <f t="shared" si="72"/>
        <v>0</v>
      </c>
      <c r="AU75" s="288"/>
      <c r="AV75" s="78">
        <f t="shared" si="735"/>
        <v>0</v>
      </c>
      <c r="AW75" s="288"/>
      <c r="AX75" s="99">
        <f t="shared" si="74"/>
        <v>0</v>
      </c>
      <c r="AY75" s="288"/>
      <c r="AZ75" s="78">
        <f t="shared" si="735"/>
        <v>0</v>
      </c>
      <c r="BA75" s="288"/>
      <c r="BB75" s="79" t="e">
        <f t="shared" si="350"/>
        <v>#DIV/0!</v>
      </c>
      <c r="BC75" s="288"/>
      <c r="BD75" s="78">
        <f t="shared" si="735"/>
        <v>0</v>
      </c>
      <c r="BE75" s="288"/>
      <c r="BF75" s="99">
        <f t="shared" si="77"/>
        <v>0</v>
      </c>
      <c r="BG75" s="288"/>
      <c r="BH75" s="78">
        <f t="shared" si="735"/>
        <v>0</v>
      </c>
      <c r="BI75" s="288"/>
      <c r="BJ75" s="79"/>
      <c r="BK75" s="288"/>
      <c r="BL75" s="78">
        <f t="shared" si="735"/>
        <v>0</v>
      </c>
      <c r="BM75" s="288"/>
      <c r="BN75" s="79" t="e">
        <f t="shared" si="354"/>
        <v>#DIV/0!</v>
      </c>
      <c r="BO75" s="288"/>
      <c r="BP75" s="78">
        <f t="shared" si="735"/>
        <v>0</v>
      </c>
      <c r="BQ75" s="288"/>
      <c r="BR75" s="79" t="e">
        <f t="shared" si="356"/>
        <v>#DIV/0!</v>
      </c>
      <c r="BS75" s="245">
        <f t="shared" si="720"/>
        <v>0</v>
      </c>
      <c r="BT75" s="245">
        <f t="shared" si="704"/>
        <v>0</v>
      </c>
      <c r="BU75" s="245">
        <f t="shared" si="705"/>
        <v>0</v>
      </c>
      <c r="BV75" s="239">
        <f t="shared" si="81"/>
        <v>0</v>
      </c>
    </row>
    <row r="76" spans="1:74" ht="47.25" x14ac:dyDescent="0.25">
      <c r="A76" s="32" t="s">
        <v>176</v>
      </c>
      <c r="B76" s="60" t="s">
        <v>339</v>
      </c>
      <c r="C76" s="288"/>
      <c r="D76" s="78">
        <f t="shared" si="54"/>
        <v>0</v>
      </c>
      <c r="E76" s="288"/>
      <c r="F76" s="99">
        <f t="shared" si="55"/>
        <v>0</v>
      </c>
      <c r="G76" s="288"/>
      <c r="H76" s="78">
        <f t="shared" si="749"/>
        <v>0</v>
      </c>
      <c r="I76" s="288"/>
      <c r="J76" s="99">
        <f t="shared" si="56"/>
        <v>0</v>
      </c>
      <c r="K76" s="288"/>
      <c r="L76" s="78">
        <f t="shared" si="749"/>
        <v>0</v>
      </c>
      <c r="M76" s="288"/>
      <c r="N76" s="99">
        <f t="shared" si="57"/>
        <v>0</v>
      </c>
      <c r="O76" s="288"/>
      <c r="P76" s="78">
        <f t="shared" si="735"/>
        <v>0</v>
      </c>
      <c r="Q76" s="288"/>
      <c r="R76" s="99">
        <f t="shared" si="59"/>
        <v>0</v>
      </c>
      <c r="S76" s="288"/>
      <c r="T76" s="78">
        <f t="shared" si="735"/>
        <v>0</v>
      </c>
      <c r="U76" s="288"/>
      <c r="V76" s="99">
        <f t="shared" si="61"/>
        <v>0</v>
      </c>
      <c r="W76" s="288"/>
      <c r="X76" s="78">
        <f t="shared" si="735"/>
        <v>0</v>
      </c>
      <c r="Y76" s="288"/>
      <c r="Z76" s="99">
        <f t="shared" si="63"/>
        <v>0</v>
      </c>
      <c r="AA76" s="288"/>
      <c r="AB76" s="78">
        <f t="shared" si="735"/>
        <v>0</v>
      </c>
      <c r="AC76" s="288"/>
      <c r="AD76" s="79" t="e">
        <f t="shared" si="343"/>
        <v>#DIV/0!</v>
      </c>
      <c r="AE76" s="288"/>
      <c r="AF76" s="78">
        <f t="shared" si="735"/>
        <v>0</v>
      </c>
      <c r="AG76" s="288"/>
      <c r="AH76" s="99">
        <f t="shared" si="66"/>
        <v>0</v>
      </c>
      <c r="AI76" s="288"/>
      <c r="AJ76" s="78">
        <f t="shared" si="735"/>
        <v>0</v>
      </c>
      <c r="AK76" s="288"/>
      <c r="AL76" s="99">
        <f t="shared" si="68"/>
        <v>0</v>
      </c>
      <c r="AM76" s="288"/>
      <c r="AN76" s="78">
        <f t="shared" si="735"/>
        <v>0</v>
      </c>
      <c r="AO76" s="288"/>
      <c r="AP76" s="99">
        <f t="shared" si="70"/>
        <v>0</v>
      </c>
      <c r="AQ76" s="288"/>
      <c r="AR76" s="78">
        <f t="shared" si="735"/>
        <v>0</v>
      </c>
      <c r="AS76" s="288"/>
      <c r="AT76" s="99">
        <f t="shared" si="72"/>
        <v>0</v>
      </c>
      <c r="AU76" s="288"/>
      <c r="AV76" s="78">
        <f t="shared" si="735"/>
        <v>0</v>
      </c>
      <c r="AW76" s="288"/>
      <c r="AX76" s="99">
        <f t="shared" si="74"/>
        <v>0</v>
      </c>
      <c r="AY76" s="288"/>
      <c r="AZ76" s="78">
        <f t="shared" si="735"/>
        <v>0</v>
      </c>
      <c r="BA76" s="288"/>
      <c r="BB76" s="79" t="e">
        <f t="shared" si="350"/>
        <v>#DIV/0!</v>
      </c>
      <c r="BC76" s="288"/>
      <c r="BD76" s="78">
        <f t="shared" si="735"/>
        <v>0</v>
      </c>
      <c r="BE76" s="288"/>
      <c r="BF76" s="99">
        <f t="shared" si="77"/>
        <v>0</v>
      </c>
      <c r="BG76" s="288"/>
      <c r="BH76" s="78">
        <f t="shared" si="735"/>
        <v>0</v>
      </c>
      <c r="BI76" s="288"/>
      <c r="BJ76" s="79"/>
      <c r="BK76" s="288"/>
      <c r="BL76" s="78">
        <f t="shared" si="735"/>
        <v>0</v>
      </c>
      <c r="BM76" s="288"/>
      <c r="BN76" s="79" t="e">
        <f t="shared" si="354"/>
        <v>#DIV/0!</v>
      </c>
      <c r="BO76" s="288"/>
      <c r="BP76" s="78">
        <f t="shared" si="735"/>
        <v>0</v>
      </c>
      <c r="BQ76" s="288"/>
      <c r="BR76" s="79" t="e">
        <f t="shared" si="356"/>
        <v>#DIV/0!</v>
      </c>
      <c r="BS76" s="245">
        <f t="shared" si="720"/>
        <v>0</v>
      </c>
      <c r="BT76" s="245">
        <f t="shared" si="704"/>
        <v>0</v>
      </c>
      <c r="BU76" s="245">
        <f t="shared" si="705"/>
        <v>0</v>
      </c>
      <c r="BV76" s="239">
        <f t="shared" si="81"/>
        <v>0</v>
      </c>
    </row>
    <row r="77" spans="1:74" ht="78.75" x14ac:dyDescent="0.25">
      <c r="A77" s="32" t="s">
        <v>177</v>
      </c>
      <c r="B77" s="60" t="s">
        <v>339</v>
      </c>
      <c r="C77" s="288"/>
      <c r="D77" s="78">
        <f t="shared" si="54"/>
        <v>0</v>
      </c>
      <c r="E77" s="288"/>
      <c r="F77" s="99">
        <f t="shared" si="55"/>
        <v>0</v>
      </c>
      <c r="G77" s="288"/>
      <c r="H77" s="78">
        <f t="shared" si="749"/>
        <v>0</v>
      </c>
      <c r="I77" s="288"/>
      <c r="J77" s="99">
        <f t="shared" si="56"/>
        <v>0</v>
      </c>
      <c r="K77" s="288"/>
      <c r="L77" s="78">
        <f t="shared" si="749"/>
        <v>0</v>
      </c>
      <c r="M77" s="288"/>
      <c r="N77" s="99">
        <f t="shared" si="57"/>
        <v>0</v>
      </c>
      <c r="O77" s="288"/>
      <c r="P77" s="78">
        <f t="shared" ref="P77:BP77" si="814">ROUND(O77/12*$A$7,0)</f>
        <v>0</v>
      </c>
      <c r="Q77" s="288"/>
      <c r="R77" s="99">
        <f t="shared" si="59"/>
        <v>0</v>
      </c>
      <c r="S77" s="288"/>
      <c r="T77" s="78">
        <f t="shared" si="814"/>
        <v>0</v>
      </c>
      <c r="U77" s="288"/>
      <c r="V77" s="99">
        <f t="shared" si="61"/>
        <v>0</v>
      </c>
      <c r="W77" s="288"/>
      <c r="X77" s="78">
        <f t="shared" si="814"/>
        <v>0</v>
      </c>
      <c r="Y77" s="288"/>
      <c r="Z77" s="99">
        <f t="shared" si="63"/>
        <v>0</v>
      </c>
      <c r="AA77" s="288"/>
      <c r="AB77" s="78">
        <f t="shared" si="814"/>
        <v>0</v>
      </c>
      <c r="AC77" s="288"/>
      <c r="AD77" s="79" t="e">
        <f t="shared" si="343"/>
        <v>#DIV/0!</v>
      </c>
      <c r="AE77" s="288"/>
      <c r="AF77" s="78">
        <f t="shared" si="814"/>
        <v>0</v>
      </c>
      <c r="AG77" s="288"/>
      <c r="AH77" s="99">
        <f t="shared" si="66"/>
        <v>0</v>
      </c>
      <c r="AI77" s="288"/>
      <c r="AJ77" s="78">
        <f t="shared" si="814"/>
        <v>0</v>
      </c>
      <c r="AK77" s="288"/>
      <c r="AL77" s="99">
        <f t="shared" si="68"/>
        <v>0</v>
      </c>
      <c r="AM77" s="288"/>
      <c r="AN77" s="78">
        <f t="shared" si="814"/>
        <v>0</v>
      </c>
      <c r="AO77" s="288"/>
      <c r="AP77" s="99">
        <f t="shared" si="70"/>
        <v>0</v>
      </c>
      <c r="AQ77" s="288"/>
      <c r="AR77" s="78">
        <f t="shared" si="814"/>
        <v>0</v>
      </c>
      <c r="AS77" s="288"/>
      <c r="AT77" s="99">
        <f t="shared" si="72"/>
        <v>0</v>
      </c>
      <c r="AU77" s="288"/>
      <c r="AV77" s="78">
        <f t="shared" si="814"/>
        <v>0</v>
      </c>
      <c r="AW77" s="288"/>
      <c r="AX77" s="99">
        <f t="shared" si="74"/>
        <v>0</v>
      </c>
      <c r="AY77" s="288"/>
      <c r="AZ77" s="78">
        <f t="shared" si="814"/>
        <v>0</v>
      </c>
      <c r="BA77" s="288"/>
      <c r="BB77" s="79" t="e">
        <f t="shared" si="350"/>
        <v>#DIV/0!</v>
      </c>
      <c r="BC77" s="288"/>
      <c r="BD77" s="78">
        <f t="shared" si="814"/>
        <v>0</v>
      </c>
      <c r="BE77" s="288"/>
      <c r="BF77" s="99">
        <f t="shared" si="77"/>
        <v>0</v>
      </c>
      <c r="BG77" s="288"/>
      <c r="BH77" s="78">
        <f t="shared" si="814"/>
        <v>0</v>
      </c>
      <c r="BI77" s="288"/>
      <c r="BJ77" s="79"/>
      <c r="BK77" s="288"/>
      <c r="BL77" s="78">
        <f t="shared" si="814"/>
        <v>0</v>
      </c>
      <c r="BM77" s="288"/>
      <c r="BN77" s="79" t="e">
        <f t="shared" si="354"/>
        <v>#DIV/0!</v>
      </c>
      <c r="BO77" s="288"/>
      <c r="BP77" s="78">
        <f t="shared" si="814"/>
        <v>0</v>
      </c>
      <c r="BQ77" s="288"/>
      <c r="BR77" s="79" t="e">
        <f t="shared" si="356"/>
        <v>#DIV/0!</v>
      </c>
      <c r="BS77" s="245">
        <f t="shared" si="720"/>
        <v>0</v>
      </c>
      <c r="BT77" s="245">
        <f t="shared" si="704"/>
        <v>0</v>
      </c>
      <c r="BU77" s="245">
        <f t="shared" si="705"/>
        <v>0</v>
      </c>
      <c r="BV77" s="239">
        <f t="shared" si="81"/>
        <v>0</v>
      </c>
    </row>
    <row r="78" spans="1:74" x14ac:dyDescent="0.25">
      <c r="A78" s="30" t="s">
        <v>178</v>
      </c>
      <c r="B78" s="60" t="s">
        <v>339</v>
      </c>
      <c r="C78" s="288">
        <v>122749</v>
      </c>
      <c r="D78" s="78">
        <f t="shared" si="54"/>
        <v>122749</v>
      </c>
      <c r="E78" s="288">
        <v>121463</v>
      </c>
      <c r="F78" s="99">
        <f t="shared" si="55"/>
        <v>98.952333623899179</v>
      </c>
      <c r="G78" s="288">
        <v>9110</v>
      </c>
      <c r="H78" s="78">
        <f t="shared" ref="H78:L88" si="815">ROUND(G78/12*$A$7,0)</f>
        <v>9110</v>
      </c>
      <c r="I78" s="288">
        <v>15149</v>
      </c>
      <c r="J78" s="99">
        <f t="shared" si="56"/>
        <v>166.28979143798023</v>
      </c>
      <c r="K78" s="288">
        <v>79288</v>
      </c>
      <c r="L78" s="78">
        <f t="shared" si="815"/>
        <v>79288</v>
      </c>
      <c r="M78" s="288">
        <v>43369</v>
      </c>
      <c r="N78" s="99">
        <f t="shared" si="57"/>
        <v>54.698062758551103</v>
      </c>
      <c r="O78" s="288">
        <v>5000</v>
      </c>
      <c r="P78" s="78">
        <f t="shared" ref="P78" si="816">ROUND(O78/12*$A$7,0)</f>
        <v>5000</v>
      </c>
      <c r="Q78" s="288">
        <v>3894</v>
      </c>
      <c r="R78" s="99">
        <f t="shared" si="59"/>
        <v>77.88000000000001</v>
      </c>
      <c r="S78" s="288">
        <v>10140</v>
      </c>
      <c r="T78" s="78">
        <f t="shared" ref="T78" si="817">ROUND(S78/12*$A$7,0)</f>
        <v>10140</v>
      </c>
      <c r="U78" s="288">
        <v>12576</v>
      </c>
      <c r="V78" s="99">
        <f t="shared" si="61"/>
        <v>124.02366863905326</v>
      </c>
      <c r="W78" s="288"/>
      <c r="X78" s="78">
        <f t="shared" ref="X78" si="818">ROUND(W78/12*$A$7,0)</f>
        <v>0</v>
      </c>
      <c r="Y78" s="288"/>
      <c r="Z78" s="99">
        <f t="shared" si="63"/>
        <v>0</v>
      </c>
      <c r="AA78" s="288"/>
      <c r="AB78" s="78">
        <f t="shared" ref="AB78" si="819">ROUND(AA78/12*$A$7,0)</f>
        <v>0</v>
      </c>
      <c r="AC78" s="288"/>
      <c r="AD78" s="79" t="e">
        <f t="shared" si="343"/>
        <v>#DIV/0!</v>
      </c>
      <c r="AE78" s="288">
        <v>78000</v>
      </c>
      <c r="AF78" s="78">
        <f t="shared" ref="AF78" si="820">ROUND(AE78/12*$A$7,0)</f>
        <v>78000</v>
      </c>
      <c r="AG78" s="288">
        <v>89159</v>
      </c>
      <c r="AH78" s="99">
        <f t="shared" si="66"/>
        <v>114.30641025641026</v>
      </c>
      <c r="AI78" s="288">
        <v>72483</v>
      </c>
      <c r="AJ78" s="78">
        <f t="shared" ref="AJ78" si="821">ROUND(AI78/12*$A$7,0)</f>
        <v>72483</v>
      </c>
      <c r="AK78" s="288">
        <v>72864</v>
      </c>
      <c r="AL78" s="99">
        <f t="shared" si="68"/>
        <v>100.52564049501262</v>
      </c>
      <c r="AM78" s="288">
        <v>53996</v>
      </c>
      <c r="AN78" s="78">
        <f t="shared" ref="AN78" si="822">ROUND(AM78/12*$A$7,0)</f>
        <v>53996</v>
      </c>
      <c r="AO78" s="288">
        <v>50972</v>
      </c>
      <c r="AP78" s="99">
        <f t="shared" si="70"/>
        <v>94.399585154455892</v>
      </c>
      <c r="AQ78" s="288"/>
      <c r="AR78" s="78">
        <f t="shared" ref="AR78" si="823">ROUND(AQ78/12*$A$7,0)</f>
        <v>0</v>
      </c>
      <c r="AS78" s="288"/>
      <c r="AT78" s="99">
        <f t="shared" si="72"/>
        <v>0</v>
      </c>
      <c r="AU78" s="288"/>
      <c r="AV78" s="78">
        <f t="shared" ref="AV78" si="824">ROUND(AU78/12*$A$7,0)</f>
        <v>0</v>
      </c>
      <c r="AW78" s="288"/>
      <c r="AX78" s="99">
        <f t="shared" si="74"/>
        <v>0</v>
      </c>
      <c r="AY78" s="288"/>
      <c r="AZ78" s="78">
        <f t="shared" ref="AZ78" si="825">ROUND(AY78/12*$A$7,0)</f>
        <v>0</v>
      </c>
      <c r="BA78" s="288"/>
      <c r="BB78" s="79" t="e">
        <f t="shared" si="350"/>
        <v>#DIV/0!</v>
      </c>
      <c r="BC78" s="288">
        <v>83246</v>
      </c>
      <c r="BD78" s="78">
        <f t="shared" ref="BD78" si="826">ROUND(BC78/12*$A$7,0)</f>
        <v>83246</v>
      </c>
      <c r="BE78" s="288">
        <v>76999</v>
      </c>
      <c r="BF78" s="99">
        <f t="shared" si="77"/>
        <v>92.495735530836328</v>
      </c>
      <c r="BG78" s="288">
        <v>100</v>
      </c>
      <c r="BH78" s="78">
        <f t="shared" ref="BH78" si="827">ROUND(BG78/12*$A$7,0)</f>
        <v>100</v>
      </c>
      <c r="BI78" s="288"/>
      <c r="BJ78" s="79">
        <f t="shared" ref="BJ78:BJ89" si="828">BI78/BH78*100</f>
        <v>0</v>
      </c>
      <c r="BK78" s="288"/>
      <c r="BL78" s="78">
        <f t="shared" ref="BL78" si="829">ROUND(BK78/12*$A$7,0)</f>
        <v>0</v>
      </c>
      <c r="BM78" s="288"/>
      <c r="BN78" s="79" t="e">
        <f t="shared" si="354"/>
        <v>#DIV/0!</v>
      </c>
      <c r="BO78" s="288"/>
      <c r="BP78" s="78">
        <f t="shared" ref="BP78" si="830">ROUND(BO78/12*$A$7,0)</f>
        <v>0</v>
      </c>
      <c r="BQ78" s="288"/>
      <c r="BR78" s="79" t="e">
        <f t="shared" si="356"/>
        <v>#DIV/0!</v>
      </c>
      <c r="BS78" s="245">
        <f t="shared" si="720"/>
        <v>514112</v>
      </c>
      <c r="BT78" s="245">
        <f t="shared" si="704"/>
        <v>514112</v>
      </c>
      <c r="BU78" s="245">
        <f t="shared" si="705"/>
        <v>486445</v>
      </c>
      <c r="BV78" s="239">
        <f t="shared" si="81"/>
        <v>94.618487800323663</v>
      </c>
    </row>
    <row r="79" spans="1:74" s="67" customFormat="1" ht="21" customHeight="1" x14ac:dyDescent="0.25">
      <c r="A79" s="38" t="s">
        <v>131</v>
      </c>
      <c r="B79" s="70"/>
      <c r="C79" s="493"/>
      <c r="D79" s="80">
        <f t="shared" ref="D79:D88" si="831">ROUND(C79/12*$A$7,0)</f>
        <v>0</v>
      </c>
      <c r="E79" s="493"/>
      <c r="F79" s="163">
        <f t="shared" ref="F79:F89" si="832">IF(D79=0,0,E79/D79*100)</f>
        <v>0</v>
      </c>
      <c r="G79" s="493">
        <v>6586</v>
      </c>
      <c r="H79" s="80">
        <f t="shared" si="815"/>
        <v>6586</v>
      </c>
      <c r="I79" s="493">
        <v>5285</v>
      </c>
      <c r="J79" s="163">
        <f t="shared" ref="J79:J89" si="833">IF(H79=0,0,I79/H79*100)</f>
        <v>80.245976313392049</v>
      </c>
      <c r="K79" s="493">
        <v>4710</v>
      </c>
      <c r="L79" s="80">
        <f t="shared" si="815"/>
        <v>4710</v>
      </c>
      <c r="M79" s="493">
        <v>12996</v>
      </c>
      <c r="N79" s="163">
        <f t="shared" ref="N79:N89" si="834">IF(L79=0,0,M79/L79*100)</f>
        <v>275.92356687898086</v>
      </c>
      <c r="O79" s="493"/>
      <c r="P79" s="80">
        <f t="shared" ref="P79" si="835">ROUND(O79/12*$A$7,0)</f>
        <v>0</v>
      </c>
      <c r="Q79" s="493"/>
      <c r="R79" s="163">
        <f t="shared" ref="R79:R89" si="836">IF(P79=0,0,Q79/P79*100)</f>
        <v>0</v>
      </c>
      <c r="S79" s="493"/>
      <c r="T79" s="80">
        <f t="shared" ref="T79" si="837">ROUND(S79/12*$A$7,0)</f>
        <v>0</v>
      </c>
      <c r="U79" s="493"/>
      <c r="V79" s="163">
        <f t="shared" ref="V79:V89" si="838">IF(T79=0,0,U79/T79*100)</f>
        <v>0</v>
      </c>
      <c r="W79" s="493"/>
      <c r="X79" s="80">
        <f t="shared" ref="X79" si="839">ROUND(W79/12*$A$7,0)</f>
        <v>0</v>
      </c>
      <c r="Y79" s="493"/>
      <c r="Z79" s="163">
        <f t="shared" ref="Z79:Z89" si="840">IF(X79=0,0,Y79/X79*100)</f>
        <v>0</v>
      </c>
      <c r="AA79" s="493"/>
      <c r="AB79" s="80">
        <f t="shared" ref="AB79" si="841">ROUND(AA79/12*$A$7,0)</f>
        <v>0</v>
      </c>
      <c r="AC79" s="493"/>
      <c r="AD79" s="81" t="e">
        <f t="shared" si="343"/>
        <v>#DIV/0!</v>
      </c>
      <c r="AE79" s="493">
        <v>21850</v>
      </c>
      <c r="AF79" s="80">
        <f t="shared" ref="AF79" si="842">ROUND(AE79/12*$A$7,0)</f>
        <v>21850</v>
      </c>
      <c r="AG79" s="493">
        <v>12465</v>
      </c>
      <c r="AH79" s="163">
        <f t="shared" ref="AH79:AH89" si="843">IF(AF79=0,0,AG79/AF79*100)</f>
        <v>57.048054919908466</v>
      </c>
      <c r="AI79" s="493">
        <v>49466</v>
      </c>
      <c r="AJ79" s="80">
        <f t="shared" ref="AJ79" si="844">ROUND(AI79/12*$A$7,0)</f>
        <v>49466</v>
      </c>
      <c r="AK79" s="493">
        <v>49624</v>
      </c>
      <c r="AL79" s="163">
        <f t="shared" ref="AL79:AL89" si="845">IF(AJ79=0,0,AK79/AJ79*100)</f>
        <v>100.31941131282093</v>
      </c>
      <c r="AM79" s="493"/>
      <c r="AN79" s="80">
        <f t="shared" ref="AN79" si="846">ROUND(AM79/12*$A$7,0)</f>
        <v>0</v>
      </c>
      <c r="AO79" s="493"/>
      <c r="AP79" s="163">
        <f t="shared" ref="AP79:AP89" si="847">IF(AN79=0,0,AO79/AN79*100)</f>
        <v>0</v>
      </c>
      <c r="AQ79" s="493"/>
      <c r="AR79" s="80">
        <f t="shared" ref="AR79" si="848">ROUND(AQ79/12*$A$7,0)</f>
        <v>0</v>
      </c>
      <c r="AS79" s="493"/>
      <c r="AT79" s="163">
        <f t="shared" ref="AT79:AT89" si="849">IF(AR79=0,0,AS79/AR79*100)</f>
        <v>0</v>
      </c>
      <c r="AU79" s="493"/>
      <c r="AV79" s="80">
        <f t="shared" ref="AV79" si="850">ROUND(AU79/12*$A$7,0)</f>
        <v>0</v>
      </c>
      <c r="AW79" s="493"/>
      <c r="AX79" s="163">
        <f t="shared" ref="AX79:AX89" si="851">IF(AV79=0,0,AW79/AV79*100)</f>
        <v>0</v>
      </c>
      <c r="AY79" s="493"/>
      <c r="AZ79" s="80">
        <f t="shared" ref="AZ79" si="852">ROUND(AY79/12*$A$7,0)</f>
        <v>0</v>
      </c>
      <c r="BA79" s="493"/>
      <c r="BB79" s="81" t="e">
        <f t="shared" si="350"/>
        <v>#DIV/0!</v>
      </c>
      <c r="BC79" s="493"/>
      <c r="BD79" s="80">
        <f t="shared" ref="BD79" si="853">ROUND(BC79/12*$A$7,0)</f>
        <v>0</v>
      </c>
      <c r="BE79" s="493"/>
      <c r="BF79" s="163">
        <f t="shared" ref="BF79:BF89" si="854">IF(BD79=0,0,BE79/BD79*100)</f>
        <v>0</v>
      </c>
      <c r="BG79" s="493"/>
      <c r="BH79" s="80">
        <f t="shared" ref="BH79" si="855">ROUND(BG79/12*$A$7,0)</f>
        <v>0</v>
      </c>
      <c r="BI79" s="493"/>
      <c r="BJ79" s="81"/>
      <c r="BK79" s="493"/>
      <c r="BL79" s="80">
        <f t="shared" ref="BL79" si="856">ROUND(BK79/12*$A$7,0)</f>
        <v>0</v>
      </c>
      <c r="BM79" s="493"/>
      <c r="BN79" s="81" t="e">
        <f t="shared" si="354"/>
        <v>#DIV/0!</v>
      </c>
      <c r="BO79" s="493"/>
      <c r="BP79" s="80">
        <f t="shared" ref="BP79" si="857">ROUND(BO79/12*$A$7,0)</f>
        <v>0</v>
      </c>
      <c r="BQ79" s="493"/>
      <c r="BR79" s="81" t="e">
        <f t="shared" si="356"/>
        <v>#DIV/0!</v>
      </c>
      <c r="BS79" s="245">
        <f t="shared" si="720"/>
        <v>82612</v>
      </c>
      <c r="BT79" s="245">
        <f t="shared" si="704"/>
        <v>82612</v>
      </c>
      <c r="BU79" s="245">
        <f t="shared" si="705"/>
        <v>80370</v>
      </c>
      <c r="BV79" s="239">
        <f t="shared" ref="BV79:BV89" si="858">IF(BT79=0,0,BU79/BT79*100)</f>
        <v>97.286108555657762</v>
      </c>
    </row>
    <row r="80" spans="1:74" s="67" customFormat="1" ht="21" customHeight="1" x14ac:dyDescent="0.25">
      <c r="A80" s="38" t="s">
        <v>134</v>
      </c>
      <c r="B80" s="59" t="s">
        <v>3</v>
      </c>
      <c r="C80" s="493">
        <v>13000</v>
      </c>
      <c r="D80" s="80">
        <f t="shared" si="831"/>
        <v>13000</v>
      </c>
      <c r="E80" s="493">
        <v>11827</v>
      </c>
      <c r="F80" s="163">
        <f t="shared" si="832"/>
        <v>90.976923076923072</v>
      </c>
      <c r="G80" s="493">
        <v>55524</v>
      </c>
      <c r="H80" s="80">
        <f t="shared" si="815"/>
        <v>55524</v>
      </c>
      <c r="I80" s="493">
        <v>55651</v>
      </c>
      <c r="J80" s="163">
        <f t="shared" si="833"/>
        <v>100.22872991859376</v>
      </c>
      <c r="K80" s="493">
        <v>15150</v>
      </c>
      <c r="L80" s="80">
        <f t="shared" si="815"/>
        <v>15150</v>
      </c>
      <c r="M80" s="493">
        <v>29159</v>
      </c>
      <c r="N80" s="163">
        <f t="shared" si="834"/>
        <v>192.46864686468649</v>
      </c>
      <c r="O80" s="493"/>
      <c r="P80" s="80">
        <f t="shared" ref="P80" si="859">ROUND(O80/12*$A$7,0)</f>
        <v>0</v>
      </c>
      <c r="Q80" s="493"/>
      <c r="R80" s="163">
        <f t="shared" si="836"/>
        <v>0</v>
      </c>
      <c r="S80" s="493"/>
      <c r="T80" s="80">
        <f t="shared" ref="T80" si="860">ROUND(S80/12*$A$7,0)</f>
        <v>0</v>
      </c>
      <c r="U80" s="493"/>
      <c r="V80" s="163">
        <f t="shared" si="838"/>
        <v>0</v>
      </c>
      <c r="W80" s="493"/>
      <c r="X80" s="80">
        <f t="shared" ref="X80" si="861">ROUND(W80/12*$A$7,0)</f>
        <v>0</v>
      </c>
      <c r="Y80" s="493"/>
      <c r="Z80" s="163">
        <f t="shared" si="840"/>
        <v>0</v>
      </c>
      <c r="AA80" s="493"/>
      <c r="AB80" s="80">
        <f t="shared" ref="AB80" si="862">ROUND(AA80/12*$A$7,0)</f>
        <v>0</v>
      </c>
      <c r="AC80" s="493"/>
      <c r="AD80" s="81" t="e">
        <f t="shared" si="343"/>
        <v>#DIV/0!</v>
      </c>
      <c r="AE80" s="493"/>
      <c r="AF80" s="80">
        <f t="shared" ref="AF80" si="863">ROUND(AE80/12*$A$7,0)</f>
        <v>0</v>
      </c>
      <c r="AG80" s="493"/>
      <c r="AH80" s="163">
        <f t="shared" si="843"/>
        <v>0</v>
      </c>
      <c r="AI80" s="493"/>
      <c r="AJ80" s="80">
        <f t="shared" ref="AJ80" si="864">ROUND(AI80/12*$A$7,0)</f>
        <v>0</v>
      </c>
      <c r="AK80" s="493"/>
      <c r="AL80" s="163">
        <f t="shared" si="845"/>
        <v>0</v>
      </c>
      <c r="AM80" s="493"/>
      <c r="AN80" s="80">
        <f t="shared" ref="AN80" si="865">ROUND(AM80/12*$A$7,0)</f>
        <v>0</v>
      </c>
      <c r="AO80" s="493"/>
      <c r="AP80" s="163">
        <f t="shared" si="847"/>
        <v>0</v>
      </c>
      <c r="AQ80" s="493"/>
      <c r="AR80" s="80">
        <f t="shared" ref="AR80" si="866">ROUND(AQ80/12*$A$7,0)</f>
        <v>0</v>
      </c>
      <c r="AS80" s="493"/>
      <c r="AT80" s="163">
        <f t="shared" si="849"/>
        <v>0</v>
      </c>
      <c r="AU80" s="493"/>
      <c r="AV80" s="80">
        <f t="shared" ref="AV80" si="867">ROUND(AU80/12*$A$7,0)</f>
        <v>0</v>
      </c>
      <c r="AW80" s="493"/>
      <c r="AX80" s="163">
        <f t="shared" si="851"/>
        <v>0</v>
      </c>
      <c r="AY80" s="493"/>
      <c r="AZ80" s="80">
        <f t="shared" ref="AZ80" si="868">ROUND(AY80/12*$A$7,0)</f>
        <v>0</v>
      </c>
      <c r="BA80" s="493"/>
      <c r="BB80" s="81" t="e">
        <f t="shared" si="350"/>
        <v>#DIV/0!</v>
      </c>
      <c r="BC80" s="493"/>
      <c r="BD80" s="80">
        <f t="shared" ref="BD80" si="869">ROUND(BC80/12*$A$7,0)</f>
        <v>0</v>
      </c>
      <c r="BE80" s="493"/>
      <c r="BF80" s="163">
        <f t="shared" si="854"/>
        <v>0</v>
      </c>
      <c r="BG80" s="493"/>
      <c r="BH80" s="80">
        <f t="shared" ref="BH80" si="870">ROUND(BG80/12*$A$7,0)</f>
        <v>0</v>
      </c>
      <c r="BI80" s="493"/>
      <c r="BJ80" s="81"/>
      <c r="BK80" s="493"/>
      <c r="BL80" s="80">
        <f t="shared" ref="BL80" si="871">ROUND(BK80/12*$A$7,0)</f>
        <v>0</v>
      </c>
      <c r="BM80" s="493"/>
      <c r="BN80" s="81" t="e">
        <f t="shared" si="354"/>
        <v>#DIV/0!</v>
      </c>
      <c r="BO80" s="493"/>
      <c r="BP80" s="80">
        <f t="shared" ref="BP80" si="872">ROUND(BO80/12*$A$7,0)</f>
        <v>0</v>
      </c>
      <c r="BQ80" s="493"/>
      <c r="BR80" s="81" t="e">
        <f t="shared" si="356"/>
        <v>#DIV/0!</v>
      </c>
      <c r="BS80" s="245">
        <f t="shared" si="720"/>
        <v>83674</v>
      </c>
      <c r="BT80" s="245">
        <f t="shared" si="704"/>
        <v>83674</v>
      </c>
      <c r="BU80" s="245">
        <f t="shared" si="705"/>
        <v>96637</v>
      </c>
      <c r="BV80" s="239">
        <f t="shared" si="858"/>
        <v>115.49226761001027</v>
      </c>
    </row>
    <row r="81" spans="1:74" ht="23.25" customHeight="1" x14ac:dyDescent="0.25">
      <c r="A81" s="33" t="s">
        <v>200</v>
      </c>
      <c r="B81" s="71"/>
      <c r="C81" s="288"/>
      <c r="D81" s="78">
        <f t="shared" si="831"/>
        <v>0</v>
      </c>
      <c r="E81" s="288"/>
      <c r="F81" s="99">
        <f t="shared" si="832"/>
        <v>0</v>
      </c>
      <c r="G81" s="288">
        <v>32000</v>
      </c>
      <c r="H81" s="78">
        <f t="shared" si="815"/>
        <v>32000</v>
      </c>
      <c r="I81" s="288">
        <v>34619</v>
      </c>
      <c r="J81" s="99">
        <f t="shared" si="833"/>
        <v>108.184375</v>
      </c>
      <c r="K81" s="288">
        <v>15150</v>
      </c>
      <c r="L81" s="78">
        <f t="shared" si="815"/>
        <v>15150</v>
      </c>
      <c r="M81" s="288">
        <v>29159</v>
      </c>
      <c r="N81" s="99">
        <f t="shared" si="834"/>
        <v>192.46864686468649</v>
      </c>
      <c r="O81" s="288"/>
      <c r="P81" s="78">
        <f t="shared" ref="P81" si="873">ROUND(O81/12*$A$7,0)</f>
        <v>0</v>
      </c>
      <c r="Q81" s="288"/>
      <c r="R81" s="99">
        <f t="shared" si="836"/>
        <v>0</v>
      </c>
      <c r="S81" s="288"/>
      <c r="T81" s="78">
        <f t="shared" ref="T81" si="874">ROUND(S81/12*$A$7,0)</f>
        <v>0</v>
      </c>
      <c r="U81" s="288"/>
      <c r="V81" s="99">
        <f t="shared" si="838"/>
        <v>0</v>
      </c>
      <c r="W81" s="288"/>
      <c r="X81" s="78">
        <f t="shared" ref="X81" si="875">ROUND(W81/12*$A$7,0)</f>
        <v>0</v>
      </c>
      <c r="Y81" s="288"/>
      <c r="Z81" s="99">
        <f t="shared" si="840"/>
        <v>0</v>
      </c>
      <c r="AA81" s="288"/>
      <c r="AB81" s="78">
        <f t="shared" ref="AB81" si="876">ROUND(AA81/12*$A$7,0)</f>
        <v>0</v>
      </c>
      <c r="AC81" s="288"/>
      <c r="AD81" s="79" t="e">
        <f t="shared" si="343"/>
        <v>#DIV/0!</v>
      </c>
      <c r="AE81" s="288"/>
      <c r="AF81" s="78">
        <f t="shared" ref="AF81" si="877">ROUND(AE81/12*$A$7,0)</f>
        <v>0</v>
      </c>
      <c r="AG81" s="288"/>
      <c r="AH81" s="99">
        <f t="shared" si="843"/>
        <v>0</v>
      </c>
      <c r="AI81" s="288"/>
      <c r="AJ81" s="78">
        <f t="shared" ref="AJ81" si="878">ROUND(AI81/12*$A$7,0)</f>
        <v>0</v>
      </c>
      <c r="AK81" s="288"/>
      <c r="AL81" s="99">
        <f t="shared" si="845"/>
        <v>0</v>
      </c>
      <c r="AM81" s="288"/>
      <c r="AN81" s="78">
        <f t="shared" ref="AN81" si="879">ROUND(AM81/12*$A$7,0)</f>
        <v>0</v>
      </c>
      <c r="AO81" s="288"/>
      <c r="AP81" s="99">
        <f t="shared" si="847"/>
        <v>0</v>
      </c>
      <c r="AQ81" s="288"/>
      <c r="AR81" s="78">
        <f t="shared" ref="AR81" si="880">ROUND(AQ81/12*$A$7,0)</f>
        <v>0</v>
      </c>
      <c r="AS81" s="288"/>
      <c r="AT81" s="99">
        <f t="shared" si="849"/>
        <v>0</v>
      </c>
      <c r="AU81" s="288"/>
      <c r="AV81" s="78">
        <f t="shared" ref="AV81" si="881">ROUND(AU81/12*$A$7,0)</f>
        <v>0</v>
      </c>
      <c r="AW81" s="288"/>
      <c r="AX81" s="99">
        <f t="shared" si="851"/>
        <v>0</v>
      </c>
      <c r="AY81" s="288"/>
      <c r="AZ81" s="78">
        <f t="shared" ref="AZ81" si="882">ROUND(AY81/12*$A$7,0)</f>
        <v>0</v>
      </c>
      <c r="BA81" s="288"/>
      <c r="BB81" s="79" t="e">
        <f t="shared" si="350"/>
        <v>#DIV/0!</v>
      </c>
      <c r="BC81" s="288"/>
      <c r="BD81" s="78">
        <f t="shared" ref="BD81:BD82" si="883">ROUND(BC81/12*$A$7,0)</f>
        <v>0</v>
      </c>
      <c r="BE81" s="288"/>
      <c r="BF81" s="99">
        <f t="shared" si="854"/>
        <v>0</v>
      </c>
      <c r="BG81" s="288"/>
      <c r="BH81" s="78">
        <f t="shared" ref="BH81" si="884">ROUND(BG81/12*$A$7,0)</f>
        <v>0</v>
      </c>
      <c r="BI81" s="288"/>
      <c r="BJ81" s="79"/>
      <c r="BK81" s="288"/>
      <c r="BL81" s="78">
        <f t="shared" ref="BL81" si="885">ROUND(BK81/12*$A$7,0)</f>
        <v>0</v>
      </c>
      <c r="BM81" s="288"/>
      <c r="BN81" s="79" t="e">
        <f t="shared" si="354"/>
        <v>#DIV/0!</v>
      </c>
      <c r="BO81" s="288"/>
      <c r="BP81" s="78">
        <f t="shared" ref="BP81" si="886">ROUND(BO81/12*$A$7,0)</f>
        <v>0</v>
      </c>
      <c r="BQ81" s="288"/>
      <c r="BR81" s="79" t="e">
        <f t="shared" si="356"/>
        <v>#DIV/0!</v>
      </c>
      <c r="BS81" s="245">
        <f t="shared" si="720"/>
        <v>47150</v>
      </c>
      <c r="BT81" s="245">
        <f t="shared" si="704"/>
        <v>47150</v>
      </c>
      <c r="BU81" s="245">
        <f t="shared" si="705"/>
        <v>63778</v>
      </c>
      <c r="BV81" s="239">
        <f t="shared" si="858"/>
        <v>135.2661717921527</v>
      </c>
    </row>
    <row r="82" spans="1:74" ht="23.25" customHeight="1" x14ac:dyDescent="0.25">
      <c r="A82" s="289" t="s">
        <v>201</v>
      </c>
      <c r="B82" s="71"/>
      <c r="C82" s="288"/>
      <c r="D82" s="78"/>
      <c r="E82" s="288"/>
      <c r="F82" s="99">
        <f t="shared" si="832"/>
        <v>0</v>
      </c>
      <c r="G82" s="288"/>
      <c r="H82" s="78"/>
      <c r="I82" s="288"/>
      <c r="J82" s="99">
        <f t="shared" si="833"/>
        <v>0</v>
      </c>
      <c r="K82" s="288"/>
      <c r="L82" s="78"/>
      <c r="M82" s="288"/>
      <c r="N82" s="99">
        <f t="shared" si="834"/>
        <v>0</v>
      </c>
      <c r="O82" s="288"/>
      <c r="P82" s="78"/>
      <c r="Q82" s="288"/>
      <c r="R82" s="99">
        <f t="shared" si="836"/>
        <v>0</v>
      </c>
      <c r="S82" s="288"/>
      <c r="T82" s="78"/>
      <c r="U82" s="288"/>
      <c r="V82" s="99">
        <f t="shared" si="838"/>
        <v>0</v>
      </c>
      <c r="W82" s="288"/>
      <c r="X82" s="78"/>
      <c r="Y82" s="288"/>
      <c r="Z82" s="99">
        <f t="shared" si="840"/>
        <v>0</v>
      </c>
      <c r="AA82" s="288"/>
      <c r="AB82" s="78"/>
      <c r="AC82" s="288"/>
      <c r="AD82" s="79"/>
      <c r="AE82" s="288"/>
      <c r="AF82" s="78"/>
      <c r="AG82" s="288"/>
      <c r="AH82" s="99">
        <f t="shared" si="843"/>
        <v>0</v>
      </c>
      <c r="AI82" s="288"/>
      <c r="AJ82" s="78"/>
      <c r="AK82" s="288"/>
      <c r="AL82" s="99">
        <f t="shared" si="845"/>
        <v>0</v>
      </c>
      <c r="AM82" s="288"/>
      <c r="AN82" s="78"/>
      <c r="AO82" s="288"/>
      <c r="AP82" s="99">
        <f t="shared" si="847"/>
        <v>0</v>
      </c>
      <c r="AQ82" s="288"/>
      <c r="AR82" s="78"/>
      <c r="AS82" s="288"/>
      <c r="AT82" s="99">
        <f t="shared" si="849"/>
        <v>0</v>
      </c>
      <c r="AU82" s="288"/>
      <c r="AV82" s="78"/>
      <c r="AW82" s="288"/>
      <c r="AX82" s="99">
        <f t="shared" si="851"/>
        <v>0</v>
      </c>
      <c r="AY82" s="288"/>
      <c r="AZ82" s="78"/>
      <c r="BA82" s="288"/>
      <c r="BB82" s="79"/>
      <c r="BC82" s="288">
        <v>500</v>
      </c>
      <c r="BD82" s="78">
        <f t="shared" si="883"/>
        <v>500</v>
      </c>
      <c r="BE82" s="288">
        <v>566</v>
      </c>
      <c r="BF82" s="99">
        <f t="shared" si="854"/>
        <v>113.19999999999999</v>
      </c>
      <c r="BG82" s="288"/>
      <c r="BH82" s="78"/>
      <c r="BI82" s="288"/>
      <c r="BJ82" s="79"/>
      <c r="BK82" s="288"/>
      <c r="BL82" s="78"/>
      <c r="BM82" s="288"/>
      <c r="BN82" s="79"/>
      <c r="BO82" s="288"/>
      <c r="BP82" s="78"/>
      <c r="BQ82" s="288"/>
      <c r="BR82" s="79"/>
      <c r="BS82" s="245">
        <f>BC82</f>
        <v>500</v>
      </c>
      <c r="BT82" s="245">
        <f>BD82</f>
        <v>500</v>
      </c>
      <c r="BU82" s="245">
        <f>BE82</f>
        <v>566</v>
      </c>
      <c r="BV82" s="239">
        <f t="shared" si="858"/>
        <v>113.19999999999999</v>
      </c>
    </row>
    <row r="83" spans="1:74" s="106" customFormat="1" x14ac:dyDescent="0.25">
      <c r="A83" s="94" t="s">
        <v>187</v>
      </c>
      <c r="B83" s="101"/>
      <c r="C83" s="272">
        <f>SUM(C25+C79*3.2+C80)</f>
        <v>137749</v>
      </c>
      <c r="D83" s="272">
        <f>SUM(D25+D79*3.2+D80)</f>
        <v>137749</v>
      </c>
      <c r="E83" s="272">
        <f>SUM(E25+E79*3.2+E80)</f>
        <v>135397</v>
      </c>
      <c r="F83" s="105">
        <f t="shared" si="832"/>
        <v>98.292546588359983</v>
      </c>
      <c r="G83" s="272">
        <f t="shared" ref="G83:H83" si="887">SUM(G25+G79*3.2+G80)</f>
        <v>85709.2</v>
      </c>
      <c r="H83" s="272">
        <f t="shared" si="887"/>
        <v>85709.2</v>
      </c>
      <c r="I83" s="272">
        <f t="shared" ref="I83" si="888">SUM(I25+I79*3.2+I80)</f>
        <v>87712</v>
      </c>
      <c r="J83" s="105">
        <f t="shared" si="833"/>
        <v>102.33673864649302</v>
      </c>
      <c r="K83" s="272">
        <f t="shared" ref="K83:L83" si="889">SUM(K25+K79*3.2+K80)</f>
        <v>128225</v>
      </c>
      <c r="L83" s="272">
        <f t="shared" si="889"/>
        <v>128225</v>
      </c>
      <c r="M83" s="272">
        <f t="shared" ref="M83" si="890">SUM(M25+M79*3.2+M80)</f>
        <v>131048.20000000001</v>
      </c>
      <c r="N83" s="105">
        <f t="shared" si="834"/>
        <v>102.20175472801716</v>
      </c>
      <c r="O83" s="272">
        <f t="shared" ref="O83:P83" si="891">SUM(O25+O79*3.2+O80)</f>
        <v>5000</v>
      </c>
      <c r="P83" s="272">
        <f t="shared" si="891"/>
        <v>5000</v>
      </c>
      <c r="Q83" s="272">
        <f t="shared" ref="Q83" si="892">SUM(Q25+Q79*3.2+Q80)</f>
        <v>3894</v>
      </c>
      <c r="R83" s="105">
        <f t="shared" si="836"/>
        <v>77.88000000000001</v>
      </c>
      <c r="S83" s="272">
        <f t="shared" ref="S83:T83" si="893">SUM(S25+S79*3.2+S80)</f>
        <v>10540</v>
      </c>
      <c r="T83" s="272">
        <f t="shared" si="893"/>
        <v>10540</v>
      </c>
      <c r="U83" s="272">
        <f t="shared" ref="U83" si="894">SUM(U25+U79*3.2+U80)</f>
        <v>13052</v>
      </c>
      <c r="V83" s="105">
        <f t="shared" si="838"/>
        <v>123.83301707779886</v>
      </c>
      <c r="W83" s="272">
        <f t="shared" ref="W83:X83" si="895">SUM(W25+W79*3.2+W80)</f>
        <v>2800</v>
      </c>
      <c r="X83" s="272">
        <f t="shared" si="895"/>
        <v>2800</v>
      </c>
      <c r="Y83" s="272">
        <f>SUM(Y25+Y79*3.2+Y80)</f>
        <v>628</v>
      </c>
      <c r="Z83" s="105">
        <f t="shared" si="840"/>
        <v>22.428571428571427</v>
      </c>
      <c r="AA83" s="272">
        <f t="shared" ref="AA83" si="896">SUM(AA25+AA79*3.2+AA80)</f>
        <v>0</v>
      </c>
      <c r="AB83" s="103">
        <f t="shared" ref="AB83" si="897">ROUND(AA83/12*$A$7,0)</f>
        <v>0</v>
      </c>
      <c r="AC83" s="272">
        <f t="shared" ref="AC83" si="898">SUM(AC25+AC79*3.2+AC80)</f>
        <v>0</v>
      </c>
      <c r="AD83" s="105" t="e">
        <f t="shared" si="343"/>
        <v>#DIV/0!</v>
      </c>
      <c r="AE83" s="272">
        <f t="shared" ref="AE83:AF83" si="899">SUM(AE25+AE79*3.2+AE80)</f>
        <v>162420</v>
      </c>
      <c r="AF83" s="272">
        <f t="shared" si="899"/>
        <v>162420</v>
      </c>
      <c r="AG83" s="272">
        <f t="shared" ref="AG83" si="900">SUM(AG25+AG79*3.2+AG80)</f>
        <v>143555</v>
      </c>
      <c r="AH83" s="105">
        <f t="shared" si="843"/>
        <v>88.385051102081022</v>
      </c>
      <c r="AI83" s="272">
        <f t="shared" ref="AI83:AJ83" si="901">SUM(AI25+AI79*3.2+AI80)</f>
        <v>259283.20000000001</v>
      </c>
      <c r="AJ83" s="272">
        <f t="shared" si="901"/>
        <v>259283.20000000001</v>
      </c>
      <c r="AK83" s="272">
        <f t="shared" ref="AK83" si="902">SUM(AK25+AK79*3.2+AK80)</f>
        <v>260237.80000000002</v>
      </c>
      <c r="AL83" s="105">
        <f t="shared" si="845"/>
        <v>100.36816885937847</v>
      </c>
      <c r="AM83" s="272">
        <f t="shared" ref="AM83:AO83" si="903">SUM(AM25+AM79*3.2+AM80)</f>
        <v>53996</v>
      </c>
      <c r="AN83" s="272">
        <f t="shared" si="903"/>
        <v>53996</v>
      </c>
      <c r="AO83" s="272">
        <f t="shared" si="903"/>
        <v>50972</v>
      </c>
      <c r="AP83" s="105">
        <f t="shared" si="847"/>
        <v>94.399585154455892</v>
      </c>
      <c r="AQ83" s="272">
        <f t="shared" ref="AQ83" si="904">SUM(AQ25+AQ79*3.2+AQ80)</f>
        <v>0</v>
      </c>
      <c r="AR83" s="103">
        <f t="shared" ref="AR83" si="905">ROUND(AQ83/12*$A$7,0)</f>
        <v>0</v>
      </c>
      <c r="AS83" s="272">
        <f t="shared" ref="AS83" si="906">SUM(AS25+AS79*3.2+AS80)</f>
        <v>0</v>
      </c>
      <c r="AT83" s="105">
        <f t="shared" si="849"/>
        <v>0</v>
      </c>
      <c r="AU83" s="272">
        <f t="shared" ref="AU83" si="907">SUM(AU25+AU79*3.2+AU80)</f>
        <v>0</v>
      </c>
      <c r="AV83" s="103">
        <f t="shared" ref="AV83" si="908">ROUND(AU83/12*$A$7,0)</f>
        <v>0</v>
      </c>
      <c r="AW83" s="272">
        <f t="shared" ref="AW83" si="909">SUM(AW25+AW79*3.2+AW80)</f>
        <v>0</v>
      </c>
      <c r="AX83" s="105">
        <f t="shared" si="851"/>
        <v>0</v>
      </c>
      <c r="AY83" s="272">
        <f t="shared" ref="AY83" si="910">SUM(AY25+AY79*3.2+AY80)</f>
        <v>0</v>
      </c>
      <c r="AZ83" s="103">
        <f t="shared" ref="AZ83" si="911">ROUND(AY83/12*$A$7,0)</f>
        <v>0</v>
      </c>
      <c r="BA83" s="272">
        <f t="shared" ref="BA83" si="912">SUM(BA25+BA79*3.2+BA80)</f>
        <v>0</v>
      </c>
      <c r="BB83" s="105" t="e">
        <f t="shared" si="350"/>
        <v>#DIV/0!</v>
      </c>
      <c r="BC83" s="272">
        <f t="shared" ref="BC83:BD83" si="913">SUM(BC25+BC79*3.2+BC80)</f>
        <v>89446</v>
      </c>
      <c r="BD83" s="272">
        <f t="shared" si="913"/>
        <v>89446</v>
      </c>
      <c r="BE83" s="272">
        <f t="shared" ref="BE83" si="914">SUM(BE25+BE79*3.2+BE80)</f>
        <v>85678</v>
      </c>
      <c r="BF83" s="105">
        <f t="shared" si="854"/>
        <v>95.787402455112584</v>
      </c>
      <c r="BG83" s="272">
        <f t="shared" ref="BG83" si="915">SUM(BG25+BG79*3.2+BG80)</f>
        <v>100</v>
      </c>
      <c r="BH83" s="103">
        <f t="shared" ref="BH83" si="916">ROUND(BG83/12*$A$7,0)</f>
        <v>100</v>
      </c>
      <c r="BI83" s="272">
        <f t="shared" ref="BI83" si="917">SUM(BI25+BI79*3.2+BI80)</f>
        <v>0</v>
      </c>
      <c r="BJ83" s="105">
        <f t="shared" si="828"/>
        <v>0</v>
      </c>
      <c r="BK83" s="272">
        <f t="shared" ref="BK83" si="918">SUM(BK25+BK79*3.2+BK80)</f>
        <v>0</v>
      </c>
      <c r="BL83" s="103">
        <f t="shared" ref="BL83" si="919">ROUND(BK83/12*$A$7,0)</f>
        <v>0</v>
      </c>
      <c r="BM83" s="272">
        <f t="shared" ref="BM83" si="920">SUM(BM25+BM79*3.2+BM80)</f>
        <v>0</v>
      </c>
      <c r="BN83" s="105" t="e">
        <f t="shared" si="354"/>
        <v>#DIV/0!</v>
      </c>
      <c r="BO83" s="272">
        <f t="shared" ref="BO83" si="921">SUM(BO25+BO79*3.2+BO80)</f>
        <v>0</v>
      </c>
      <c r="BP83" s="103">
        <f t="shared" ref="BP83" si="922">ROUND(BO83/12*$A$7,0)</f>
        <v>0</v>
      </c>
      <c r="BQ83" s="272">
        <f t="shared" ref="BQ83" si="923">SUM(BQ25+BQ79*3.2+BQ80)</f>
        <v>0</v>
      </c>
      <c r="BR83" s="105" t="e">
        <f t="shared" si="356"/>
        <v>#DIV/0!</v>
      </c>
      <c r="BS83" s="247">
        <f t="shared" ref="BS83:BU89" si="924">SUM(BG83,BC83,AY83,AU83,AQ83,AM83,AI83,AE83,AA83,W83,S83,O83,K83,G83,C83)+BK83+BO83</f>
        <v>935268.39999999991</v>
      </c>
      <c r="BT83" s="247">
        <f t="shared" si="924"/>
        <v>935268.39999999991</v>
      </c>
      <c r="BU83" s="247">
        <f t="shared" si="924"/>
        <v>912174</v>
      </c>
      <c r="BV83" s="239">
        <f t="shared" si="858"/>
        <v>97.530719523935588</v>
      </c>
    </row>
    <row r="84" spans="1:74" x14ac:dyDescent="0.25">
      <c r="A84" s="34" t="s">
        <v>184</v>
      </c>
      <c r="B84" s="71"/>
      <c r="C84" s="288"/>
      <c r="D84" s="78">
        <f t="shared" si="831"/>
        <v>0</v>
      </c>
      <c r="E84" s="288"/>
      <c r="F84" s="99">
        <f t="shared" si="832"/>
        <v>0</v>
      </c>
      <c r="G84" s="288"/>
      <c r="H84" s="78">
        <f t="shared" si="815"/>
        <v>0</v>
      </c>
      <c r="I84" s="288"/>
      <c r="J84" s="99">
        <f t="shared" si="833"/>
        <v>0</v>
      </c>
      <c r="K84" s="288"/>
      <c r="L84" s="78">
        <f t="shared" si="815"/>
        <v>0</v>
      </c>
      <c r="M84" s="288"/>
      <c r="N84" s="99">
        <f t="shared" si="834"/>
        <v>0</v>
      </c>
      <c r="O84" s="288"/>
      <c r="P84" s="78">
        <f t="shared" ref="P84" si="925">ROUND(O84/12*$A$7,0)</f>
        <v>0</v>
      </c>
      <c r="Q84" s="288"/>
      <c r="R84" s="99">
        <f t="shared" si="836"/>
        <v>0</v>
      </c>
      <c r="S84" s="288"/>
      <c r="T84" s="78">
        <f t="shared" ref="T84" si="926">ROUND(S84/12*$A$7,0)</f>
        <v>0</v>
      </c>
      <c r="U84" s="288"/>
      <c r="V84" s="99">
        <f t="shared" si="838"/>
        <v>0</v>
      </c>
      <c r="W84" s="288"/>
      <c r="X84" s="78">
        <f t="shared" ref="X84" si="927">ROUND(W84/12*$A$7,0)</f>
        <v>0</v>
      </c>
      <c r="Y84" s="288"/>
      <c r="Z84" s="99">
        <f t="shared" si="840"/>
        <v>0</v>
      </c>
      <c r="AA84" s="288"/>
      <c r="AB84" s="78">
        <f t="shared" ref="AB84" si="928">ROUND(AA84/12*$A$7,0)</f>
        <v>0</v>
      </c>
      <c r="AC84" s="288"/>
      <c r="AD84" s="79" t="e">
        <f t="shared" si="343"/>
        <v>#DIV/0!</v>
      </c>
      <c r="AE84" s="288"/>
      <c r="AF84" s="78">
        <f t="shared" ref="AF84" si="929">ROUND(AE84/12*$A$7,0)</f>
        <v>0</v>
      </c>
      <c r="AG84" s="288"/>
      <c r="AH84" s="99">
        <f t="shared" si="843"/>
        <v>0</v>
      </c>
      <c r="AI84" s="288"/>
      <c r="AJ84" s="78">
        <f t="shared" ref="AJ84" si="930">ROUND(AI84/12*$A$7,0)</f>
        <v>0</v>
      </c>
      <c r="AK84" s="288"/>
      <c r="AL84" s="99">
        <f t="shared" si="845"/>
        <v>0</v>
      </c>
      <c r="AM84" s="288"/>
      <c r="AN84" s="78">
        <f t="shared" ref="AN84" si="931">ROUND(AM84/12*$A$7,0)</f>
        <v>0</v>
      </c>
      <c r="AO84" s="288"/>
      <c r="AP84" s="99">
        <f t="shared" si="847"/>
        <v>0</v>
      </c>
      <c r="AQ84" s="288"/>
      <c r="AR84" s="78">
        <f t="shared" ref="AR84" si="932">ROUND(AQ84/12*$A$7,0)</f>
        <v>0</v>
      </c>
      <c r="AS84" s="288"/>
      <c r="AT84" s="99">
        <f t="shared" si="849"/>
        <v>0</v>
      </c>
      <c r="AU84" s="288"/>
      <c r="AV84" s="78">
        <f t="shared" ref="AV84" si="933">ROUND(AU84/12*$A$7,0)</f>
        <v>0</v>
      </c>
      <c r="AW84" s="288"/>
      <c r="AX84" s="99">
        <f t="shared" si="851"/>
        <v>0</v>
      </c>
      <c r="AY84" s="288"/>
      <c r="AZ84" s="78">
        <f t="shared" ref="AZ84" si="934">ROUND(AY84/12*$A$7,0)</f>
        <v>0</v>
      </c>
      <c r="BA84" s="288"/>
      <c r="BB84" s="79" t="e">
        <f t="shared" si="350"/>
        <v>#DIV/0!</v>
      </c>
      <c r="BC84" s="288"/>
      <c r="BD84" s="78">
        <f t="shared" ref="BD84" si="935">ROUND(BC84/12*$A$7,0)</f>
        <v>0</v>
      </c>
      <c r="BE84" s="288"/>
      <c r="BF84" s="99">
        <f t="shared" si="854"/>
        <v>0</v>
      </c>
      <c r="BG84" s="288"/>
      <c r="BH84" s="78">
        <f t="shared" ref="BH84" si="936">ROUND(BG84/12*$A$7,0)</f>
        <v>0</v>
      </c>
      <c r="BI84" s="288"/>
      <c r="BJ84" s="79"/>
      <c r="BK84" s="288"/>
      <c r="BL84" s="78">
        <f t="shared" ref="BL84" si="937">ROUND(BK84/12*$A$7,0)</f>
        <v>0</v>
      </c>
      <c r="BM84" s="288"/>
      <c r="BN84" s="79" t="e">
        <f t="shared" si="354"/>
        <v>#DIV/0!</v>
      </c>
      <c r="BO84" s="288"/>
      <c r="BP84" s="78">
        <f t="shared" ref="BP84" si="938">ROUND(BO84/12*$A$7,0)</f>
        <v>0</v>
      </c>
      <c r="BQ84" s="288"/>
      <c r="BR84" s="79" t="e">
        <f t="shared" si="356"/>
        <v>#DIV/0!</v>
      </c>
      <c r="BS84" s="245">
        <f t="shared" si="924"/>
        <v>0</v>
      </c>
      <c r="BT84" s="245">
        <f t="shared" si="924"/>
        <v>0</v>
      </c>
      <c r="BU84" s="245">
        <f t="shared" si="924"/>
        <v>0</v>
      </c>
      <c r="BV84" s="239">
        <f t="shared" si="858"/>
        <v>0</v>
      </c>
    </row>
    <row r="85" spans="1:74" ht="24" customHeight="1" x14ac:dyDescent="0.25">
      <c r="A85" s="30" t="s">
        <v>186</v>
      </c>
      <c r="B85" s="71"/>
      <c r="C85" s="288"/>
      <c r="D85" s="78">
        <f t="shared" si="831"/>
        <v>0</v>
      </c>
      <c r="E85" s="288"/>
      <c r="F85" s="99">
        <f t="shared" si="832"/>
        <v>0</v>
      </c>
      <c r="G85" s="288"/>
      <c r="H85" s="78">
        <f t="shared" si="815"/>
        <v>0</v>
      </c>
      <c r="I85" s="288"/>
      <c r="J85" s="99">
        <f t="shared" si="833"/>
        <v>0</v>
      </c>
      <c r="K85" s="288"/>
      <c r="L85" s="78">
        <f t="shared" si="815"/>
        <v>0</v>
      </c>
      <c r="M85" s="288"/>
      <c r="N85" s="99">
        <f t="shared" si="834"/>
        <v>0</v>
      </c>
      <c r="O85" s="288"/>
      <c r="P85" s="78">
        <f t="shared" ref="P85" si="939">ROUND(O85/12*$A$7,0)</f>
        <v>0</v>
      </c>
      <c r="Q85" s="288"/>
      <c r="R85" s="99">
        <f t="shared" si="836"/>
        <v>0</v>
      </c>
      <c r="S85" s="288"/>
      <c r="T85" s="78">
        <f t="shared" ref="T85" si="940">ROUND(S85/12*$A$7,0)</f>
        <v>0</v>
      </c>
      <c r="U85" s="288"/>
      <c r="V85" s="99">
        <f t="shared" si="838"/>
        <v>0</v>
      </c>
      <c r="W85" s="288"/>
      <c r="X85" s="78">
        <f t="shared" ref="X85" si="941">ROUND(W85/12*$A$7,0)</f>
        <v>0</v>
      </c>
      <c r="Y85" s="288"/>
      <c r="Z85" s="99">
        <f t="shared" si="840"/>
        <v>0</v>
      </c>
      <c r="AA85" s="288"/>
      <c r="AB85" s="78">
        <f t="shared" ref="AB85" si="942">ROUND(AA85/12*$A$7,0)</f>
        <v>0</v>
      </c>
      <c r="AC85" s="288"/>
      <c r="AD85" s="79" t="e">
        <f t="shared" si="343"/>
        <v>#DIV/0!</v>
      </c>
      <c r="AE85" s="288">
        <v>34000</v>
      </c>
      <c r="AF85" s="288">
        <v>34000</v>
      </c>
      <c r="AG85" s="288">
        <v>31036</v>
      </c>
      <c r="AH85" s="99">
        <f t="shared" si="843"/>
        <v>91.28235294117647</v>
      </c>
      <c r="AI85" s="288">
        <v>49800</v>
      </c>
      <c r="AJ85" s="288">
        <v>49800</v>
      </c>
      <c r="AK85" s="288">
        <v>50038.5</v>
      </c>
      <c r="AL85" s="99">
        <f t="shared" si="845"/>
        <v>100.47891566265059</v>
      </c>
      <c r="AM85" s="288"/>
      <c r="AN85" s="78">
        <f t="shared" ref="AN85" si="943">ROUND(AM85/12*$A$7,0)</f>
        <v>0</v>
      </c>
      <c r="AO85" s="288"/>
      <c r="AP85" s="99">
        <f t="shared" si="847"/>
        <v>0</v>
      </c>
      <c r="AQ85" s="288">
        <v>238003</v>
      </c>
      <c r="AR85" s="78">
        <v>238003</v>
      </c>
      <c r="AS85" s="288">
        <v>237844.25</v>
      </c>
      <c r="AT85" s="99">
        <f t="shared" si="849"/>
        <v>99.93329916009462</v>
      </c>
      <c r="AU85" s="288">
        <v>171302</v>
      </c>
      <c r="AV85" s="288">
        <v>171302</v>
      </c>
      <c r="AW85" s="362">
        <v>171558.5</v>
      </c>
      <c r="AX85" s="99">
        <f t="shared" si="851"/>
        <v>100.14973555475126</v>
      </c>
      <c r="AY85" s="288"/>
      <c r="AZ85" s="78">
        <f t="shared" ref="AZ85" si="944">ROUND(AY85/12*$A$7,0)</f>
        <v>0</v>
      </c>
      <c r="BA85" s="288"/>
      <c r="BB85" s="79" t="e">
        <f t="shared" si="350"/>
        <v>#DIV/0!</v>
      </c>
      <c r="BC85" s="288">
        <v>5275</v>
      </c>
      <c r="BD85" s="288">
        <v>5275</v>
      </c>
      <c r="BE85" s="288">
        <v>5310.75</v>
      </c>
      <c r="BF85" s="99">
        <f t="shared" si="854"/>
        <v>100.67772511848341</v>
      </c>
      <c r="BG85" s="288"/>
      <c r="BH85" s="78">
        <f t="shared" ref="BH85" si="945">ROUND(BG85/12*$A$7,0)</f>
        <v>0</v>
      </c>
      <c r="BI85" s="288"/>
      <c r="BJ85" s="79"/>
      <c r="BK85" s="288"/>
      <c r="BL85" s="78">
        <f t="shared" ref="BL85" si="946">ROUND(BK85/12*$A$7,0)</f>
        <v>0</v>
      </c>
      <c r="BM85" s="288"/>
      <c r="BN85" s="79" t="e">
        <f t="shared" si="354"/>
        <v>#DIV/0!</v>
      </c>
      <c r="BO85" s="288"/>
      <c r="BP85" s="78">
        <f t="shared" ref="BP85" si="947">ROUND(BO85/12*$A$7,0)</f>
        <v>0</v>
      </c>
      <c r="BQ85" s="288"/>
      <c r="BR85" s="79" t="e">
        <f t="shared" si="356"/>
        <v>#DIV/0!</v>
      </c>
      <c r="BS85" s="245">
        <f t="shared" si="924"/>
        <v>498380</v>
      </c>
      <c r="BT85" s="245">
        <f t="shared" si="924"/>
        <v>498380</v>
      </c>
      <c r="BU85" s="245">
        <f t="shared" si="924"/>
        <v>495788</v>
      </c>
      <c r="BV85" s="239">
        <f t="shared" si="858"/>
        <v>99.479914924354901</v>
      </c>
    </row>
    <row r="86" spans="1:74" s="106" customFormat="1" x14ac:dyDescent="0.25">
      <c r="A86" s="190" t="s">
        <v>185</v>
      </c>
      <c r="B86" s="101"/>
      <c r="C86" s="272">
        <f>C85/4</f>
        <v>0</v>
      </c>
      <c r="D86" s="103">
        <f t="shared" si="831"/>
        <v>0</v>
      </c>
      <c r="E86" s="272">
        <f>E85/4</f>
        <v>0</v>
      </c>
      <c r="F86" s="105">
        <f t="shared" si="832"/>
        <v>0</v>
      </c>
      <c r="G86" s="272">
        <f t="shared" ref="G86" si="948">G85/4</f>
        <v>0</v>
      </c>
      <c r="H86" s="103">
        <f t="shared" si="815"/>
        <v>0</v>
      </c>
      <c r="I86" s="272">
        <f t="shared" ref="I86" si="949">I85/4</f>
        <v>0</v>
      </c>
      <c r="J86" s="105">
        <f t="shared" si="833"/>
        <v>0</v>
      </c>
      <c r="K86" s="272">
        <f t="shared" ref="K86" si="950">K85/4</f>
        <v>0</v>
      </c>
      <c r="L86" s="103">
        <f t="shared" si="815"/>
        <v>0</v>
      </c>
      <c r="M86" s="272">
        <f t="shared" ref="M86" si="951">M85/4</f>
        <v>0</v>
      </c>
      <c r="N86" s="105">
        <f t="shared" si="834"/>
        <v>0</v>
      </c>
      <c r="O86" s="272">
        <f t="shared" ref="O86" si="952">O85/4</f>
        <v>0</v>
      </c>
      <c r="P86" s="103">
        <f t="shared" ref="P86" si="953">ROUND(O86/12*$A$7,0)</f>
        <v>0</v>
      </c>
      <c r="Q86" s="272">
        <f t="shared" ref="Q86" si="954">Q85/4</f>
        <v>0</v>
      </c>
      <c r="R86" s="105">
        <f t="shared" si="836"/>
        <v>0</v>
      </c>
      <c r="S86" s="272">
        <f t="shared" ref="S86" si="955">S85/4</f>
        <v>0</v>
      </c>
      <c r="T86" s="103">
        <f t="shared" ref="T86" si="956">ROUND(S86/12*$A$7,0)</f>
        <v>0</v>
      </c>
      <c r="U86" s="272">
        <f t="shared" ref="U86" si="957">U85/4</f>
        <v>0</v>
      </c>
      <c r="V86" s="105">
        <f t="shared" si="838"/>
        <v>0</v>
      </c>
      <c r="W86" s="272">
        <f t="shared" ref="W86" si="958">W85/4</f>
        <v>0</v>
      </c>
      <c r="X86" s="103">
        <f t="shared" ref="X86" si="959">ROUND(W86/12*$A$7,0)</f>
        <v>0</v>
      </c>
      <c r="Y86" s="272">
        <f t="shared" ref="Y86" si="960">Y85/4</f>
        <v>0</v>
      </c>
      <c r="Z86" s="105">
        <f t="shared" si="840"/>
        <v>0</v>
      </c>
      <c r="AA86" s="272">
        <f t="shared" ref="AA86" si="961">AA85/4</f>
        <v>0</v>
      </c>
      <c r="AB86" s="103">
        <f t="shared" ref="AB86" si="962">ROUND(AA86/12*$A$7,0)</f>
        <v>0</v>
      </c>
      <c r="AC86" s="272">
        <f t="shared" ref="AC86" si="963">AC85/4</f>
        <v>0</v>
      </c>
      <c r="AD86" s="105" t="e">
        <f t="shared" si="343"/>
        <v>#DIV/0!</v>
      </c>
      <c r="AE86" s="272">
        <f t="shared" ref="AE86:AF86" si="964">AE85/4</f>
        <v>8500</v>
      </c>
      <c r="AF86" s="272">
        <f t="shared" si="964"/>
        <v>8500</v>
      </c>
      <c r="AG86" s="272">
        <f t="shared" ref="AG86" si="965">AG85/4</f>
        <v>7759</v>
      </c>
      <c r="AH86" s="105">
        <f t="shared" si="843"/>
        <v>91.28235294117647</v>
      </c>
      <c r="AI86" s="272">
        <f t="shared" ref="AI86:AJ86" si="966">AI85/4</f>
        <v>12450</v>
      </c>
      <c r="AJ86" s="272">
        <f t="shared" si="966"/>
        <v>12450</v>
      </c>
      <c r="AK86" s="272">
        <f t="shared" ref="AK86" si="967">AK85/4</f>
        <v>12509.625</v>
      </c>
      <c r="AL86" s="105">
        <f t="shared" si="845"/>
        <v>100.47891566265059</v>
      </c>
      <c r="AM86" s="272">
        <f t="shared" ref="AM86" si="968">AM85/4</f>
        <v>0</v>
      </c>
      <c r="AN86" s="103">
        <f t="shared" ref="AN86" si="969">ROUND(AM86/12*$A$7,0)</f>
        <v>0</v>
      </c>
      <c r="AO86" s="272">
        <f t="shared" ref="AO86" si="970">AO85/4</f>
        <v>0</v>
      </c>
      <c r="AP86" s="105">
        <f t="shared" si="847"/>
        <v>0</v>
      </c>
      <c r="AQ86" s="272">
        <f t="shared" ref="AQ86" si="971">AQ85/4</f>
        <v>59500.75</v>
      </c>
      <c r="AR86" s="272">
        <f t="shared" ref="AR86" si="972">AR85/4</f>
        <v>59500.75</v>
      </c>
      <c r="AS86" s="272">
        <f t="shared" ref="AS86" si="973">AS85/4</f>
        <v>59461.0625</v>
      </c>
      <c r="AT86" s="105">
        <f t="shared" si="849"/>
        <v>99.93329916009462</v>
      </c>
      <c r="AU86" s="272">
        <f t="shared" ref="AU86" si="974">AU85/4</f>
        <v>42825.5</v>
      </c>
      <c r="AV86" s="272">
        <f t="shared" ref="AV86" si="975">AV85/4</f>
        <v>42825.5</v>
      </c>
      <c r="AW86" s="272">
        <f t="shared" ref="AW86" si="976">AW85/4</f>
        <v>42889.625</v>
      </c>
      <c r="AX86" s="105">
        <f t="shared" si="851"/>
        <v>100.14973555475126</v>
      </c>
      <c r="AY86" s="272">
        <f t="shared" ref="AY86" si="977">AY85/4</f>
        <v>0</v>
      </c>
      <c r="AZ86" s="103">
        <f t="shared" ref="AZ86" si="978">ROUND(AY86/12*$A$7,0)</f>
        <v>0</v>
      </c>
      <c r="BA86" s="272">
        <f t="shared" ref="BA86" si="979">BA85/4</f>
        <v>0</v>
      </c>
      <c r="BB86" s="105" t="e">
        <f t="shared" si="350"/>
        <v>#DIV/0!</v>
      </c>
      <c r="BC86" s="272">
        <f t="shared" ref="BC86:BD86" si="980">BC85/4</f>
        <v>1318.75</v>
      </c>
      <c r="BD86" s="272">
        <f t="shared" si="980"/>
        <v>1318.75</v>
      </c>
      <c r="BE86" s="272">
        <f t="shared" ref="BE86" si="981">BE85/4</f>
        <v>1327.6875</v>
      </c>
      <c r="BF86" s="105">
        <f t="shared" si="854"/>
        <v>100.67772511848341</v>
      </c>
      <c r="BG86" s="272">
        <f t="shared" ref="BG86" si="982">BG85/4</f>
        <v>0</v>
      </c>
      <c r="BH86" s="103">
        <f t="shared" ref="BH86" si="983">ROUND(BG86/12*$A$7,0)</f>
        <v>0</v>
      </c>
      <c r="BI86" s="272">
        <f t="shared" ref="BI86" si="984">BI85/4</f>
        <v>0</v>
      </c>
      <c r="BJ86" s="105"/>
      <c r="BK86" s="272">
        <f t="shared" ref="BK86" si="985">BK85/4</f>
        <v>0</v>
      </c>
      <c r="BL86" s="103">
        <f t="shared" ref="BL86" si="986">ROUND(BK86/12*$A$7,0)</f>
        <v>0</v>
      </c>
      <c r="BM86" s="272">
        <f t="shared" ref="BM86" si="987">BM85/4</f>
        <v>0</v>
      </c>
      <c r="BN86" s="105" t="e">
        <f t="shared" si="354"/>
        <v>#DIV/0!</v>
      </c>
      <c r="BO86" s="272">
        <f t="shared" ref="BO86" si="988">BO85/4</f>
        <v>0</v>
      </c>
      <c r="BP86" s="103">
        <f t="shared" ref="BP86" si="989">ROUND(BO86/12*$A$7,0)</f>
        <v>0</v>
      </c>
      <c r="BQ86" s="272">
        <f t="shared" ref="BQ86" si="990">BQ85/4</f>
        <v>0</v>
      </c>
      <c r="BR86" s="105" t="e">
        <f t="shared" si="356"/>
        <v>#DIV/0!</v>
      </c>
      <c r="BS86" s="247">
        <f t="shared" si="924"/>
        <v>124595</v>
      </c>
      <c r="BT86" s="247">
        <f t="shared" si="924"/>
        <v>124595</v>
      </c>
      <c r="BU86" s="247">
        <f t="shared" si="924"/>
        <v>123947</v>
      </c>
      <c r="BV86" s="335">
        <f t="shared" si="858"/>
        <v>99.479914924354901</v>
      </c>
    </row>
    <row r="87" spans="1:74" s="106" customFormat="1" x14ac:dyDescent="0.25">
      <c r="A87" s="94" t="s">
        <v>179</v>
      </c>
      <c r="B87" s="101"/>
      <c r="C87" s="272">
        <f>SUM(C86,C83)</f>
        <v>137749</v>
      </c>
      <c r="D87" s="272">
        <f>SUM(D86,D83)</f>
        <v>137749</v>
      </c>
      <c r="E87" s="272">
        <f t="shared" ref="E87" si="991">SUM(E86,E83)</f>
        <v>135397</v>
      </c>
      <c r="F87" s="105">
        <f t="shared" si="832"/>
        <v>98.292546588359983</v>
      </c>
      <c r="G87" s="272">
        <f t="shared" ref="G87:H87" si="992">SUM(G86,G83)</f>
        <v>85709.2</v>
      </c>
      <c r="H87" s="272">
        <f t="shared" si="992"/>
        <v>85709.2</v>
      </c>
      <c r="I87" s="272">
        <f t="shared" ref="I87:M87" si="993">SUM(I86,I83)</f>
        <v>87712</v>
      </c>
      <c r="J87" s="105">
        <f t="shared" si="833"/>
        <v>102.33673864649302</v>
      </c>
      <c r="K87" s="272">
        <f t="shared" ref="K87:L87" si="994">SUM(K86,K83)</f>
        <v>128225</v>
      </c>
      <c r="L87" s="272">
        <f t="shared" si="994"/>
        <v>128225</v>
      </c>
      <c r="M87" s="272">
        <f t="shared" si="993"/>
        <v>131048.20000000001</v>
      </c>
      <c r="N87" s="105">
        <f t="shared" si="834"/>
        <v>102.20175472801716</v>
      </c>
      <c r="O87" s="272">
        <f t="shared" ref="O87:P87" si="995">SUM(O86,O83)</f>
        <v>5000</v>
      </c>
      <c r="P87" s="272">
        <f t="shared" si="995"/>
        <v>5000</v>
      </c>
      <c r="Q87" s="272">
        <f t="shared" ref="Q87" si="996">SUM(Q86,Q83)</f>
        <v>3894</v>
      </c>
      <c r="R87" s="105">
        <f t="shared" si="836"/>
        <v>77.88000000000001</v>
      </c>
      <c r="S87" s="272">
        <f t="shared" ref="S87:T87" si="997">SUM(S86,S83)</f>
        <v>10540</v>
      </c>
      <c r="T87" s="272">
        <f t="shared" si="997"/>
        <v>10540</v>
      </c>
      <c r="U87" s="272">
        <f t="shared" ref="U87" si="998">SUM(U86,U83)</f>
        <v>13052</v>
      </c>
      <c r="V87" s="105">
        <f t="shared" si="838"/>
        <v>123.83301707779886</v>
      </c>
      <c r="W87" s="272">
        <f t="shared" ref="W87:X87" si="999">SUM(W86,W83)</f>
        <v>2800</v>
      </c>
      <c r="X87" s="272">
        <f t="shared" si="999"/>
        <v>2800</v>
      </c>
      <c r="Y87" s="272">
        <f t="shared" ref="Y87" si="1000">SUM(Y86,Y83)</f>
        <v>628</v>
      </c>
      <c r="Z87" s="105">
        <f t="shared" si="840"/>
        <v>22.428571428571427</v>
      </c>
      <c r="AA87" s="272">
        <f t="shared" ref="AA87" si="1001">SUM(AA86,AA83)</f>
        <v>0</v>
      </c>
      <c r="AB87" s="103">
        <f t="shared" ref="AB87" si="1002">ROUND(AA87/12*$A$7,0)</f>
        <v>0</v>
      </c>
      <c r="AC87" s="272">
        <f t="shared" ref="AC87" si="1003">SUM(AC86,AC83)</f>
        <v>0</v>
      </c>
      <c r="AD87" s="105" t="e">
        <f t="shared" si="343"/>
        <v>#DIV/0!</v>
      </c>
      <c r="AE87" s="272">
        <f t="shared" ref="AE87:AF87" si="1004">SUM(AE86,AE83)</f>
        <v>170920</v>
      </c>
      <c r="AF87" s="272">
        <f t="shared" si="1004"/>
        <v>170920</v>
      </c>
      <c r="AG87" s="272">
        <f t="shared" ref="AG87" si="1005">SUM(AG86,AG83)</f>
        <v>151314</v>
      </c>
      <c r="AH87" s="105">
        <f t="shared" si="843"/>
        <v>88.529136438099698</v>
      </c>
      <c r="AI87" s="272">
        <f t="shared" ref="AI87:AJ87" si="1006">SUM(AI86,AI83)</f>
        <v>271733.2</v>
      </c>
      <c r="AJ87" s="272">
        <f t="shared" si="1006"/>
        <v>271733.2</v>
      </c>
      <c r="AK87" s="272">
        <f t="shared" ref="AK87" si="1007">SUM(AK86,AK83)</f>
        <v>272747.42500000005</v>
      </c>
      <c r="AL87" s="105">
        <f t="shared" si="845"/>
        <v>100.37324294565406</v>
      </c>
      <c r="AM87" s="272">
        <f t="shared" ref="AM87" si="1008">SUM(AM86,AM83)</f>
        <v>53996</v>
      </c>
      <c r="AN87" s="103">
        <f t="shared" ref="AN87" si="1009">ROUND(AM87/12*$A$7,0)</f>
        <v>53996</v>
      </c>
      <c r="AO87" s="272">
        <f t="shared" ref="AO87" si="1010">SUM(AO86,AO83)</f>
        <v>50972</v>
      </c>
      <c r="AP87" s="105">
        <f t="shared" si="847"/>
        <v>94.399585154455892</v>
      </c>
      <c r="AQ87" s="272">
        <f t="shared" ref="AQ87" si="1011">SUM(AQ86,AQ83)</f>
        <v>59500.75</v>
      </c>
      <c r="AR87" s="272">
        <f t="shared" ref="AR87" si="1012">SUM(AR86,AR83)</f>
        <v>59500.75</v>
      </c>
      <c r="AS87" s="272">
        <f t="shared" ref="AS87" si="1013">SUM(AS86,AS83)</f>
        <v>59461.0625</v>
      </c>
      <c r="AT87" s="105">
        <f t="shared" si="849"/>
        <v>99.93329916009462</v>
      </c>
      <c r="AU87" s="272">
        <f t="shared" ref="AU87" si="1014">SUM(AU86,AU83)</f>
        <v>42825.5</v>
      </c>
      <c r="AV87" s="272">
        <f t="shared" ref="AV87" si="1015">SUM(AV86,AV83)</f>
        <v>42825.5</v>
      </c>
      <c r="AW87" s="272">
        <f t="shared" ref="AW87" si="1016">SUM(AW86,AW83)</f>
        <v>42889.625</v>
      </c>
      <c r="AX87" s="105">
        <f t="shared" si="851"/>
        <v>100.14973555475126</v>
      </c>
      <c r="AY87" s="272">
        <f t="shared" ref="AY87" si="1017">SUM(AY86,AY83)</f>
        <v>0</v>
      </c>
      <c r="AZ87" s="103">
        <f t="shared" ref="AZ87" si="1018">ROUND(AY87/12*$A$7,0)</f>
        <v>0</v>
      </c>
      <c r="BA87" s="272">
        <f t="shared" ref="BA87" si="1019">SUM(BA86,BA83)</f>
        <v>0</v>
      </c>
      <c r="BB87" s="105" t="e">
        <f t="shared" si="350"/>
        <v>#DIV/0!</v>
      </c>
      <c r="BC87" s="272">
        <f t="shared" ref="BC87:BD87" si="1020">SUM(BC86,BC83)</f>
        <v>90764.75</v>
      </c>
      <c r="BD87" s="272">
        <f t="shared" si="1020"/>
        <v>90764.75</v>
      </c>
      <c r="BE87" s="272">
        <f>SUM(BE86,BE83)</f>
        <v>87005.6875</v>
      </c>
      <c r="BF87" s="105">
        <f t="shared" si="854"/>
        <v>95.858455512740349</v>
      </c>
      <c r="BG87" s="272">
        <f t="shared" ref="BG87" si="1021">SUM(BG86,BG83)</f>
        <v>100</v>
      </c>
      <c r="BH87" s="103">
        <f t="shared" ref="BH87" si="1022">ROUND(BG87/12*$A$7,0)</f>
        <v>100</v>
      </c>
      <c r="BI87" s="272">
        <f t="shared" ref="BI87" si="1023">SUM(BI86,BI83)</f>
        <v>0</v>
      </c>
      <c r="BJ87" s="105">
        <f t="shared" si="828"/>
        <v>0</v>
      </c>
      <c r="BK87" s="272">
        <f t="shared" ref="BK87" si="1024">SUM(BK86,BK83)</f>
        <v>0</v>
      </c>
      <c r="BL87" s="103">
        <f t="shared" ref="BL87" si="1025">ROUND(BK87/12*$A$7,0)</f>
        <v>0</v>
      </c>
      <c r="BM87" s="272">
        <f t="shared" ref="BM87" si="1026">SUM(BM86,BM83)</f>
        <v>0</v>
      </c>
      <c r="BN87" s="105" t="e">
        <f t="shared" si="354"/>
        <v>#DIV/0!</v>
      </c>
      <c r="BO87" s="272">
        <f t="shared" ref="BO87" si="1027">SUM(BO86,BO83)</f>
        <v>0</v>
      </c>
      <c r="BP87" s="103">
        <f t="shared" ref="BP87" si="1028">ROUND(BO87/12*$A$7,0)</f>
        <v>0</v>
      </c>
      <c r="BQ87" s="272">
        <f t="shared" ref="BQ87" si="1029">SUM(BQ86,BQ83)</f>
        <v>0</v>
      </c>
      <c r="BR87" s="105" t="e">
        <f t="shared" si="356"/>
        <v>#DIV/0!</v>
      </c>
      <c r="BS87" s="247">
        <f t="shared" si="924"/>
        <v>1059863.3999999999</v>
      </c>
      <c r="BT87" s="247">
        <f t="shared" si="924"/>
        <v>1059863.3999999999</v>
      </c>
      <c r="BU87" s="247">
        <f t="shared" si="924"/>
        <v>1036121</v>
      </c>
      <c r="BV87" s="239">
        <f t="shared" si="858"/>
        <v>97.759862261495215</v>
      </c>
    </row>
    <row r="88" spans="1:74" x14ac:dyDescent="0.25">
      <c r="A88" s="34"/>
      <c r="B88" s="71"/>
      <c r="C88" s="288"/>
      <c r="D88" s="78">
        <f t="shared" si="831"/>
        <v>0</v>
      </c>
      <c r="E88" s="288"/>
      <c r="F88" s="99">
        <f t="shared" si="832"/>
        <v>0</v>
      </c>
      <c r="G88" s="288"/>
      <c r="H88" s="78">
        <f t="shared" si="815"/>
        <v>0</v>
      </c>
      <c r="I88" s="288"/>
      <c r="J88" s="99">
        <f t="shared" si="833"/>
        <v>0</v>
      </c>
      <c r="K88" s="288"/>
      <c r="L88" s="78">
        <f t="shared" si="815"/>
        <v>0</v>
      </c>
      <c r="M88" s="288"/>
      <c r="N88" s="99">
        <f t="shared" si="834"/>
        <v>0</v>
      </c>
      <c r="O88" s="288"/>
      <c r="P88" s="78">
        <f t="shared" ref="P88" si="1030">ROUND(O88/12*$A$7,0)</f>
        <v>0</v>
      </c>
      <c r="Q88" s="288"/>
      <c r="R88" s="99">
        <f t="shared" si="836"/>
        <v>0</v>
      </c>
      <c r="S88" s="288"/>
      <c r="T88" s="78">
        <f t="shared" ref="T88" si="1031">ROUND(S88/12*$A$7,0)</f>
        <v>0</v>
      </c>
      <c r="U88" s="288"/>
      <c r="V88" s="99">
        <f t="shared" si="838"/>
        <v>0</v>
      </c>
      <c r="W88" s="288"/>
      <c r="X88" s="78">
        <f t="shared" ref="X88" si="1032">ROUND(W88/12*$A$7,0)</f>
        <v>0</v>
      </c>
      <c r="Y88" s="288"/>
      <c r="Z88" s="99">
        <f t="shared" si="840"/>
        <v>0</v>
      </c>
      <c r="AA88" s="288"/>
      <c r="AB88" s="78">
        <f t="shared" ref="AB88" si="1033">ROUND(AA88/12*$A$7,0)</f>
        <v>0</v>
      </c>
      <c r="AC88" s="288"/>
      <c r="AD88" s="79" t="e">
        <f t="shared" si="343"/>
        <v>#DIV/0!</v>
      </c>
      <c r="AE88" s="214"/>
      <c r="AF88" s="97">
        <f t="shared" ref="AF88" si="1034">ROUND(AE88/12*$A$7,0)</f>
        <v>0</v>
      </c>
      <c r="AG88" s="288"/>
      <c r="AH88" s="99">
        <f t="shared" si="843"/>
        <v>0</v>
      </c>
      <c r="AI88" s="214"/>
      <c r="AJ88" s="97">
        <f t="shared" ref="AJ88" si="1035">ROUND(AI88/12*$A$7,0)</f>
        <v>0</v>
      </c>
      <c r="AK88" s="288"/>
      <c r="AL88" s="99">
        <f t="shared" si="845"/>
        <v>0</v>
      </c>
      <c r="AM88" s="288"/>
      <c r="AN88" s="78">
        <f t="shared" ref="AN88" si="1036">ROUND(AM88/12*$A$7,0)</f>
        <v>0</v>
      </c>
      <c r="AO88" s="288"/>
      <c r="AP88" s="99">
        <f t="shared" si="847"/>
        <v>0</v>
      </c>
      <c r="AQ88" s="288"/>
      <c r="AR88" s="78">
        <f t="shared" ref="AR88" si="1037">ROUND(AQ88/12*$A$7,0)</f>
        <v>0</v>
      </c>
      <c r="AS88" s="288"/>
      <c r="AT88" s="99">
        <f t="shared" si="849"/>
        <v>0</v>
      </c>
      <c r="AU88" s="288"/>
      <c r="AV88" s="78">
        <f t="shared" ref="AV88" si="1038">ROUND(AU88/12*$A$7,0)</f>
        <v>0</v>
      </c>
      <c r="AW88" s="288"/>
      <c r="AX88" s="99">
        <f t="shared" si="851"/>
        <v>0</v>
      </c>
      <c r="AY88" s="288"/>
      <c r="AZ88" s="78">
        <f t="shared" ref="AZ88" si="1039">ROUND(AY88/12*$A$7,0)</f>
        <v>0</v>
      </c>
      <c r="BA88" s="288"/>
      <c r="BB88" s="79" t="e">
        <f t="shared" si="350"/>
        <v>#DIV/0!</v>
      </c>
      <c r="BC88" s="288"/>
      <c r="BD88" s="78">
        <f t="shared" ref="BD88" si="1040">ROUND(BC88/12*$A$7,0)</f>
        <v>0</v>
      </c>
      <c r="BE88" s="288"/>
      <c r="BF88" s="99">
        <f t="shared" si="854"/>
        <v>0</v>
      </c>
      <c r="BG88" s="288"/>
      <c r="BH88" s="78">
        <f t="shared" ref="BH88" si="1041">ROUND(BG88/12*$A$7,0)</f>
        <v>0</v>
      </c>
      <c r="BI88" s="288"/>
      <c r="BJ88" s="79"/>
      <c r="BK88" s="288"/>
      <c r="BL88" s="78">
        <f t="shared" ref="BL88" si="1042">ROUND(BK88/12*$A$7,0)</f>
        <v>0</v>
      </c>
      <c r="BM88" s="288"/>
      <c r="BN88" s="79" t="e">
        <f t="shared" si="354"/>
        <v>#DIV/0!</v>
      </c>
      <c r="BO88" s="288"/>
      <c r="BP88" s="78">
        <f t="shared" ref="BP88" si="1043">ROUND(BO88/12*$A$7,0)</f>
        <v>0</v>
      </c>
      <c r="BQ88" s="288"/>
      <c r="BR88" s="79" t="e">
        <f t="shared" si="356"/>
        <v>#DIV/0!</v>
      </c>
      <c r="BS88" s="245">
        <f t="shared" si="924"/>
        <v>0</v>
      </c>
      <c r="BT88" s="245">
        <f t="shared" si="924"/>
        <v>0</v>
      </c>
      <c r="BU88" s="245">
        <f t="shared" si="924"/>
        <v>0</v>
      </c>
      <c r="BV88" s="239">
        <f t="shared" si="858"/>
        <v>0</v>
      </c>
    </row>
    <row r="89" spans="1:74" s="111" customFormat="1" x14ac:dyDescent="0.25">
      <c r="A89" s="87" t="s">
        <v>180</v>
      </c>
      <c r="B89" s="108"/>
      <c r="C89" s="109">
        <f>SUM(C87,C23)</f>
        <v>137749</v>
      </c>
      <c r="D89" s="109">
        <f>SUM(D87,D23)</f>
        <v>137749</v>
      </c>
      <c r="E89" s="109">
        <f>SUM(E87,E23)</f>
        <v>135397</v>
      </c>
      <c r="F89" s="110">
        <f t="shared" si="832"/>
        <v>98.292546588359983</v>
      </c>
      <c r="G89" s="109">
        <f t="shared" ref="G89:I89" si="1044">SUM(G87,G23)</f>
        <v>85709.2</v>
      </c>
      <c r="H89" s="109">
        <f t="shared" si="1044"/>
        <v>85709.2</v>
      </c>
      <c r="I89" s="109">
        <f t="shared" si="1044"/>
        <v>87712</v>
      </c>
      <c r="J89" s="110">
        <f t="shared" si="833"/>
        <v>102.33673864649302</v>
      </c>
      <c r="K89" s="109">
        <f t="shared" ref="K89:M89" si="1045">SUM(K87,K23)</f>
        <v>128225</v>
      </c>
      <c r="L89" s="109">
        <f t="shared" si="1045"/>
        <v>128225</v>
      </c>
      <c r="M89" s="109">
        <f t="shared" si="1045"/>
        <v>131048.20000000001</v>
      </c>
      <c r="N89" s="110">
        <f t="shared" si="834"/>
        <v>102.20175472801716</v>
      </c>
      <c r="O89" s="109">
        <f t="shared" ref="O89:Q89" si="1046">SUM(O87,O23)</f>
        <v>5000</v>
      </c>
      <c r="P89" s="109">
        <f t="shared" si="1046"/>
        <v>5000</v>
      </c>
      <c r="Q89" s="109">
        <f t="shared" si="1046"/>
        <v>3894</v>
      </c>
      <c r="R89" s="110">
        <f t="shared" si="836"/>
        <v>77.88000000000001</v>
      </c>
      <c r="S89" s="109">
        <f t="shared" ref="S89:U89" si="1047">SUM(S87,S23)</f>
        <v>10540</v>
      </c>
      <c r="T89" s="109">
        <f t="shared" si="1047"/>
        <v>10540</v>
      </c>
      <c r="U89" s="109">
        <f t="shared" si="1047"/>
        <v>13052</v>
      </c>
      <c r="V89" s="110">
        <f t="shared" si="838"/>
        <v>123.83301707779886</v>
      </c>
      <c r="W89" s="109">
        <f t="shared" ref="W89:Y89" si="1048">SUM(W87,W23)</f>
        <v>31011.800000000003</v>
      </c>
      <c r="X89" s="109">
        <f t="shared" si="1048"/>
        <v>31011.800000000003</v>
      </c>
      <c r="Y89" s="109">
        <f t="shared" si="1048"/>
        <v>21160.175000000003</v>
      </c>
      <c r="Z89" s="110">
        <f t="shared" si="840"/>
        <v>68.232656601680645</v>
      </c>
      <c r="AA89" s="109">
        <f t="shared" ref="AA89:AC89" si="1049">SUM(AA87,AA23)</f>
        <v>0</v>
      </c>
      <c r="AB89" s="109">
        <f t="shared" si="1049"/>
        <v>0</v>
      </c>
      <c r="AC89" s="109">
        <f t="shared" si="1049"/>
        <v>0</v>
      </c>
      <c r="AD89" s="110" t="e">
        <f t="shared" si="343"/>
        <v>#DIV/0!</v>
      </c>
      <c r="AE89" s="109">
        <f t="shared" ref="AE89:AG89" si="1050">SUM(AE87,AE23)</f>
        <v>170920</v>
      </c>
      <c r="AF89" s="109">
        <f t="shared" si="1050"/>
        <v>170920</v>
      </c>
      <c r="AG89" s="109">
        <f t="shared" si="1050"/>
        <v>151314</v>
      </c>
      <c r="AH89" s="110">
        <f t="shared" si="843"/>
        <v>88.529136438099698</v>
      </c>
      <c r="AI89" s="109">
        <f t="shared" ref="AI89:AK89" si="1051">SUM(AI87,AI23)</f>
        <v>271733.2</v>
      </c>
      <c r="AJ89" s="109">
        <f t="shared" si="1051"/>
        <v>271733.2</v>
      </c>
      <c r="AK89" s="109">
        <f t="shared" si="1051"/>
        <v>272747.42500000005</v>
      </c>
      <c r="AL89" s="110">
        <f t="shared" si="845"/>
        <v>100.37324294565406</v>
      </c>
      <c r="AM89" s="109">
        <f t="shared" ref="AM89:AO89" si="1052">SUM(AM87,AM23)</f>
        <v>53996</v>
      </c>
      <c r="AN89" s="109">
        <f t="shared" si="1052"/>
        <v>53996</v>
      </c>
      <c r="AO89" s="109">
        <f t="shared" si="1052"/>
        <v>50972</v>
      </c>
      <c r="AP89" s="110">
        <f t="shared" si="847"/>
        <v>94.399585154455892</v>
      </c>
      <c r="AQ89" s="109">
        <f t="shared" ref="AQ89:AS89" si="1053">SUM(AQ87,AQ23)</f>
        <v>59500.75</v>
      </c>
      <c r="AR89" s="109">
        <f t="shared" si="1053"/>
        <v>59500.75</v>
      </c>
      <c r="AS89" s="109">
        <f t="shared" si="1053"/>
        <v>59461.0625</v>
      </c>
      <c r="AT89" s="110">
        <f t="shared" si="849"/>
        <v>99.93329916009462</v>
      </c>
      <c r="AU89" s="109">
        <f t="shared" ref="AU89:AW89" si="1054">SUM(AU87,AU23)</f>
        <v>42825.5</v>
      </c>
      <c r="AV89" s="109">
        <f t="shared" si="1054"/>
        <v>42825.5</v>
      </c>
      <c r="AW89" s="109">
        <f t="shared" si="1054"/>
        <v>42889.625</v>
      </c>
      <c r="AX89" s="110">
        <f t="shared" si="851"/>
        <v>100.14973555475126</v>
      </c>
      <c r="AY89" s="109">
        <f t="shared" ref="AY89:BA89" si="1055">SUM(AY87,AY23)</f>
        <v>0</v>
      </c>
      <c r="AZ89" s="109">
        <f t="shared" si="1055"/>
        <v>0</v>
      </c>
      <c r="BA89" s="109">
        <f t="shared" si="1055"/>
        <v>0</v>
      </c>
      <c r="BB89" s="110" t="e">
        <f t="shared" si="350"/>
        <v>#DIV/0!</v>
      </c>
      <c r="BC89" s="109">
        <f t="shared" ref="BC89:BE89" si="1056">SUM(BC87,BC23)</f>
        <v>90764.75</v>
      </c>
      <c r="BD89" s="109">
        <f t="shared" si="1056"/>
        <v>90764.75</v>
      </c>
      <c r="BE89" s="109">
        <f t="shared" si="1056"/>
        <v>87005.6875</v>
      </c>
      <c r="BF89" s="110">
        <f t="shared" si="854"/>
        <v>95.858455512740349</v>
      </c>
      <c r="BG89" s="109">
        <f t="shared" ref="BG89:BI89" si="1057">SUM(BG87,BG23)</f>
        <v>100</v>
      </c>
      <c r="BH89" s="109">
        <f t="shared" si="1057"/>
        <v>100</v>
      </c>
      <c r="BI89" s="109">
        <f t="shared" si="1057"/>
        <v>0</v>
      </c>
      <c r="BJ89" s="110">
        <f t="shared" si="828"/>
        <v>0</v>
      </c>
      <c r="BK89" s="109">
        <f t="shared" ref="BK89:BM89" si="1058">SUM(BK87,BK23)</f>
        <v>0</v>
      </c>
      <c r="BL89" s="109">
        <f t="shared" si="1058"/>
        <v>0</v>
      </c>
      <c r="BM89" s="109">
        <f t="shared" si="1058"/>
        <v>0</v>
      </c>
      <c r="BN89" s="110" t="e">
        <f t="shared" si="354"/>
        <v>#DIV/0!</v>
      </c>
      <c r="BO89" s="109">
        <f t="shared" ref="BO89:BQ89" si="1059">SUM(BO87,BO23)</f>
        <v>0</v>
      </c>
      <c r="BP89" s="109">
        <f t="shared" si="1059"/>
        <v>0</v>
      </c>
      <c r="BQ89" s="109">
        <f t="shared" si="1059"/>
        <v>0</v>
      </c>
      <c r="BR89" s="110" t="e">
        <f t="shared" si="356"/>
        <v>#DIV/0!</v>
      </c>
      <c r="BS89" s="247">
        <f t="shared" si="924"/>
        <v>1088075.2</v>
      </c>
      <c r="BT89" s="247">
        <f t="shared" si="924"/>
        <v>1088075.2</v>
      </c>
      <c r="BU89" s="247">
        <f t="shared" si="924"/>
        <v>1056653.175</v>
      </c>
      <c r="BV89" s="335">
        <f t="shared" si="858"/>
        <v>97.112145833302705</v>
      </c>
    </row>
    <row r="90" spans="1:74" x14ac:dyDescent="0.25">
      <c r="Y90" s="61" t="s">
        <v>354</v>
      </c>
    </row>
  </sheetData>
  <customSheetViews>
    <customSheetView guid="{C4C3C6EA-4E99-4A9E-A26B-FFCC7AED73F2}">
      <pane xSplit="3" ySplit="11" topLeftCell="V18" activePane="bottomRight" state="frozen"/>
      <selection pane="bottomRight" activeCell="AA18" sqref="AA18"/>
      <pageMargins left="0.7" right="0.7" top="0.75" bottom="0.75" header="0.3" footer="0.3"/>
    </customSheetView>
    <customSheetView guid="{7AB5B88D-359A-416D-9EE2-70D3717CE362}">
      <pane xSplit="3" ySplit="11" topLeftCell="AZ24" activePane="bottomRight" state="frozen"/>
      <selection pane="bottomRight" activeCell="BE16" sqref="BE16"/>
      <pageMargins left="0.7" right="0.7" top="0.75" bottom="0.75" header="0.3" footer="0.3"/>
    </customSheetView>
    <customSheetView guid="{54C0345E-C30A-4773-9BED-454F3B675FBE}">
      <pane xSplit="2" ySplit="10" topLeftCell="AE18" activePane="bottomRight" state="frozen"/>
      <selection pane="bottomRight" activeCell="AL23" sqref="AL23"/>
      <pageMargins left="0.7" right="0.7" top="0.75" bottom="0.75" header="0.3" footer="0.3"/>
    </customSheetView>
  </customSheetViews>
  <mergeCells count="90">
    <mergeCell ref="A1:H2"/>
    <mergeCell ref="BK6:BN6"/>
    <mergeCell ref="AQ8:AT8"/>
    <mergeCell ref="AU8:AX8"/>
    <mergeCell ref="AY8:BB8"/>
    <mergeCell ref="BC8:BF8"/>
    <mergeCell ref="AY7:BB7"/>
    <mergeCell ref="BC7:BF7"/>
    <mergeCell ref="AU6:AX6"/>
    <mergeCell ref="AY6:BB6"/>
    <mergeCell ref="BC6:BF6"/>
    <mergeCell ref="BG6:BJ6"/>
    <mergeCell ref="AU7:AX7"/>
    <mergeCell ref="C7:F7"/>
    <mergeCell ref="G7:J7"/>
    <mergeCell ref="AE7:AH7"/>
    <mergeCell ref="AI7:AL7"/>
    <mergeCell ref="B4:B6"/>
    <mergeCell ref="C4:F4"/>
    <mergeCell ref="G4:J4"/>
    <mergeCell ref="K4:N4"/>
    <mergeCell ref="O4:R4"/>
    <mergeCell ref="S4:V4"/>
    <mergeCell ref="W4:Z4"/>
    <mergeCell ref="AA4:AD4"/>
    <mergeCell ref="AE4:AH4"/>
    <mergeCell ref="C6:F6"/>
    <mergeCell ref="W5:Z5"/>
    <mergeCell ref="AA5:AD5"/>
    <mergeCell ref="G6:J6"/>
    <mergeCell ref="K6:N6"/>
    <mergeCell ref="O6:R6"/>
    <mergeCell ref="C5:F5"/>
    <mergeCell ref="G5:J5"/>
    <mergeCell ref="K5:N5"/>
    <mergeCell ref="O5:R5"/>
    <mergeCell ref="S5:V5"/>
    <mergeCell ref="AU5:AX5"/>
    <mergeCell ref="AY5:BB5"/>
    <mergeCell ref="AI6:AL6"/>
    <mergeCell ref="AM6:AP6"/>
    <mergeCell ref="AQ6:AT6"/>
    <mergeCell ref="AM5:AP5"/>
    <mergeCell ref="S6:V6"/>
    <mergeCell ref="W6:Z6"/>
    <mergeCell ref="AE6:AH6"/>
    <mergeCell ref="AQ5:AT5"/>
    <mergeCell ref="AE5:AH5"/>
    <mergeCell ref="C8:F8"/>
    <mergeCell ref="G8:J8"/>
    <mergeCell ref="K8:N8"/>
    <mergeCell ref="O8:R8"/>
    <mergeCell ref="S8:V8"/>
    <mergeCell ref="K7:N7"/>
    <mergeCell ref="O7:R7"/>
    <mergeCell ref="S7:V7"/>
    <mergeCell ref="W7:Z7"/>
    <mergeCell ref="AA7:AD7"/>
    <mergeCell ref="AY4:BB4"/>
    <mergeCell ref="BC4:BF4"/>
    <mergeCell ref="AU4:AX4"/>
    <mergeCell ref="W8:Z8"/>
    <mergeCell ref="AA8:AD8"/>
    <mergeCell ref="AE8:AH8"/>
    <mergeCell ref="AI8:AL8"/>
    <mergeCell ref="AM8:AP8"/>
    <mergeCell ref="AM7:AP7"/>
    <mergeCell ref="AQ7:AT7"/>
    <mergeCell ref="AA6:AD6"/>
    <mergeCell ref="AI4:AL4"/>
    <mergeCell ref="AM4:AP4"/>
    <mergeCell ref="AQ4:AT4"/>
    <mergeCell ref="BC5:BF5"/>
    <mergeCell ref="AI5:AL5"/>
    <mergeCell ref="BW8:BY8"/>
    <mergeCell ref="BG8:BJ8"/>
    <mergeCell ref="BK7:BN7"/>
    <mergeCell ref="BK8:BN8"/>
    <mergeCell ref="BO4:BR4"/>
    <mergeCell ref="BO5:BR5"/>
    <mergeCell ref="BO6:BR6"/>
    <mergeCell ref="BO7:BR7"/>
    <mergeCell ref="BO8:BR8"/>
    <mergeCell ref="BG5:BJ5"/>
    <mergeCell ref="BS8:BV8"/>
    <mergeCell ref="BG7:BJ7"/>
    <mergeCell ref="BS4:BV7"/>
    <mergeCell ref="BG4:BJ4"/>
    <mergeCell ref="BK4:BN4"/>
    <mergeCell ref="BK5:BN5"/>
  </mergeCells>
  <pageMargins left="0" right="0" top="0" bottom="0" header="0.31496062992125984" footer="0.31496062992125984"/>
  <pageSetup paperSize="9" scale="5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95"/>
  <sheetViews>
    <sheetView zoomScaleNormal="100" zoomScaleSheetLayoutView="100" workbookViewId="0">
      <pane xSplit="1" ySplit="9" topLeftCell="EK82" activePane="bottomRight" state="frozen"/>
      <selection pane="topRight" activeCell="C1" sqref="C1"/>
      <selection pane="bottomLeft" activeCell="A10" sqref="A10"/>
      <selection pane="bottomRight" activeCell="FA93" sqref="FA93"/>
    </sheetView>
  </sheetViews>
  <sheetFormatPr defaultRowHeight="12.75" x14ac:dyDescent="0.2"/>
  <cols>
    <col min="1" max="1" width="53.7109375" style="127" customWidth="1"/>
    <col min="2" max="2" width="11.7109375" style="127" customWidth="1"/>
    <col min="3" max="3" width="12.140625" style="127" hidden="1" customWidth="1"/>
    <col min="4" max="4" width="13.140625" style="127" hidden="1" customWidth="1"/>
    <col min="5" max="5" width="14.28515625" style="127" hidden="1" customWidth="1"/>
    <col min="6" max="6" width="12.7109375" style="127" hidden="1" customWidth="1"/>
    <col min="7" max="7" width="12.140625" style="127" customWidth="1"/>
    <col min="8" max="8" width="13.140625" style="127" hidden="1" customWidth="1"/>
    <col min="9" max="9" width="14.28515625" style="127" customWidth="1"/>
    <col min="10" max="10" width="14.140625" style="127" bestFit="1" customWidth="1"/>
    <col min="11" max="11" width="12.140625" style="127" hidden="1" customWidth="1"/>
    <col min="12" max="12" width="13.140625" style="127" hidden="1" customWidth="1"/>
    <col min="13" max="13" width="14.28515625" style="127" hidden="1" customWidth="1"/>
    <col min="14" max="14" width="13.28515625" style="127" hidden="1" customWidth="1"/>
    <col min="15" max="15" width="12.140625" style="127" customWidth="1"/>
    <col min="16" max="16" width="13.140625" style="127" hidden="1" customWidth="1"/>
    <col min="17" max="17" width="14.28515625" style="127" customWidth="1"/>
    <col min="18" max="18" width="15.140625" style="127" customWidth="1"/>
    <col min="19" max="19" width="12.140625" style="127" customWidth="1"/>
    <col min="20" max="20" width="13.140625" style="127" hidden="1" customWidth="1"/>
    <col min="21" max="21" width="14.28515625" style="127" customWidth="1"/>
    <col min="22" max="22" width="15.140625" style="127" customWidth="1"/>
    <col min="23" max="23" width="12.140625" style="127" customWidth="1"/>
    <col min="24" max="24" width="13.140625" style="127" hidden="1" customWidth="1"/>
    <col min="25" max="25" width="14.28515625" style="127" customWidth="1"/>
    <col min="26" max="26" width="11" style="127" customWidth="1"/>
    <col min="27" max="27" width="12.140625" style="127" customWidth="1"/>
    <col min="28" max="28" width="13.140625" style="127" hidden="1" customWidth="1"/>
    <col min="29" max="29" width="14.28515625" style="127" customWidth="1"/>
    <col min="30" max="30" width="14" style="127" customWidth="1"/>
    <col min="31" max="31" width="12.140625" style="127" customWidth="1"/>
    <col min="32" max="32" width="13.140625" style="127" hidden="1" customWidth="1"/>
    <col min="33" max="33" width="14.28515625" style="127" customWidth="1"/>
    <col min="34" max="34" width="15" style="127" customWidth="1"/>
    <col min="35" max="35" width="12.140625" style="127" customWidth="1"/>
    <col min="36" max="36" width="13.140625" style="127" hidden="1" customWidth="1"/>
    <col min="37" max="37" width="14.28515625" style="127" customWidth="1"/>
    <col min="38" max="38" width="15.28515625" style="127" customWidth="1"/>
    <col min="39" max="39" width="12.140625" style="127" customWidth="1"/>
    <col min="40" max="40" width="13.140625" style="127" hidden="1" customWidth="1"/>
    <col min="41" max="41" width="14.28515625" style="127" customWidth="1"/>
    <col min="42" max="42" width="14.7109375" style="127" customWidth="1"/>
    <col min="43" max="43" width="12.140625" style="127" customWidth="1"/>
    <col min="44" max="44" width="13.140625" style="127" hidden="1" customWidth="1"/>
    <col min="45" max="45" width="14.28515625" style="127" customWidth="1"/>
    <col min="46" max="46" width="15.140625" style="127" customWidth="1"/>
    <col min="47" max="47" width="12.140625" style="127" customWidth="1"/>
    <col min="48" max="48" width="13.140625" style="127" hidden="1" customWidth="1"/>
    <col min="49" max="49" width="14.28515625" style="127" customWidth="1"/>
    <col min="50" max="50" width="14.140625" style="127" bestFit="1" customWidth="1"/>
    <col min="51" max="51" width="12.140625" style="127" customWidth="1"/>
    <col min="52" max="52" width="13.140625" style="127" hidden="1" customWidth="1"/>
    <col min="53" max="53" width="14.28515625" style="127" customWidth="1"/>
    <col min="54" max="54" width="14.140625" style="127" bestFit="1" customWidth="1"/>
    <col min="55" max="55" width="12.140625" style="127" customWidth="1"/>
    <col min="56" max="56" width="13.140625" style="127" hidden="1" customWidth="1"/>
    <col min="57" max="57" width="14.28515625" style="127" customWidth="1"/>
    <col min="58" max="58" width="15.140625" style="127" customWidth="1"/>
    <col min="59" max="59" width="12.140625" style="127" customWidth="1"/>
    <col min="60" max="60" width="13.140625" style="127" hidden="1" customWidth="1"/>
    <col min="61" max="61" width="14.28515625" style="127" customWidth="1"/>
    <col min="62" max="62" width="14.140625" style="127" bestFit="1" customWidth="1"/>
    <col min="63" max="63" width="12.140625" style="127" customWidth="1"/>
    <col min="64" max="64" width="13.140625" style="127" hidden="1" customWidth="1"/>
    <col min="65" max="65" width="14.28515625" style="127" customWidth="1"/>
    <col min="66" max="66" width="11.28515625" style="127" customWidth="1"/>
    <col min="67" max="67" width="12.140625" style="127" customWidth="1"/>
    <col min="68" max="68" width="13.140625" style="127" hidden="1" customWidth="1"/>
    <col min="69" max="69" width="14.28515625" style="127" customWidth="1"/>
    <col min="70" max="70" width="11.28515625" style="127" customWidth="1"/>
    <col min="71" max="71" width="12.140625" style="127" customWidth="1"/>
    <col min="72" max="72" width="15.5703125" style="127" hidden="1" customWidth="1"/>
    <col min="73" max="73" width="14.28515625" style="127" customWidth="1"/>
    <col min="74" max="74" width="11.28515625" style="127" customWidth="1"/>
    <col min="75" max="75" width="12.140625" style="127" customWidth="1"/>
    <col min="76" max="76" width="13.140625" style="127" hidden="1" customWidth="1"/>
    <col min="77" max="77" width="14.28515625" style="127" customWidth="1"/>
    <col min="78" max="78" width="11.28515625" style="127" customWidth="1"/>
    <col min="79" max="79" width="12.140625" style="127" customWidth="1"/>
    <col min="80" max="80" width="13.140625" style="127" hidden="1" customWidth="1"/>
    <col min="81" max="81" width="14.28515625" style="127" customWidth="1"/>
    <col min="82" max="82" width="11.28515625" style="127" customWidth="1"/>
    <col min="83" max="83" width="12.140625" style="127" customWidth="1"/>
    <col min="84" max="84" width="13.140625" style="127" hidden="1" customWidth="1"/>
    <col min="85" max="86" width="14.28515625" style="127" customWidth="1"/>
    <col min="87" max="87" width="12.140625" style="127" customWidth="1"/>
    <col min="88" max="88" width="13.140625" style="127" hidden="1" customWidth="1"/>
    <col min="89" max="89" width="14.28515625" style="127" customWidth="1"/>
    <col min="90" max="90" width="13.7109375" style="127" customWidth="1"/>
    <col min="91" max="91" width="12.140625" style="127" customWidth="1"/>
    <col min="92" max="92" width="13.140625" style="127" hidden="1" customWidth="1"/>
    <col min="93" max="93" width="14.28515625" style="127" customWidth="1"/>
    <col min="94" max="94" width="13.85546875" style="127" customWidth="1"/>
    <col min="95" max="95" width="12.140625" style="127" customWidth="1"/>
    <col min="96" max="96" width="13.140625" style="127" hidden="1" customWidth="1"/>
    <col min="97" max="97" width="14.28515625" style="127" customWidth="1"/>
    <col min="98" max="98" width="11.28515625" style="127" customWidth="1"/>
    <col min="99" max="99" width="12.140625" style="127" customWidth="1"/>
    <col min="100" max="100" width="13.140625" style="127" hidden="1" customWidth="1"/>
    <col min="101" max="101" width="14.28515625" style="127" customWidth="1"/>
    <col min="102" max="102" width="11.28515625" style="127" customWidth="1"/>
    <col min="103" max="103" width="12.140625" style="127" customWidth="1"/>
    <col min="104" max="104" width="13.140625" style="127" hidden="1" customWidth="1"/>
    <col min="105" max="105" width="14.28515625" style="127" customWidth="1"/>
    <col min="106" max="106" width="13.28515625" style="127" bestFit="1" customWidth="1"/>
    <col min="107" max="107" width="12.140625" style="127" customWidth="1"/>
    <col min="108" max="108" width="13.140625" style="127" hidden="1" customWidth="1"/>
    <col min="109" max="109" width="14.28515625" style="127" customWidth="1"/>
    <col min="110" max="110" width="11.28515625" style="127" customWidth="1"/>
    <col min="111" max="111" width="12.140625" style="127" hidden="1" customWidth="1"/>
    <col min="112" max="112" width="13.140625" style="127" hidden="1" customWidth="1"/>
    <col min="113" max="113" width="14.28515625" style="127" hidden="1" customWidth="1"/>
    <col min="114" max="114" width="11.28515625" style="127" hidden="1" customWidth="1"/>
    <col min="115" max="115" width="12.140625" style="127" customWidth="1"/>
    <col min="116" max="116" width="13.140625" style="127" hidden="1" customWidth="1"/>
    <col min="117" max="118" width="14.28515625" style="127" customWidth="1"/>
    <col min="119" max="119" width="12.140625" style="127" customWidth="1"/>
    <col min="120" max="120" width="13.140625" style="127" hidden="1" customWidth="1"/>
    <col min="121" max="121" width="14.28515625" style="127" customWidth="1"/>
    <col min="122" max="122" width="15.7109375" style="127" customWidth="1"/>
    <col min="123" max="123" width="12.140625" style="127" hidden="1" customWidth="1"/>
    <col min="124" max="124" width="13.140625" style="127" hidden="1" customWidth="1"/>
    <col min="125" max="125" width="14.28515625" style="127" hidden="1" customWidth="1"/>
    <col min="126" max="126" width="11.28515625" style="127" hidden="1" customWidth="1"/>
    <col min="127" max="127" width="12.140625" style="127" hidden="1" customWidth="1"/>
    <col min="128" max="128" width="13.140625" style="127" hidden="1" customWidth="1"/>
    <col min="129" max="129" width="14.28515625" style="127" hidden="1" customWidth="1"/>
    <col min="130" max="130" width="11.28515625" style="127" hidden="1" customWidth="1"/>
    <col min="131" max="131" width="12.140625" style="127" customWidth="1"/>
    <col min="132" max="132" width="13.140625" style="127" hidden="1" customWidth="1"/>
    <col min="133" max="133" width="14.28515625" style="127" customWidth="1"/>
    <col min="134" max="134" width="16.7109375" style="127" customWidth="1"/>
    <col min="135" max="135" width="12.140625" style="127" customWidth="1"/>
    <col min="136" max="136" width="13.140625" style="127" hidden="1" customWidth="1"/>
    <col min="137" max="137" width="14.28515625" style="127" customWidth="1"/>
    <col min="138" max="138" width="15.85546875" style="127" customWidth="1"/>
    <col min="139" max="139" width="12.140625" style="127" customWidth="1"/>
    <col min="140" max="140" width="13.140625" style="127" hidden="1" customWidth="1"/>
    <col min="141" max="141" width="14.28515625" style="127" customWidth="1"/>
    <col min="142" max="142" width="15.85546875" style="127" customWidth="1"/>
    <col min="143" max="143" width="12.140625" style="127" customWidth="1"/>
    <col min="144" max="144" width="13.140625" style="127" hidden="1" customWidth="1"/>
    <col min="145" max="145" width="14.28515625" style="127" customWidth="1"/>
    <col min="146" max="146" width="16.28515625" style="127" customWidth="1"/>
    <col min="147" max="147" width="12.140625" style="127" customWidth="1"/>
    <col min="148" max="148" width="13.140625" style="127" hidden="1" customWidth="1"/>
    <col min="149" max="149" width="14.28515625" style="127" customWidth="1"/>
    <col min="150" max="151" width="15" style="127" customWidth="1"/>
    <col min="152" max="152" width="15" style="127" hidden="1" customWidth="1"/>
    <col min="153" max="154" width="15" style="127" customWidth="1"/>
    <col min="155" max="155" width="12.140625" style="127" customWidth="1"/>
    <col min="156" max="156" width="13.140625" style="127" hidden="1" customWidth="1"/>
    <col min="157" max="157" width="14.28515625" style="127" customWidth="1"/>
    <col min="158" max="158" width="11.28515625" style="127" customWidth="1"/>
    <col min="159" max="159" width="10.7109375" style="127" customWidth="1"/>
    <col min="160" max="160" width="10.5703125" style="127" customWidth="1"/>
    <col min="161" max="16384" width="9.140625" style="127"/>
  </cols>
  <sheetData>
    <row r="1" spans="1:158" ht="37.5" customHeight="1" x14ac:dyDescent="0.2">
      <c r="A1" s="404" t="s">
        <v>265</v>
      </c>
      <c r="B1" s="404"/>
      <c r="C1" s="404"/>
      <c r="D1" s="404"/>
      <c r="E1" s="404"/>
      <c r="F1" s="404"/>
      <c r="G1" s="404"/>
      <c r="H1" s="404"/>
    </row>
    <row r="2" spans="1:158" x14ac:dyDescent="0.2">
      <c r="A2" s="404"/>
      <c r="B2" s="404"/>
      <c r="C2" s="404"/>
      <c r="D2" s="404"/>
      <c r="E2" s="404"/>
      <c r="F2" s="404"/>
      <c r="G2" s="404"/>
      <c r="H2" s="404"/>
    </row>
    <row r="3" spans="1:158" s="129" customFormat="1" ht="16.149999999999999" customHeight="1" x14ac:dyDescent="0.25">
      <c r="A3" s="128"/>
      <c r="B3" s="426"/>
      <c r="C3" s="424">
        <v>1</v>
      </c>
      <c r="D3" s="424"/>
      <c r="E3" s="424"/>
      <c r="F3" s="424"/>
      <c r="G3" s="408">
        <v>2</v>
      </c>
      <c r="H3" s="408"/>
      <c r="I3" s="408"/>
      <c r="J3" s="408"/>
      <c r="K3" s="419">
        <v>3</v>
      </c>
      <c r="L3" s="419"/>
      <c r="M3" s="419"/>
      <c r="N3" s="419"/>
      <c r="O3" s="420">
        <v>4</v>
      </c>
      <c r="P3" s="420"/>
      <c r="Q3" s="420"/>
      <c r="R3" s="420"/>
      <c r="S3" s="408">
        <v>5</v>
      </c>
      <c r="T3" s="408"/>
      <c r="U3" s="408"/>
      <c r="V3" s="408"/>
      <c r="W3" s="419">
        <v>6</v>
      </c>
      <c r="X3" s="419"/>
      <c r="Y3" s="419"/>
      <c r="Z3" s="419"/>
      <c r="AA3" s="420">
        <v>7</v>
      </c>
      <c r="AB3" s="420"/>
      <c r="AC3" s="420"/>
      <c r="AD3" s="420"/>
      <c r="AE3" s="408">
        <v>8</v>
      </c>
      <c r="AF3" s="408"/>
      <c r="AG3" s="408"/>
      <c r="AH3" s="408"/>
      <c r="AI3" s="419">
        <v>9</v>
      </c>
      <c r="AJ3" s="419"/>
      <c r="AK3" s="419"/>
      <c r="AL3" s="419"/>
      <c r="AM3" s="420">
        <v>10</v>
      </c>
      <c r="AN3" s="420"/>
      <c r="AO3" s="420"/>
      <c r="AP3" s="420"/>
      <c r="AQ3" s="408">
        <v>11</v>
      </c>
      <c r="AR3" s="408"/>
      <c r="AS3" s="408"/>
      <c r="AT3" s="408"/>
      <c r="AU3" s="421">
        <v>12</v>
      </c>
      <c r="AV3" s="422"/>
      <c r="AW3" s="422"/>
      <c r="AX3" s="422"/>
      <c r="AY3" s="420">
        <v>13</v>
      </c>
      <c r="AZ3" s="420"/>
      <c r="BA3" s="420"/>
      <c r="BB3" s="420"/>
      <c r="BC3" s="408">
        <v>14</v>
      </c>
      <c r="BD3" s="408"/>
      <c r="BE3" s="408"/>
      <c r="BF3" s="408"/>
      <c r="BG3" s="423">
        <v>15</v>
      </c>
      <c r="BH3" s="423"/>
      <c r="BI3" s="423"/>
      <c r="BJ3" s="423"/>
      <c r="BK3" s="424">
        <v>16</v>
      </c>
      <c r="BL3" s="424"/>
      <c r="BM3" s="424"/>
      <c r="BN3" s="424"/>
      <c r="BO3" s="408">
        <v>17</v>
      </c>
      <c r="BP3" s="408"/>
      <c r="BQ3" s="408"/>
      <c r="BR3" s="408"/>
      <c r="BS3" s="419">
        <v>18</v>
      </c>
      <c r="BT3" s="419"/>
      <c r="BU3" s="419"/>
      <c r="BV3" s="419"/>
      <c r="BW3" s="420">
        <v>19</v>
      </c>
      <c r="BX3" s="420"/>
      <c r="BY3" s="420"/>
      <c r="BZ3" s="420"/>
      <c r="CA3" s="408">
        <v>20</v>
      </c>
      <c r="CB3" s="408"/>
      <c r="CC3" s="408"/>
      <c r="CD3" s="408"/>
      <c r="CE3" s="419">
        <v>21</v>
      </c>
      <c r="CF3" s="419"/>
      <c r="CG3" s="419"/>
      <c r="CH3" s="419"/>
      <c r="CI3" s="420">
        <v>22</v>
      </c>
      <c r="CJ3" s="420"/>
      <c r="CK3" s="420"/>
      <c r="CL3" s="420"/>
      <c r="CM3" s="408">
        <v>23</v>
      </c>
      <c r="CN3" s="408"/>
      <c r="CO3" s="408"/>
      <c r="CP3" s="408"/>
      <c r="CQ3" s="419">
        <v>24</v>
      </c>
      <c r="CR3" s="419"/>
      <c r="CS3" s="419"/>
      <c r="CT3" s="419"/>
      <c r="CU3" s="420">
        <v>25</v>
      </c>
      <c r="CV3" s="420"/>
      <c r="CW3" s="420"/>
      <c r="CX3" s="420"/>
      <c r="CY3" s="421">
        <v>27</v>
      </c>
      <c r="CZ3" s="422"/>
      <c r="DA3" s="422"/>
      <c r="DB3" s="422"/>
      <c r="DC3" s="420">
        <v>28</v>
      </c>
      <c r="DD3" s="420"/>
      <c r="DE3" s="420"/>
      <c r="DF3" s="420"/>
      <c r="DG3" s="408">
        <v>29</v>
      </c>
      <c r="DH3" s="408"/>
      <c r="DI3" s="408"/>
      <c r="DJ3" s="408"/>
      <c r="DK3" s="423">
        <v>30</v>
      </c>
      <c r="DL3" s="423"/>
      <c r="DM3" s="423"/>
      <c r="DN3" s="423"/>
      <c r="DO3" s="424">
        <v>31</v>
      </c>
      <c r="DP3" s="424"/>
      <c r="DQ3" s="424"/>
      <c r="DR3" s="424"/>
      <c r="DS3" s="408">
        <v>32</v>
      </c>
      <c r="DT3" s="408"/>
      <c r="DU3" s="408"/>
      <c r="DV3" s="408"/>
      <c r="DW3" s="419">
        <v>33</v>
      </c>
      <c r="DX3" s="419"/>
      <c r="DY3" s="419"/>
      <c r="DZ3" s="419"/>
      <c r="EA3" s="420">
        <v>34</v>
      </c>
      <c r="EB3" s="420"/>
      <c r="EC3" s="420"/>
      <c r="ED3" s="420"/>
      <c r="EE3" s="408">
        <v>35</v>
      </c>
      <c r="EF3" s="408"/>
      <c r="EG3" s="408"/>
      <c r="EH3" s="408"/>
      <c r="EI3" s="419">
        <v>36</v>
      </c>
      <c r="EJ3" s="419"/>
      <c r="EK3" s="419"/>
      <c r="EL3" s="419"/>
      <c r="EM3" s="420">
        <v>37</v>
      </c>
      <c r="EN3" s="420"/>
      <c r="EO3" s="420"/>
      <c r="EP3" s="420"/>
      <c r="EQ3" s="408">
        <v>38</v>
      </c>
      <c r="ER3" s="408"/>
      <c r="ES3" s="408"/>
      <c r="ET3" s="408"/>
      <c r="EU3" s="408">
        <v>38</v>
      </c>
      <c r="EV3" s="408"/>
      <c r="EW3" s="408"/>
      <c r="EX3" s="408"/>
      <c r="EY3" s="436" t="s">
        <v>48</v>
      </c>
      <c r="EZ3" s="437"/>
      <c r="FA3" s="437"/>
      <c r="FB3" s="437"/>
    </row>
    <row r="4" spans="1:158" s="192" customFormat="1" ht="15.75" customHeight="1" x14ac:dyDescent="0.2">
      <c r="A4" s="191" t="s">
        <v>114</v>
      </c>
      <c r="B4" s="427"/>
      <c r="C4" s="412" t="s">
        <v>225</v>
      </c>
      <c r="D4" s="412"/>
      <c r="E4" s="412"/>
      <c r="F4" s="412"/>
      <c r="G4" s="413" t="s">
        <v>226</v>
      </c>
      <c r="H4" s="413"/>
      <c r="I4" s="413"/>
      <c r="J4" s="413"/>
      <c r="K4" s="414" t="s">
        <v>227</v>
      </c>
      <c r="L4" s="414"/>
      <c r="M4" s="414"/>
      <c r="N4" s="414"/>
      <c r="O4" s="415" t="s">
        <v>228</v>
      </c>
      <c r="P4" s="415"/>
      <c r="Q4" s="415"/>
      <c r="R4" s="415"/>
      <c r="S4" s="413" t="s">
        <v>229</v>
      </c>
      <c r="T4" s="413"/>
      <c r="U4" s="413"/>
      <c r="V4" s="413"/>
      <c r="W4" s="414" t="s">
        <v>230</v>
      </c>
      <c r="X4" s="414"/>
      <c r="Y4" s="414"/>
      <c r="Z4" s="414"/>
      <c r="AA4" s="415" t="s">
        <v>231</v>
      </c>
      <c r="AB4" s="415"/>
      <c r="AC4" s="415"/>
      <c r="AD4" s="415"/>
      <c r="AE4" s="413" t="s">
        <v>232</v>
      </c>
      <c r="AF4" s="413"/>
      <c r="AG4" s="413"/>
      <c r="AH4" s="413"/>
      <c r="AI4" s="414" t="s">
        <v>233</v>
      </c>
      <c r="AJ4" s="414"/>
      <c r="AK4" s="414"/>
      <c r="AL4" s="414"/>
      <c r="AM4" s="415" t="s">
        <v>234</v>
      </c>
      <c r="AN4" s="415"/>
      <c r="AO4" s="415"/>
      <c r="AP4" s="415"/>
      <c r="AQ4" s="413" t="s">
        <v>235</v>
      </c>
      <c r="AR4" s="413"/>
      <c r="AS4" s="413"/>
      <c r="AT4" s="413"/>
      <c r="AU4" s="414" t="s">
        <v>236</v>
      </c>
      <c r="AV4" s="414"/>
      <c r="AW4" s="414"/>
      <c r="AX4" s="414"/>
      <c r="AY4" s="417" t="s">
        <v>237</v>
      </c>
      <c r="AZ4" s="417"/>
      <c r="BA4" s="417"/>
      <c r="BB4" s="417"/>
      <c r="BC4" s="418" t="s">
        <v>238</v>
      </c>
      <c r="BD4" s="418"/>
      <c r="BE4" s="418"/>
      <c r="BF4" s="418"/>
      <c r="BG4" s="413" t="s">
        <v>239</v>
      </c>
      <c r="BH4" s="413"/>
      <c r="BI4" s="413"/>
      <c r="BJ4" s="413"/>
      <c r="BK4" s="412" t="s">
        <v>240</v>
      </c>
      <c r="BL4" s="412"/>
      <c r="BM4" s="412"/>
      <c r="BN4" s="412"/>
      <c r="BO4" s="413" t="s">
        <v>241</v>
      </c>
      <c r="BP4" s="413"/>
      <c r="BQ4" s="413"/>
      <c r="BR4" s="413"/>
      <c r="BS4" s="414" t="s">
        <v>242</v>
      </c>
      <c r="BT4" s="414"/>
      <c r="BU4" s="414"/>
      <c r="BV4" s="414"/>
      <c r="BW4" s="415" t="s">
        <v>243</v>
      </c>
      <c r="BX4" s="415"/>
      <c r="BY4" s="415"/>
      <c r="BZ4" s="415"/>
      <c r="CA4" s="413" t="s">
        <v>244</v>
      </c>
      <c r="CB4" s="413"/>
      <c r="CC4" s="413"/>
      <c r="CD4" s="413"/>
      <c r="CE4" s="414" t="s">
        <v>245</v>
      </c>
      <c r="CF4" s="414"/>
      <c r="CG4" s="414"/>
      <c r="CH4" s="414"/>
      <c r="CI4" s="415" t="s">
        <v>246</v>
      </c>
      <c r="CJ4" s="415"/>
      <c r="CK4" s="415"/>
      <c r="CL4" s="415"/>
      <c r="CM4" s="413" t="s">
        <v>247</v>
      </c>
      <c r="CN4" s="413"/>
      <c r="CO4" s="413"/>
      <c r="CP4" s="413"/>
      <c r="CQ4" s="414" t="s">
        <v>248</v>
      </c>
      <c r="CR4" s="414"/>
      <c r="CS4" s="414"/>
      <c r="CT4" s="414"/>
      <c r="CU4" s="415" t="s">
        <v>249</v>
      </c>
      <c r="CV4" s="415"/>
      <c r="CW4" s="415"/>
      <c r="CX4" s="415"/>
      <c r="CY4" s="414" t="s">
        <v>250</v>
      </c>
      <c r="CZ4" s="414"/>
      <c r="DA4" s="414"/>
      <c r="DB4" s="414"/>
      <c r="DC4" s="417" t="s">
        <v>251</v>
      </c>
      <c r="DD4" s="417"/>
      <c r="DE4" s="417"/>
      <c r="DF4" s="417"/>
      <c r="DG4" s="418" t="s">
        <v>252</v>
      </c>
      <c r="DH4" s="418"/>
      <c r="DI4" s="418"/>
      <c r="DJ4" s="418"/>
      <c r="DK4" s="413" t="s">
        <v>253</v>
      </c>
      <c r="DL4" s="413"/>
      <c r="DM4" s="413"/>
      <c r="DN4" s="413"/>
      <c r="DO4" s="412" t="s">
        <v>254</v>
      </c>
      <c r="DP4" s="412"/>
      <c r="DQ4" s="412"/>
      <c r="DR4" s="412"/>
      <c r="DS4" s="413" t="s">
        <v>255</v>
      </c>
      <c r="DT4" s="413"/>
      <c r="DU4" s="413"/>
      <c r="DV4" s="413"/>
      <c r="DW4" s="414" t="s">
        <v>256</v>
      </c>
      <c r="DX4" s="414"/>
      <c r="DY4" s="414"/>
      <c r="DZ4" s="414"/>
      <c r="EA4" s="415">
        <v>4346001</v>
      </c>
      <c r="EB4" s="415"/>
      <c r="EC4" s="415"/>
      <c r="ED4" s="415"/>
      <c r="EE4" s="413" t="s">
        <v>257</v>
      </c>
      <c r="EF4" s="413"/>
      <c r="EG4" s="413"/>
      <c r="EH4" s="413"/>
      <c r="EI4" s="414">
        <v>2107803</v>
      </c>
      <c r="EJ4" s="414"/>
      <c r="EK4" s="414"/>
      <c r="EL4" s="414"/>
      <c r="EM4" s="415" t="s">
        <v>258</v>
      </c>
      <c r="EN4" s="415"/>
      <c r="EO4" s="415"/>
      <c r="EP4" s="415"/>
      <c r="EQ4" s="413" t="s">
        <v>259</v>
      </c>
      <c r="ER4" s="413"/>
      <c r="ES4" s="413"/>
      <c r="ET4" s="413"/>
      <c r="EU4" s="413">
        <v>2138157</v>
      </c>
      <c r="EV4" s="413"/>
      <c r="EW4" s="413"/>
      <c r="EX4" s="413"/>
      <c r="EY4" s="438"/>
      <c r="EZ4" s="439"/>
      <c r="FA4" s="439"/>
      <c r="FB4" s="439"/>
    </row>
    <row r="5" spans="1:158" s="131" customFormat="1" ht="26.25" customHeight="1" x14ac:dyDescent="0.2">
      <c r="A5" s="130" t="s">
        <v>116</v>
      </c>
      <c r="B5" s="427"/>
      <c r="C5" s="407" t="s">
        <v>117</v>
      </c>
      <c r="D5" s="407"/>
      <c r="E5" s="407"/>
      <c r="F5" s="407"/>
      <c r="G5" s="406" t="s">
        <v>271</v>
      </c>
      <c r="H5" s="406"/>
      <c r="I5" s="406"/>
      <c r="J5" s="406"/>
      <c r="K5" s="406" t="s">
        <v>20</v>
      </c>
      <c r="L5" s="406"/>
      <c r="M5" s="406"/>
      <c r="N5" s="406"/>
      <c r="O5" s="407" t="s">
        <v>272</v>
      </c>
      <c r="P5" s="407"/>
      <c r="Q5" s="407"/>
      <c r="R5" s="407"/>
      <c r="S5" s="407" t="s">
        <v>273</v>
      </c>
      <c r="T5" s="407"/>
      <c r="U5" s="407"/>
      <c r="V5" s="407"/>
      <c r="W5" s="416" t="s">
        <v>275</v>
      </c>
      <c r="X5" s="416"/>
      <c r="Y5" s="416"/>
      <c r="Z5" s="416"/>
      <c r="AA5" s="406" t="s">
        <v>274</v>
      </c>
      <c r="AB5" s="406"/>
      <c r="AC5" s="406"/>
      <c r="AD5" s="406"/>
      <c r="AE5" s="406" t="s">
        <v>276</v>
      </c>
      <c r="AF5" s="406"/>
      <c r="AG5" s="406"/>
      <c r="AH5" s="406"/>
      <c r="AI5" s="406" t="s">
        <v>277</v>
      </c>
      <c r="AJ5" s="406"/>
      <c r="AK5" s="406"/>
      <c r="AL5" s="406"/>
      <c r="AM5" s="406" t="s">
        <v>278</v>
      </c>
      <c r="AN5" s="406"/>
      <c r="AO5" s="406"/>
      <c r="AP5" s="406"/>
      <c r="AQ5" s="406" t="s">
        <v>279</v>
      </c>
      <c r="AR5" s="406"/>
      <c r="AS5" s="406"/>
      <c r="AT5" s="406"/>
      <c r="AU5" s="406" t="s">
        <v>316</v>
      </c>
      <c r="AV5" s="406"/>
      <c r="AW5" s="406"/>
      <c r="AX5" s="406"/>
      <c r="AY5" s="406" t="s">
        <v>317</v>
      </c>
      <c r="AZ5" s="406"/>
      <c r="BA5" s="406"/>
      <c r="BB5" s="406"/>
      <c r="BC5" s="406" t="s">
        <v>31</v>
      </c>
      <c r="BD5" s="406"/>
      <c r="BE5" s="406"/>
      <c r="BF5" s="406"/>
      <c r="BG5" s="406" t="s">
        <v>32</v>
      </c>
      <c r="BH5" s="406"/>
      <c r="BI5" s="406"/>
      <c r="BJ5" s="406"/>
      <c r="BK5" s="406" t="s">
        <v>322</v>
      </c>
      <c r="BL5" s="406"/>
      <c r="BM5" s="406"/>
      <c r="BN5" s="406"/>
      <c r="BO5" s="407" t="s">
        <v>321</v>
      </c>
      <c r="BP5" s="407"/>
      <c r="BQ5" s="407"/>
      <c r="BR5" s="407"/>
      <c r="BS5" s="406" t="s">
        <v>320</v>
      </c>
      <c r="BT5" s="406"/>
      <c r="BU5" s="406"/>
      <c r="BV5" s="406"/>
      <c r="BW5" s="406" t="s">
        <v>319</v>
      </c>
      <c r="BX5" s="406"/>
      <c r="BY5" s="406"/>
      <c r="BZ5" s="406"/>
      <c r="CA5" s="406" t="s">
        <v>318</v>
      </c>
      <c r="CB5" s="406"/>
      <c r="CC5" s="406"/>
      <c r="CD5" s="406"/>
      <c r="CE5" s="406" t="s">
        <v>323</v>
      </c>
      <c r="CF5" s="406"/>
      <c r="CG5" s="406"/>
      <c r="CH5" s="406"/>
      <c r="CI5" s="406" t="s">
        <v>324</v>
      </c>
      <c r="CJ5" s="406"/>
      <c r="CK5" s="406"/>
      <c r="CL5" s="406"/>
      <c r="CM5" s="406" t="s">
        <v>325</v>
      </c>
      <c r="CN5" s="406"/>
      <c r="CO5" s="406"/>
      <c r="CP5" s="406"/>
      <c r="CQ5" s="406" t="s">
        <v>327</v>
      </c>
      <c r="CR5" s="406"/>
      <c r="CS5" s="406"/>
      <c r="CT5" s="406"/>
      <c r="CU5" s="406" t="s">
        <v>326</v>
      </c>
      <c r="CV5" s="406"/>
      <c r="CW5" s="406"/>
      <c r="CX5" s="406"/>
      <c r="CY5" s="406" t="s">
        <v>268</v>
      </c>
      <c r="CZ5" s="406"/>
      <c r="DA5" s="406"/>
      <c r="DB5" s="406"/>
      <c r="DC5" s="406" t="s">
        <v>194</v>
      </c>
      <c r="DD5" s="406"/>
      <c r="DE5" s="406"/>
      <c r="DF5" s="406"/>
      <c r="DG5" s="406" t="s">
        <v>43</v>
      </c>
      <c r="DH5" s="406"/>
      <c r="DI5" s="406"/>
      <c r="DJ5" s="406"/>
      <c r="DK5" s="406" t="s">
        <v>328</v>
      </c>
      <c r="DL5" s="406"/>
      <c r="DM5" s="406"/>
      <c r="DN5" s="406"/>
      <c r="DO5" s="406" t="s">
        <v>329</v>
      </c>
      <c r="DP5" s="406"/>
      <c r="DQ5" s="406"/>
      <c r="DR5" s="406"/>
      <c r="DS5" s="406" t="s">
        <v>46</v>
      </c>
      <c r="DT5" s="406"/>
      <c r="DU5" s="406"/>
      <c r="DV5" s="406"/>
      <c r="DW5" s="407" t="s">
        <v>47</v>
      </c>
      <c r="DX5" s="407"/>
      <c r="DY5" s="407"/>
      <c r="DZ5" s="407"/>
      <c r="EA5" s="409" t="s">
        <v>270</v>
      </c>
      <c r="EB5" s="410"/>
      <c r="EC5" s="410"/>
      <c r="ED5" s="411"/>
      <c r="EE5" s="425" t="s">
        <v>266</v>
      </c>
      <c r="EF5" s="425"/>
      <c r="EG5" s="425"/>
      <c r="EH5" s="425"/>
      <c r="EI5" s="407" t="s">
        <v>267</v>
      </c>
      <c r="EJ5" s="407"/>
      <c r="EK5" s="407"/>
      <c r="EL5" s="407"/>
      <c r="EM5" s="407" t="s">
        <v>269</v>
      </c>
      <c r="EN5" s="407"/>
      <c r="EO5" s="407"/>
      <c r="EP5" s="407"/>
      <c r="EQ5" s="407" t="s">
        <v>330</v>
      </c>
      <c r="ER5" s="407"/>
      <c r="ES5" s="407"/>
      <c r="ET5" s="407"/>
      <c r="EU5" s="420" t="s">
        <v>197</v>
      </c>
      <c r="EV5" s="420"/>
      <c r="EW5" s="420"/>
      <c r="EX5" s="420"/>
      <c r="EY5" s="438"/>
      <c r="EZ5" s="439"/>
      <c r="FA5" s="439"/>
      <c r="FB5" s="439"/>
    </row>
    <row r="6" spans="1:158" ht="12.75" customHeight="1" x14ac:dyDescent="0.2">
      <c r="A6" s="132"/>
      <c r="B6" s="133"/>
      <c r="C6" s="429" t="s">
        <v>19</v>
      </c>
      <c r="D6" s="429"/>
      <c r="E6" s="429"/>
      <c r="F6" s="429"/>
      <c r="G6" s="428"/>
      <c r="H6" s="428"/>
      <c r="I6" s="428"/>
      <c r="J6" s="428"/>
      <c r="K6" s="428" t="s">
        <v>20</v>
      </c>
      <c r="L6" s="428"/>
      <c r="M6" s="428"/>
      <c r="N6" s="428"/>
      <c r="O6" s="428" t="s">
        <v>21</v>
      </c>
      <c r="P6" s="428"/>
      <c r="Q6" s="428"/>
      <c r="R6" s="428"/>
      <c r="S6" s="428" t="s">
        <v>22</v>
      </c>
      <c r="T6" s="428"/>
      <c r="U6" s="428"/>
      <c r="V6" s="428"/>
      <c r="W6" s="428" t="s">
        <v>23</v>
      </c>
      <c r="X6" s="428"/>
      <c r="Y6" s="428"/>
      <c r="Z6" s="428"/>
      <c r="AA6" s="428" t="s">
        <v>24</v>
      </c>
      <c r="AB6" s="428"/>
      <c r="AC6" s="428"/>
      <c r="AD6" s="428"/>
      <c r="AE6" s="428" t="s">
        <v>25</v>
      </c>
      <c r="AF6" s="428"/>
      <c r="AG6" s="428"/>
      <c r="AH6" s="428"/>
      <c r="AI6" s="428" t="s">
        <v>26</v>
      </c>
      <c r="AJ6" s="428"/>
      <c r="AK6" s="428"/>
      <c r="AL6" s="428"/>
      <c r="AM6" s="428" t="s">
        <v>27</v>
      </c>
      <c r="AN6" s="428"/>
      <c r="AO6" s="428"/>
      <c r="AP6" s="428"/>
      <c r="AQ6" s="428" t="s">
        <v>28</v>
      </c>
      <c r="AR6" s="428"/>
      <c r="AS6" s="428"/>
      <c r="AT6" s="428"/>
      <c r="AU6" s="428" t="s">
        <v>29</v>
      </c>
      <c r="AV6" s="428"/>
      <c r="AW6" s="428"/>
      <c r="AX6" s="428"/>
      <c r="AY6" s="428" t="s">
        <v>30</v>
      </c>
      <c r="AZ6" s="428"/>
      <c r="BA6" s="428"/>
      <c r="BB6" s="428"/>
      <c r="BC6" s="428" t="s">
        <v>31</v>
      </c>
      <c r="BD6" s="428"/>
      <c r="BE6" s="428"/>
      <c r="BF6" s="428"/>
      <c r="BG6" s="428" t="s">
        <v>32</v>
      </c>
      <c r="BH6" s="428"/>
      <c r="BI6" s="428"/>
      <c r="BJ6" s="428"/>
      <c r="BK6" s="428" t="s">
        <v>33</v>
      </c>
      <c r="BL6" s="428"/>
      <c r="BM6" s="428"/>
      <c r="BN6" s="428"/>
      <c r="BO6" s="428" t="s">
        <v>34</v>
      </c>
      <c r="BP6" s="428"/>
      <c r="BQ6" s="428"/>
      <c r="BR6" s="428"/>
      <c r="BS6" s="428" t="s">
        <v>35</v>
      </c>
      <c r="BT6" s="428"/>
      <c r="BU6" s="428"/>
      <c r="BV6" s="428"/>
      <c r="BW6" s="428" t="s">
        <v>36</v>
      </c>
      <c r="BX6" s="428"/>
      <c r="BY6" s="428"/>
      <c r="BZ6" s="428"/>
      <c r="CA6" s="428" t="s">
        <v>37</v>
      </c>
      <c r="CB6" s="428"/>
      <c r="CC6" s="428"/>
      <c r="CD6" s="428"/>
      <c r="CE6" s="428" t="s">
        <v>38</v>
      </c>
      <c r="CF6" s="428"/>
      <c r="CG6" s="428"/>
      <c r="CH6" s="428"/>
      <c r="CI6" s="428" t="s">
        <v>39</v>
      </c>
      <c r="CJ6" s="428"/>
      <c r="CK6" s="428"/>
      <c r="CL6" s="428"/>
      <c r="CM6" s="428" t="s">
        <v>40</v>
      </c>
      <c r="CN6" s="428"/>
      <c r="CO6" s="428"/>
      <c r="CP6" s="428"/>
      <c r="CQ6" s="428" t="s">
        <v>41</v>
      </c>
      <c r="CR6" s="428"/>
      <c r="CS6" s="428"/>
      <c r="CT6" s="428"/>
      <c r="CU6" s="428" t="s">
        <v>42</v>
      </c>
      <c r="CV6" s="428"/>
      <c r="CW6" s="428"/>
      <c r="CX6" s="428"/>
      <c r="CY6" s="428"/>
      <c r="CZ6" s="428"/>
      <c r="DA6" s="428"/>
      <c r="DB6" s="428"/>
      <c r="DC6" s="425"/>
      <c r="DD6" s="425"/>
      <c r="DE6" s="425"/>
      <c r="DF6" s="425"/>
      <c r="DG6" s="428" t="s">
        <v>43</v>
      </c>
      <c r="DH6" s="428"/>
      <c r="DI6" s="428"/>
      <c r="DJ6" s="428"/>
      <c r="DK6" s="428" t="s">
        <v>44</v>
      </c>
      <c r="DL6" s="428"/>
      <c r="DM6" s="428"/>
      <c r="DN6" s="428"/>
      <c r="DO6" s="428" t="s">
        <v>45</v>
      </c>
      <c r="DP6" s="428"/>
      <c r="DQ6" s="428"/>
      <c r="DR6" s="428"/>
      <c r="DS6" s="428" t="s">
        <v>46</v>
      </c>
      <c r="DT6" s="428"/>
      <c r="DU6" s="428"/>
      <c r="DV6" s="428"/>
      <c r="DW6" s="428" t="s">
        <v>47</v>
      </c>
      <c r="DX6" s="428"/>
      <c r="DY6" s="428"/>
      <c r="DZ6" s="428"/>
      <c r="EA6" s="433" t="s">
        <v>195</v>
      </c>
      <c r="EB6" s="434"/>
      <c r="EC6" s="434"/>
      <c r="ED6" s="435"/>
      <c r="EE6" s="428"/>
      <c r="EF6" s="428"/>
      <c r="EG6" s="428"/>
      <c r="EH6" s="428"/>
      <c r="EI6" s="428"/>
      <c r="EJ6" s="428"/>
      <c r="EK6" s="428"/>
      <c r="EL6" s="428"/>
      <c r="EM6" s="429"/>
      <c r="EN6" s="429"/>
      <c r="EO6" s="429"/>
      <c r="EP6" s="429"/>
      <c r="EQ6" s="428" t="s">
        <v>123</v>
      </c>
      <c r="ER6" s="428"/>
      <c r="ES6" s="428"/>
      <c r="ET6" s="428"/>
      <c r="EU6" s="420" t="s">
        <v>196</v>
      </c>
      <c r="EV6" s="420"/>
      <c r="EW6" s="420"/>
      <c r="EX6" s="420"/>
      <c r="EY6" s="440"/>
      <c r="EZ6" s="441"/>
      <c r="FA6" s="441"/>
      <c r="FB6" s="441"/>
    </row>
    <row r="7" spans="1:158" ht="12.75" hidden="1" customHeight="1" x14ac:dyDescent="0.2">
      <c r="A7" s="135">
        <v>12</v>
      </c>
      <c r="B7" s="133"/>
      <c r="C7" s="136"/>
      <c r="D7" s="137"/>
      <c r="E7" s="137"/>
      <c r="F7" s="138"/>
      <c r="G7" s="139"/>
      <c r="H7" s="140"/>
      <c r="I7" s="140"/>
      <c r="J7" s="141"/>
      <c r="K7" s="139"/>
      <c r="L7" s="140"/>
      <c r="M7" s="140"/>
      <c r="N7" s="141"/>
      <c r="O7" s="139"/>
      <c r="P7" s="140"/>
      <c r="Q7" s="140"/>
      <c r="R7" s="141"/>
      <c r="S7" s="139"/>
      <c r="T7" s="140"/>
      <c r="U7" s="140"/>
      <c r="V7" s="141"/>
      <c r="W7" s="139"/>
      <c r="X7" s="140"/>
      <c r="Y7" s="140"/>
      <c r="Z7" s="141"/>
      <c r="AA7" s="139"/>
      <c r="AB7" s="140"/>
      <c r="AC7" s="140"/>
      <c r="AD7" s="141"/>
      <c r="AE7" s="139"/>
      <c r="AF7" s="140"/>
      <c r="AG7" s="140"/>
      <c r="AH7" s="141"/>
      <c r="AI7" s="139"/>
      <c r="AJ7" s="140"/>
      <c r="AK7" s="140"/>
      <c r="AL7" s="141"/>
      <c r="AM7" s="139"/>
      <c r="AN7" s="140"/>
      <c r="AO7" s="140"/>
      <c r="AP7" s="141"/>
      <c r="AQ7" s="139"/>
      <c r="AR7" s="140"/>
      <c r="AS7" s="140"/>
      <c r="AT7" s="141"/>
      <c r="AU7" s="139"/>
      <c r="AV7" s="140"/>
      <c r="AW7" s="140"/>
      <c r="AX7" s="141"/>
      <c r="AY7" s="139"/>
      <c r="AZ7" s="140"/>
      <c r="BA7" s="140"/>
      <c r="BB7" s="141"/>
      <c r="BC7" s="139"/>
      <c r="BD7" s="140"/>
      <c r="BE7" s="140"/>
      <c r="BF7" s="141"/>
      <c r="BG7" s="139"/>
      <c r="BH7" s="140"/>
      <c r="BI7" s="140"/>
      <c r="BJ7" s="141"/>
      <c r="BK7" s="139"/>
      <c r="BL7" s="140"/>
      <c r="BM7" s="140"/>
      <c r="BN7" s="141"/>
      <c r="BO7" s="139"/>
      <c r="BP7" s="140"/>
      <c r="BQ7" s="140"/>
      <c r="BR7" s="141"/>
      <c r="BS7" s="139"/>
      <c r="BT7" s="140"/>
      <c r="BU7" s="140"/>
      <c r="BV7" s="141"/>
      <c r="BW7" s="139"/>
      <c r="BX7" s="140"/>
      <c r="BY7" s="140"/>
      <c r="BZ7" s="141"/>
      <c r="CA7" s="139"/>
      <c r="CB7" s="140"/>
      <c r="CC7" s="140"/>
      <c r="CD7" s="141"/>
      <c r="CE7" s="139"/>
      <c r="CF7" s="140"/>
      <c r="CG7" s="140"/>
      <c r="CH7" s="141"/>
      <c r="CI7" s="139"/>
      <c r="CJ7" s="140"/>
      <c r="CK7" s="140"/>
      <c r="CL7" s="141"/>
      <c r="CM7" s="139"/>
      <c r="CN7" s="140"/>
      <c r="CO7" s="140"/>
      <c r="CP7" s="141"/>
      <c r="CQ7" s="139"/>
      <c r="CR7" s="140"/>
      <c r="CS7" s="140"/>
      <c r="CT7" s="141"/>
      <c r="CU7" s="139"/>
      <c r="CV7" s="140"/>
      <c r="CW7" s="140"/>
      <c r="CX7" s="141"/>
      <c r="CY7" s="139"/>
      <c r="CZ7" s="140"/>
      <c r="DA7" s="140"/>
      <c r="DB7" s="141"/>
      <c r="DC7" s="139"/>
      <c r="DD7" s="140"/>
      <c r="DE7" s="140"/>
      <c r="DF7" s="141"/>
      <c r="DG7" s="139"/>
      <c r="DH7" s="140"/>
      <c r="DI7" s="140"/>
      <c r="DJ7" s="141"/>
      <c r="DK7" s="139"/>
      <c r="DL7" s="140"/>
      <c r="DM7" s="140"/>
      <c r="DN7" s="141"/>
      <c r="DO7" s="139"/>
      <c r="DP7" s="140"/>
      <c r="DQ7" s="140"/>
      <c r="DR7" s="141"/>
      <c r="DS7" s="139"/>
      <c r="DT7" s="140"/>
      <c r="DU7" s="140"/>
      <c r="DV7" s="141"/>
      <c r="DW7" s="139"/>
      <c r="DX7" s="140"/>
      <c r="DY7" s="140"/>
      <c r="DZ7" s="141"/>
      <c r="EA7" s="139"/>
      <c r="EB7" s="140"/>
      <c r="EC7" s="140"/>
      <c r="ED7" s="141"/>
      <c r="EE7" s="139"/>
      <c r="EF7" s="140"/>
      <c r="EG7" s="140"/>
      <c r="EH7" s="141"/>
      <c r="EI7" s="139"/>
      <c r="EJ7" s="140"/>
      <c r="EK7" s="140"/>
      <c r="EL7" s="141"/>
      <c r="EM7" s="136"/>
      <c r="EN7" s="137"/>
      <c r="EO7" s="137"/>
      <c r="EP7" s="138"/>
      <c r="EQ7" s="139"/>
      <c r="ER7" s="140"/>
      <c r="ES7" s="140"/>
      <c r="ET7" s="141"/>
      <c r="EU7" s="139"/>
      <c r="EV7" s="140"/>
      <c r="EW7" s="140"/>
      <c r="EX7" s="141"/>
      <c r="EY7" s="142"/>
      <c r="EZ7" s="143"/>
      <c r="FA7" s="143"/>
      <c r="FB7" s="143"/>
    </row>
    <row r="8" spans="1:158" ht="39" customHeight="1" x14ac:dyDescent="0.2">
      <c r="A8" s="144" t="s">
        <v>0</v>
      </c>
      <c r="B8" s="144" t="s">
        <v>340</v>
      </c>
      <c r="C8" s="430" t="s">
        <v>2</v>
      </c>
      <c r="D8" s="431"/>
      <c r="E8" s="431"/>
      <c r="F8" s="432"/>
      <c r="G8" s="430" t="s">
        <v>2</v>
      </c>
      <c r="H8" s="431"/>
      <c r="I8" s="431"/>
      <c r="J8" s="432"/>
      <c r="K8" s="430" t="s">
        <v>2</v>
      </c>
      <c r="L8" s="431"/>
      <c r="M8" s="431"/>
      <c r="N8" s="432"/>
      <c r="O8" s="430" t="s">
        <v>2</v>
      </c>
      <c r="P8" s="431"/>
      <c r="Q8" s="431"/>
      <c r="R8" s="432"/>
      <c r="S8" s="430" t="s">
        <v>2</v>
      </c>
      <c r="T8" s="431"/>
      <c r="U8" s="431"/>
      <c r="V8" s="432"/>
      <c r="W8" s="430" t="s">
        <v>2</v>
      </c>
      <c r="X8" s="431"/>
      <c r="Y8" s="431"/>
      <c r="Z8" s="432"/>
      <c r="AA8" s="430" t="s">
        <v>2</v>
      </c>
      <c r="AB8" s="431"/>
      <c r="AC8" s="431"/>
      <c r="AD8" s="432"/>
      <c r="AE8" s="430" t="s">
        <v>2</v>
      </c>
      <c r="AF8" s="431"/>
      <c r="AG8" s="431"/>
      <c r="AH8" s="432"/>
      <c r="AI8" s="430" t="s">
        <v>2</v>
      </c>
      <c r="AJ8" s="431"/>
      <c r="AK8" s="431"/>
      <c r="AL8" s="432"/>
      <c r="AM8" s="430" t="s">
        <v>2</v>
      </c>
      <c r="AN8" s="431"/>
      <c r="AO8" s="431"/>
      <c r="AP8" s="432"/>
      <c r="AQ8" s="430" t="s">
        <v>2</v>
      </c>
      <c r="AR8" s="431"/>
      <c r="AS8" s="431"/>
      <c r="AT8" s="432"/>
      <c r="AU8" s="430" t="s">
        <v>2</v>
      </c>
      <c r="AV8" s="431"/>
      <c r="AW8" s="431"/>
      <c r="AX8" s="432"/>
      <c r="AY8" s="430" t="s">
        <v>2</v>
      </c>
      <c r="AZ8" s="431"/>
      <c r="BA8" s="431"/>
      <c r="BB8" s="432"/>
      <c r="BC8" s="430" t="s">
        <v>2</v>
      </c>
      <c r="BD8" s="431"/>
      <c r="BE8" s="431"/>
      <c r="BF8" s="432"/>
      <c r="BG8" s="430" t="s">
        <v>2</v>
      </c>
      <c r="BH8" s="431"/>
      <c r="BI8" s="431"/>
      <c r="BJ8" s="432"/>
      <c r="BK8" s="430" t="s">
        <v>2</v>
      </c>
      <c r="BL8" s="431"/>
      <c r="BM8" s="431"/>
      <c r="BN8" s="432"/>
      <c r="BO8" s="430" t="s">
        <v>2</v>
      </c>
      <c r="BP8" s="431"/>
      <c r="BQ8" s="431"/>
      <c r="BR8" s="432"/>
      <c r="BS8" s="430" t="s">
        <v>2</v>
      </c>
      <c r="BT8" s="431"/>
      <c r="BU8" s="431"/>
      <c r="BV8" s="432"/>
      <c r="BW8" s="430" t="s">
        <v>2</v>
      </c>
      <c r="BX8" s="431"/>
      <c r="BY8" s="431"/>
      <c r="BZ8" s="432"/>
      <c r="CA8" s="430" t="s">
        <v>2</v>
      </c>
      <c r="CB8" s="431"/>
      <c r="CC8" s="431"/>
      <c r="CD8" s="432"/>
      <c r="CE8" s="430" t="s">
        <v>2</v>
      </c>
      <c r="CF8" s="431"/>
      <c r="CG8" s="431"/>
      <c r="CH8" s="432"/>
      <c r="CI8" s="430" t="s">
        <v>2</v>
      </c>
      <c r="CJ8" s="431"/>
      <c r="CK8" s="431"/>
      <c r="CL8" s="432"/>
      <c r="CM8" s="430" t="s">
        <v>2</v>
      </c>
      <c r="CN8" s="431"/>
      <c r="CO8" s="431"/>
      <c r="CP8" s="432"/>
      <c r="CQ8" s="430" t="s">
        <v>2</v>
      </c>
      <c r="CR8" s="431"/>
      <c r="CS8" s="431"/>
      <c r="CT8" s="432"/>
      <c r="CU8" s="430" t="s">
        <v>2</v>
      </c>
      <c r="CV8" s="431"/>
      <c r="CW8" s="431"/>
      <c r="CX8" s="432"/>
      <c r="CY8" s="430" t="s">
        <v>2</v>
      </c>
      <c r="CZ8" s="431"/>
      <c r="DA8" s="431"/>
      <c r="DB8" s="432"/>
      <c r="DC8" s="430" t="s">
        <v>2</v>
      </c>
      <c r="DD8" s="431"/>
      <c r="DE8" s="431"/>
      <c r="DF8" s="432"/>
      <c r="DG8" s="430" t="s">
        <v>2</v>
      </c>
      <c r="DH8" s="431"/>
      <c r="DI8" s="431"/>
      <c r="DJ8" s="432"/>
      <c r="DK8" s="430" t="s">
        <v>2</v>
      </c>
      <c r="DL8" s="431"/>
      <c r="DM8" s="431"/>
      <c r="DN8" s="432"/>
      <c r="DO8" s="430" t="s">
        <v>2</v>
      </c>
      <c r="DP8" s="431"/>
      <c r="DQ8" s="431"/>
      <c r="DR8" s="432"/>
      <c r="DS8" s="430" t="s">
        <v>2</v>
      </c>
      <c r="DT8" s="431"/>
      <c r="DU8" s="431"/>
      <c r="DV8" s="432"/>
      <c r="DW8" s="430" t="s">
        <v>2</v>
      </c>
      <c r="DX8" s="431"/>
      <c r="DY8" s="431"/>
      <c r="DZ8" s="432"/>
      <c r="EA8" s="430" t="s">
        <v>2</v>
      </c>
      <c r="EB8" s="431"/>
      <c r="EC8" s="431"/>
      <c r="ED8" s="432"/>
      <c r="EE8" s="430" t="s">
        <v>2</v>
      </c>
      <c r="EF8" s="431"/>
      <c r="EG8" s="431"/>
      <c r="EH8" s="432"/>
      <c r="EI8" s="430" t="s">
        <v>2</v>
      </c>
      <c r="EJ8" s="431"/>
      <c r="EK8" s="431"/>
      <c r="EL8" s="432"/>
      <c r="EM8" s="430" t="s">
        <v>2</v>
      </c>
      <c r="EN8" s="431"/>
      <c r="EO8" s="431"/>
      <c r="EP8" s="432"/>
      <c r="EQ8" s="430" t="s">
        <v>2</v>
      </c>
      <c r="ER8" s="431"/>
      <c r="ES8" s="431"/>
      <c r="ET8" s="432"/>
      <c r="EU8" s="430" t="s">
        <v>2</v>
      </c>
      <c r="EV8" s="431"/>
      <c r="EW8" s="431"/>
      <c r="EX8" s="432"/>
      <c r="EY8" s="430" t="s">
        <v>2</v>
      </c>
      <c r="EZ8" s="431"/>
      <c r="FA8" s="431"/>
      <c r="FB8" s="432"/>
    </row>
    <row r="9" spans="1:158" s="147" customFormat="1" ht="62.25" customHeight="1" x14ac:dyDescent="0.2">
      <c r="A9" s="145"/>
      <c r="B9" s="145"/>
      <c r="C9" s="146" t="s">
        <v>181</v>
      </c>
      <c r="D9" s="146" t="s">
        <v>353</v>
      </c>
      <c r="E9" s="146" t="s">
        <v>182</v>
      </c>
      <c r="F9" s="146" t="s">
        <v>183</v>
      </c>
      <c r="G9" s="146" t="s">
        <v>181</v>
      </c>
      <c r="H9" s="146" t="s">
        <v>353</v>
      </c>
      <c r="I9" s="146" t="s">
        <v>182</v>
      </c>
      <c r="J9" s="146" t="s">
        <v>183</v>
      </c>
      <c r="K9" s="146" t="s">
        <v>181</v>
      </c>
      <c r="L9" s="146" t="s">
        <v>353</v>
      </c>
      <c r="M9" s="146" t="s">
        <v>182</v>
      </c>
      <c r="N9" s="146" t="s">
        <v>183</v>
      </c>
      <c r="O9" s="146" t="s">
        <v>181</v>
      </c>
      <c r="P9" s="146" t="s">
        <v>353</v>
      </c>
      <c r="Q9" s="146" t="s">
        <v>182</v>
      </c>
      <c r="R9" s="146" t="s">
        <v>183</v>
      </c>
      <c r="S9" s="146" t="s">
        <v>181</v>
      </c>
      <c r="T9" s="146" t="s">
        <v>353</v>
      </c>
      <c r="U9" s="146" t="s">
        <v>182</v>
      </c>
      <c r="V9" s="146" t="s">
        <v>183</v>
      </c>
      <c r="W9" s="146" t="s">
        <v>181</v>
      </c>
      <c r="X9" s="146" t="s">
        <v>353</v>
      </c>
      <c r="Y9" s="146" t="s">
        <v>182</v>
      </c>
      <c r="Z9" s="146" t="s">
        <v>183</v>
      </c>
      <c r="AA9" s="146" t="s">
        <v>181</v>
      </c>
      <c r="AB9" s="146" t="s">
        <v>353</v>
      </c>
      <c r="AC9" s="146" t="s">
        <v>182</v>
      </c>
      <c r="AD9" s="146" t="s">
        <v>183</v>
      </c>
      <c r="AE9" s="146" t="s">
        <v>181</v>
      </c>
      <c r="AF9" s="146" t="s">
        <v>353</v>
      </c>
      <c r="AG9" s="146" t="s">
        <v>182</v>
      </c>
      <c r="AH9" s="146" t="s">
        <v>183</v>
      </c>
      <c r="AI9" s="146" t="s">
        <v>181</v>
      </c>
      <c r="AJ9" s="146" t="s">
        <v>353</v>
      </c>
      <c r="AK9" s="146" t="s">
        <v>182</v>
      </c>
      <c r="AL9" s="146" t="s">
        <v>183</v>
      </c>
      <c r="AM9" s="146" t="s">
        <v>181</v>
      </c>
      <c r="AN9" s="146" t="s">
        <v>353</v>
      </c>
      <c r="AO9" s="146" t="s">
        <v>182</v>
      </c>
      <c r="AP9" s="146" t="s">
        <v>183</v>
      </c>
      <c r="AQ9" s="146" t="s">
        <v>181</v>
      </c>
      <c r="AR9" s="146" t="s">
        <v>353</v>
      </c>
      <c r="AS9" s="146" t="s">
        <v>182</v>
      </c>
      <c r="AT9" s="146" t="s">
        <v>183</v>
      </c>
      <c r="AU9" s="146" t="s">
        <v>181</v>
      </c>
      <c r="AV9" s="146" t="s">
        <v>353</v>
      </c>
      <c r="AW9" s="146" t="s">
        <v>182</v>
      </c>
      <c r="AX9" s="146" t="s">
        <v>183</v>
      </c>
      <c r="AY9" s="146" t="s">
        <v>181</v>
      </c>
      <c r="AZ9" s="146" t="s">
        <v>353</v>
      </c>
      <c r="BA9" s="146" t="s">
        <v>182</v>
      </c>
      <c r="BB9" s="146" t="s">
        <v>183</v>
      </c>
      <c r="BC9" s="146" t="s">
        <v>181</v>
      </c>
      <c r="BD9" s="146" t="s">
        <v>353</v>
      </c>
      <c r="BE9" s="146" t="s">
        <v>182</v>
      </c>
      <c r="BF9" s="146" t="s">
        <v>183</v>
      </c>
      <c r="BG9" s="146" t="s">
        <v>181</v>
      </c>
      <c r="BH9" s="146" t="s">
        <v>353</v>
      </c>
      <c r="BI9" s="146" t="s">
        <v>182</v>
      </c>
      <c r="BJ9" s="146" t="s">
        <v>183</v>
      </c>
      <c r="BK9" s="146" t="s">
        <v>181</v>
      </c>
      <c r="BL9" s="146" t="s">
        <v>353</v>
      </c>
      <c r="BM9" s="146" t="s">
        <v>182</v>
      </c>
      <c r="BN9" s="146" t="s">
        <v>183</v>
      </c>
      <c r="BO9" s="146" t="s">
        <v>181</v>
      </c>
      <c r="BP9" s="146" t="s">
        <v>353</v>
      </c>
      <c r="BQ9" s="146" t="s">
        <v>182</v>
      </c>
      <c r="BR9" s="146" t="s">
        <v>183</v>
      </c>
      <c r="BS9" s="146" t="s">
        <v>181</v>
      </c>
      <c r="BT9" s="146" t="s">
        <v>353</v>
      </c>
      <c r="BU9" s="146" t="s">
        <v>182</v>
      </c>
      <c r="BV9" s="146" t="s">
        <v>183</v>
      </c>
      <c r="BW9" s="146" t="s">
        <v>181</v>
      </c>
      <c r="BX9" s="146" t="s">
        <v>353</v>
      </c>
      <c r="BY9" s="146" t="s">
        <v>182</v>
      </c>
      <c r="BZ9" s="146" t="s">
        <v>183</v>
      </c>
      <c r="CA9" s="146" t="s">
        <v>181</v>
      </c>
      <c r="CB9" s="146" t="s">
        <v>353</v>
      </c>
      <c r="CC9" s="146" t="s">
        <v>182</v>
      </c>
      <c r="CD9" s="146" t="s">
        <v>183</v>
      </c>
      <c r="CE9" s="146" t="s">
        <v>181</v>
      </c>
      <c r="CF9" s="146" t="s">
        <v>353</v>
      </c>
      <c r="CG9" s="146" t="s">
        <v>182</v>
      </c>
      <c r="CH9" s="146" t="s">
        <v>183</v>
      </c>
      <c r="CI9" s="146" t="s">
        <v>181</v>
      </c>
      <c r="CJ9" s="146" t="s">
        <v>353</v>
      </c>
      <c r="CK9" s="146" t="s">
        <v>182</v>
      </c>
      <c r="CL9" s="146" t="s">
        <v>183</v>
      </c>
      <c r="CM9" s="146" t="s">
        <v>181</v>
      </c>
      <c r="CN9" s="146" t="s">
        <v>353</v>
      </c>
      <c r="CO9" s="146" t="s">
        <v>182</v>
      </c>
      <c r="CP9" s="146" t="s">
        <v>183</v>
      </c>
      <c r="CQ9" s="146" t="s">
        <v>181</v>
      </c>
      <c r="CR9" s="146" t="s">
        <v>353</v>
      </c>
      <c r="CS9" s="146" t="s">
        <v>182</v>
      </c>
      <c r="CT9" s="146" t="s">
        <v>183</v>
      </c>
      <c r="CU9" s="146" t="s">
        <v>181</v>
      </c>
      <c r="CV9" s="146" t="s">
        <v>353</v>
      </c>
      <c r="CW9" s="146" t="s">
        <v>182</v>
      </c>
      <c r="CX9" s="146" t="s">
        <v>183</v>
      </c>
      <c r="CY9" s="146" t="s">
        <v>181</v>
      </c>
      <c r="CZ9" s="146" t="s">
        <v>353</v>
      </c>
      <c r="DA9" s="146" t="s">
        <v>182</v>
      </c>
      <c r="DB9" s="146" t="s">
        <v>183</v>
      </c>
      <c r="DC9" s="146" t="s">
        <v>181</v>
      </c>
      <c r="DD9" s="146" t="s">
        <v>353</v>
      </c>
      <c r="DE9" s="146" t="s">
        <v>182</v>
      </c>
      <c r="DF9" s="146" t="s">
        <v>183</v>
      </c>
      <c r="DG9" s="146" t="s">
        <v>181</v>
      </c>
      <c r="DH9" s="146" t="s">
        <v>353</v>
      </c>
      <c r="DI9" s="146" t="s">
        <v>182</v>
      </c>
      <c r="DJ9" s="146" t="s">
        <v>183</v>
      </c>
      <c r="DK9" s="146" t="s">
        <v>181</v>
      </c>
      <c r="DL9" s="146" t="s">
        <v>353</v>
      </c>
      <c r="DM9" s="146" t="s">
        <v>182</v>
      </c>
      <c r="DN9" s="146" t="s">
        <v>183</v>
      </c>
      <c r="DO9" s="146" t="s">
        <v>181</v>
      </c>
      <c r="DP9" s="146" t="s">
        <v>353</v>
      </c>
      <c r="DQ9" s="146" t="s">
        <v>182</v>
      </c>
      <c r="DR9" s="146" t="s">
        <v>183</v>
      </c>
      <c r="DS9" s="146" t="s">
        <v>181</v>
      </c>
      <c r="DT9" s="146" t="s">
        <v>353</v>
      </c>
      <c r="DU9" s="146" t="s">
        <v>182</v>
      </c>
      <c r="DV9" s="146" t="s">
        <v>183</v>
      </c>
      <c r="DW9" s="146" t="s">
        <v>181</v>
      </c>
      <c r="DX9" s="146" t="s">
        <v>353</v>
      </c>
      <c r="DY9" s="146" t="s">
        <v>182</v>
      </c>
      <c r="DZ9" s="146" t="s">
        <v>183</v>
      </c>
      <c r="EA9" s="146" t="s">
        <v>181</v>
      </c>
      <c r="EB9" s="146" t="s">
        <v>353</v>
      </c>
      <c r="EC9" s="146" t="s">
        <v>182</v>
      </c>
      <c r="ED9" s="146" t="s">
        <v>183</v>
      </c>
      <c r="EE9" s="146" t="s">
        <v>181</v>
      </c>
      <c r="EF9" s="146" t="s">
        <v>353</v>
      </c>
      <c r="EG9" s="146" t="s">
        <v>182</v>
      </c>
      <c r="EH9" s="146" t="s">
        <v>183</v>
      </c>
      <c r="EI9" s="146" t="s">
        <v>181</v>
      </c>
      <c r="EJ9" s="146" t="s">
        <v>353</v>
      </c>
      <c r="EK9" s="146" t="s">
        <v>182</v>
      </c>
      <c r="EL9" s="146" t="s">
        <v>183</v>
      </c>
      <c r="EM9" s="146" t="s">
        <v>181</v>
      </c>
      <c r="EN9" s="146" t="s">
        <v>353</v>
      </c>
      <c r="EO9" s="146" t="s">
        <v>182</v>
      </c>
      <c r="EP9" s="146" t="s">
        <v>183</v>
      </c>
      <c r="EQ9" s="146" t="s">
        <v>181</v>
      </c>
      <c r="ER9" s="146" t="s">
        <v>353</v>
      </c>
      <c r="ES9" s="146" t="s">
        <v>182</v>
      </c>
      <c r="ET9" s="146" t="s">
        <v>183</v>
      </c>
      <c r="EU9" s="146" t="s">
        <v>181</v>
      </c>
      <c r="EV9" s="146" t="s">
        <v>353</v>
      </c>
      <c r="EW9" s="146" t="s">
        <v>182</v>
      </c>
      <c r="EX9" s="146" t="s">
        <v>183</v>
      </c>
      <c r="EY9" s="146" t="s">
        <v>181</v>
      </c>
      <c r="EZ9" s="146" t="s">
        <v>353</v>
      </c>
      <c r="FA9" s="146" t="s">
        <v>182</v>
      </c>
      <c r="FB9" s="146" t="s">
        <v>183</v>
      </c>
    </row>
    <row r="10" spans="1:158" x14ac:dyDescent="0.2">
      <c r="A10" s="148">
        <v>1</v>
      </c>
      <c r="B10" s="148">
        <v>3</v>
      </c>
      <c r="C10" s="148">
        <v>4</v>
      </c>
      <c r="D10" s="148">
        <v>5</v>
      </c>
      <c r="E10" s="148">
        <v>6</v>
      </c>
      <c r="F10" s="148">
        <v>7</v>
      </c>
      <c r="G10" s="148">
        <v>4</v>
      </c>
      <c r="H10" s="148">
        <v>5</v>
      </c>
      <c r="I10" s="148">
        <v>6</v>
      </c>
      <c r="J10" s="148">
        <v>7</v>
      </c>
      <c r="K10" s="148">
        <v>4</v>
      </c>
      <c r="L10" s="148">
        <v>5</v>
      </c>
      <c r="M10" s="148">
        <v>6</v>
      </c>
      <c r="N10" s="148">
        <v>7</v>
      </c>
      <c r="O10" s="148">
        <v>4</v>
      </c>
      <c r="P10" s="148">
        <v>5</v>
      </c>
      <c r="Q10" s="148">
        <v>6</v>
      </c>
      <c r="R10" s="148">
        <v>7</v>
      </c>
      <c r="S10" s="148">
        <v>4</v>
      </c>
      <c r="T10" s="148">
        <v>5</v>
      </c>
      <c r="U10" s="148">
        <v>6</v>
      </c>
      <c r="V10" s="148">
        <v>7</v>
      </c>
      <c r="W10" s="148">
        <v>4</v>
      </c>
      <c r="X10" s="148">
        <v>5</v>
      </c>
      <c r="Y10" s="148">
        <v>6</v>
      </c>
      <c r="Z10" s="148">
        <v>7</v>
      </c>
      <c r="AA10" s="148">
        <v>4</v>
      </c>
      <c r="AB10" s="148">
        <v>5</v>
      </c>
      <c r="AC10" s="148">
        <v>6</v>
      </c>
      <c r="AD10" s="148">
        <v>7</v>
      </c>
      <c r="AE10" s="148">
        <v>4</v>
      </c>
      <c r="AF10" s="148">
        <v>5</v>
      </c>
      <c r="AG10" s="148">
        <v>6</v>
      </c>
      <c r="AH10" s="148">
        <v>7</v>
      </c>
      <c r="AI10" s="148">
        <v>4</v>
      </c>
      <c r="AJ10" s="148">
        <v>5</v>
      </c>
      <c r="AK10" s="148">
        <v>6</v>
      </c>
      <c r="AL10" s="148">
        <v>7</v>
      </c>
      <c r="AM10" s="148">
        <v>4</v>
      </c>
      <c r="AN10" s="148">
        <v>5</v>
      </c>
      <c r="AO10" s="148">
        <v>6</v>
      </c>
      <c r="AP10" s="148">
        <v>7</v>
      </c>
      <c r="AQ10" s="148">
        <v>4</v>
      </c>
      <c r="AR10" s="148">
        <v>5</v>
      </c>
      <c r="AS10" s="148">
        <v>6</v>
      </c>
      <c r="AT10" s="148">
        <v>7</v>
      </c>
      <c r="AU10" s="148">
        <v>4</v>
      </c>
      <c r="AV10" s="148">
        <v>5</v>
      </c>
      <c r="AW10" s="148">
        <v>6</v>
      </c>
      <c r="AX10" s="148">
        <v>7</v>
      </c>
      <c r="AY10" s="148">
        <v>4</v>
      </c>
      <c r="AZ10" s="148">
        <v>5</v>
      </c>
      <c r="BA10" s="148">
        <v>6</v>
      </c>
      <c r="BB10" s="148">
        <v>7</v>
      </c>
      <c r="BC10" s="148">
        <v>4</v>
      </c>
      <c r="BD10" s="148">
        <v>5</v>
      </c>
      <c r="BE10" s="148">
        <v>6</v>
      </c>
      <c r="BF10" s="148">
        <v>7</v>
      </c>
      <c r="BG10" s="148">
        <v>4</v>
      </c>
      <c r="BH10" s="148">
        <v>5</v>
      </c>
      <c r="BI10" s="148">
        <v>6</v>
      </c>
      <c r="BJ10" s="148">
        <v>7</v>
      </c>
      <c r="BK10" s="148">
        <v>4</v>
      </c>
      <c r="BL10" s="148">
        <v>5</v>
      </c>
      <c r="BM10" s="148">
        <v>6</v>
      </c>
      <c r="BN10" s="148">
        <v>7</v>
      </c>
      <c r="BO10" s="148">
        <v>4</v>
      </c>
      <c r="BP10" s="148">
        <v>5</v>
      </c>
      <c r="BQ10" s="148">
        <v>6</v>
      </c>
      <c r="BR10" s="148">
        <v>7</v>
      </c>
      <c r="BS10" s="148">
        <v>4</v>
      </c>
      <c r="BT10" s="148">
        <v>5</v>
      </c>
      <c r="BU10" s="148">
        <v>6</v>
      </c>
      <c r="BV10" s="148">
        <v>7</v>
      </c>
      <c r="BW10" s="148">
        <v>4</v>
      </c>
      <c r="BX10" s="148">
        <v>5</v>
      </c>
      <c r="BY10" s="148">
        <v>6</v>
      </c>
      <c r="BZ10" s="148">
        <v>7</v>
      </c>
      <c r="CA10" s="148">
        <v>4</v>
      </c>
      <c r="CB10" s="148">
        <v>5</v>
      </c>
      <c r="CC10" s="148">
        <v>6</v>
      </c>
      <c r="CD10" s="148">
        <v>7</v>
      </c>
      <c r="CE10" s="148">
        <v>4</v>
      </c>
      <c r="CF10" s="148">
        <v>5</v>
      </c>
      <c r="CG10" s="148">
        <v>6</v>
      </c>
      <c r="CH10" s="148">
        <v>7</v>
      </c>
      <c r="CI10" s="148">
        <v>4</v>
      </c>
      <c r="CJ10" s="148">
        <v>5</v>
      </c>
      <c r="CK10" s="148">
        <v>6</v>
      </c>
      <c r="CL10" s="148">
        <v>7</v>
      </c>
      <c r="CM10" s="148">
        <v>4</v>
      </c>
      <c r="CN10" s="148">
        <v>5</v>
      </c>
      <c r="CO10" s="148">
        <v>6</v>
      </c>
      <c r="CP10" s="148">
        <v>7</v>
      </c>
      <c r="CQ10" s="148">
        <v>4</v>
      </c>
      <c r="CR10" s="148">
        <v>5</v>
      </c>
      <c r="CS10" s="148">
        <v>6</v>
      </c>
      <c r="CT10" s="148">
        <v>7</v>
      </c>
      <c r="CU10" s="148">
        <v>4</v>
      </c>
      <c r="CV10" s="148">
        <v>5</v>
      </c>
      <c r="CW10" s="148">
        <v>6</v>
      </c>
      <c r="CX10" s="148">
        <v>7</v>
      </c>
      <c r="CY10" s="148">
        <v>4</v>
      </c>
      <c r="CZ10" s="148">
        <v>5</v>
      </c>
      <c r="DA10" s="148">
        <v>6</v>
      </c>
      <c r="DB10" s="148">
        <v>7</v>
      </c>
      <c r="DC10" s="148">
        <v>4</v>
      </c>
      <c r="DD10" s="148">
        <v>5</v>
      </c>
      <c r="DE10" s="148">
        <v>6</v>
      </c>
      <c r="DF10" s="148">
        <v>7</v>
      </c>
      <c r="DG10" s="148">
        <v>4</v>
      </c>
      <c r="DH10" s="148">
        <v>5</v>
      </c>
      <c r="DI10" s="148">
        <v>6</v>
      </c>
      <c r="DJ10" s="148">
        <v>7</v>
      </c>
      <c r="DK10" s="148">
        <v>4</v>
      </c>
      <c r="DL10" s="148">
        <v>5</v>
      </c>
      <c r="DM10" s="148">
        <v>6</v>
      </c>
      <c r="DN10" s="148">
        <v>7</v>
      </c>
      <c r="DO10" s="148">
        <v>4</v>
      </c>
      <c r="DP10" s="148">
        <v>5</v>
      </c>
      <c r="DQ10" s="148">
        <v>6</v>
      </c>
      <c r="DR10" s="148">
        <v>7</v>
      </c>
      <c r="DS10" s="148">
        <v>4</v>
      </c>
      <c r="DT10" s="148">
        <v>5</v>
      </c>
      <c r="DU10" s="148">
        <v>6</v>
      </c>
      <c r="DV10" s="148">
        <v>7</v>
      </c>
      <c r="DW10" s="148">
        <v>4</v>
      </c>
      <c r="DX10" s="148">
        <v>5</v>
      </c>
      <c r="DY10" s="148">
        <v>6</v>
      </c>
      <c r="DZ10" s="148">
        <v>7</v>
      </c>
      <c r="EA10" s="148">
        <v>4</v>
      </c>
      <c r="EB10" s="148">
        <v>5</v>
      </c>
      <c r="EC10" s="148">
        <v>6</v>
      </c>
      <c r="ED10" s="148">
        <v>7</v>
      </c>
      <c r="EE10" s="148">
        <v>4</v>
      </c>
      <c r="EF10" s="148">
        <v>5</v>
      </c>
      <c r="EG10" s="148">
        <v>6</v>
      </c>
      <c r="EH10" s="148">
        <v>7</v>
      </c>
      <c r="EI10" s="148">
        <v>4</v>
      </c>
      <c r="EJ10" s="148">
        <v>5</v>
      </c>
      <c r="EK10" s="148">
        <v>6</v>
      </c>
      <c r="EL10" s="148">
        <v>7</v>
      </c>
      <c r="EM10" s="148">
        <v>4</v>
      </c>
      <c r="EN10" s="148">
        <v>5</v>
      </c>
      <c r="EO10" s="148">
        <v>6</v>
      </c>
      <c r="EP10" s="148">
        <v>7</v>
      </c>
      <c r="EQ10" s="148">
        <v>4</v>
      </c>
      <c r="ER10" s="148">
        <v>5</v>
      </c>
      <c r="ES10" s="148">
        <v>6</v>
      </c>
      <c r="ET10" s="148">
        <v>7</v>
      </c>
      <c r="EU10" s="148">
        <v>4</v>
      </c>
      <c r="EV10" s="148">
        <v>5</v>
      </c>
      <c r="EW10" s="148">
        <v>6</v>
      </c>
      <c r="EX10" s="148">
        <v>7</v>
      </c>
      <c r="EY10" s="148">
        <v>4</v>
      </c>
      <c r="EZ10" s="148">
        <v>5</v>
      </c>
      <c r="FA10" s="148">
        <v>6</v>
      </c>
      <c r="FB10" s="148">
        <v>7</v>
      </c>
    </row>
    <row r="11" spans="1:158" s="153" customFormat="1" ht="14.1" customHeight="1" x14ac:dyDescent="0.2">
      <c r="A11" s="149" t="s">
        <v>124</v>
      </c>
      <c r="B11" s="150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  <c r="BI11" s="151"/>
      <c r="BJ11" s="151"/>
      <c r="BK11" s="151"/>
      <c r="BL11" s="151"/>
      <c r="BM11" s="151"/>
      <c r="BN11" s="151"/>
      <c r="BO11" s="151"/>
      <c r="BP11" s="151"/>
      <c r="BQ11" s="151"/>
      <c r="BR11" s="151"/>
      <c r="BS11" s="151"/>
      <c r="BT11" s="151"/>
      <c r="BU11" s="151"/>
      <c r="BV11" s="151"/>
      <c r="BW11" s="151"/>
      <c r="BX11" s="151"/>
      <c r="BY11" s="151"/>
      <c r="BZ11" s="151"/>
      <c r="CA11" s="151"/>
      <c r="CB11" s="151"/>
      <c r="CC11" s="151"/>
      <c r="CD11" s="151"/>
      <c r="CE11" s="151"/>
      <c r="CF11" s="151"/>
      <c r="CG11" s="151"/>
      <c r="CH11" s="151"/>
      <c r="CI11" s="151"/>
      <c r="CJ11" s="151"/>
      <c r="CK11" s="151"/>
      <c r="CL11" s="151"/>
      <c r="CM11" s="151"/>
      <c r="CN11" s="151"/>
      <c r="CO11" s="151"/>
      <c r="CP11" s="151"/>
      <c r="CQ11" s="151"/>
      <c r="CR11" s="151"/>
      <c r="CS11" s="151"/>
      <c r="CT11" s="151"/>
      <c r="CU11" s="151"/>
      <c r="CV11" s="151"/>
      <c r="CW11" s="151"/>
      <c r="CX11" s="151"/>
      <c r="CY11" s="151"/>
      <c r="CZ11" s="151"/>
      <c r="DA11" s="151"/>
      <c r="DB11" s="151"/>
      <c r="DC11" s="151"/>
      <c r="DD11" s="151"/>
      <c r="DE11" s="151"/>
      <c r="DF11" s="151"/>
      <c r="DG11" s="151"/>
      <c r="DH11" s="151"/>
      <c r="DI11" s="151"/>
      <c r="DJ11" s="151"/>
      <c r="DK11" s="151"/>
      <c r="DL11" s="151"/>
      <c r="DM11" s="151"/>
      <c r="DN11" s="151"/>
      <c r="DO11" s="151"/>
      <c r="DP11" s="151"/>
      <c r="DQ11" s="151"/>
      <c r="DR11" s="151"/>
      <c r="DS11" s="151"/>
      <c r="DT11" s="151"/>
      <c r="DU11" s="151"/>
      <c r="DV11" s="151"/>
      <c r="DW11" s="151"/>
      <c r="DX11" s="151"/>
      <c r="DY11" s="151"/>
      <c r="DZ11" s="151"/>
      <c r="EA11" s="151"/>
      <c r="EB11" s="151"/>
      <c r="EC11" s="151"/>
      <c r="ED11" s="151"/>
      <c r="EE11" s="151"/>
      <c r="EF11" s="151"/>
      <c r="EG11" s="151"/>
      <c r="EH11" s="151"/>
      <c r="EI11" s="151"/>
      <c r="EJ11" s="151"/>
      <c r="EK11" s="151"/>
      <c r="EL11" s="151"/>
      <c r="EM11" s="151"/>
      <c r="EN11" s="151"/>
      <c r="EO11" s="151"/>
      <c r="EP11" s="151"/>
      <c r="EQ11" s="151"/>
      <c r="ER11" s="151"/>
      <c r="ES11" s="151"/>
      <c r="ET11" s="151"/>
      <c r="EU11" s="151"/>
      <c r="EV11" s="151"/>
      <c r="EW11" s="151"/>
      <c r="EX11" s="151"/>
      <c r="EY11" s="152"/>
      <c r="EZ11" s="152"/>
      <c r="FA11" s="152"/>
      <c r="FB11" s="152"/>
    </row>
    <row r="12" spans="1:158" s="153" customFormat="1" ht="14.1" customHeight="1" x14ac:dyDescent="0.2">
      <c r="A12" s="112" t="s">
        <v>125</v>
      </c>
      <c r="B12" s="113" t="s">
        <v>3</v>
      </c>
      <c r="C12" s="114">
        <f t="shared" ref="C12" si="0">C14+C15+C16+C17</f>
        <v>0</v>
      </c>
      <c r="D12" s="115">
        <f t="shared" ref="D12:D27" si="1">ROUND(C12/12*$A$7,0)</f>
        <v>0</v>
      </c>
      <c r="E12" s="116">
        <f t="shared" ref="E12" si="2">E14+E15+E16+E17</f>
        <v>0</v>
      </c>
      <c r="F12" s="117" t="e">
        <f t="shared" ref="F12:F77" si="3">E12/D12*100</f>
        <v>#DIV/0!</v>
      </c>
      <c r="G12" s="117">
        <f t="shared" ref="G12:BO12" si="4">G14+G15+G16+G17</f>
        <v>38621</v>
      </c>
      <c r="H12" s="117">
        <f t="shared" si="4"/>
        <v>38621</v>
      </c>
      <c r="I12" s="117">
        <f t="shared" ref="I12:BQ12" si="5">I14+I15+I16+I17</f>
        <v>33377</v>
      </c>
      <c r="J12" s="117">
        <f>IF(H12=0,0,I12/H12*100)</f>
        <v>86.42189482405945</v>
      </c>
      <c r="K12" s="117">
        <f t="shared" si="4"/>
        <v>0</v>
      </c>
      <c r="L12" s="115">
        <f t="shared" ref="H12:BP27" si="6">ROUND(K12/12*$A$7,0)</f>
        <v>0</v>
      </c>
      <c r="M12" s="117">
        <f t="shared" si="5"/>
        <v>0</v>
      </c>
      <c r="N12" s="117" t="e">
        <f t="shared" ref="N12:N26" si="7">M12/L12*100</f>
        <v>#DIV/0!</v>
      </c>
      <c r="O12" s="117">
        <f t="shared" si="4"/>
        <v>22087</v>
      </c>
      <c r="P12" s="117">
        <f t="shared" si="4"/>
        <v>22087</v>
      </c>
      <c r="Q12" s="117">
        <f t="shared" si="5"/>
        <v>49536</v>
      </c>
      <c r="R12" s="117">
        <f>IF(P12=0,0,Q12/P12*100)</f>
        <v>224.27672386471679</v>
      </c>
      <c r="S12" s="117">
        <f t="shared" si="4"/>
        <v>28283</v>
      </c>
      <c r="T12" s="117">
        <f t="shared" si="4"/>
        <v>28283</v>
      </c>
      <c r="U12" s="117">
        <f t="shared" si="5"/>
        <v>28470</v>
      </c>
      <c r="V12" s="117">
        <f>IF(T12=0,0,U12/T12*100)</f>
        <v>100.66117455715447</v>
      </c>
      <c r="W12" s="117">
        <f t="shared" si="4"/>
        <v>50516</v>
      </c>
      <c r="X12" s="117">
        <f t="shared" si="4"/>
        <v>50516</v>
      </c>
      <c r="Y12" s="117">
        <f t="shared" si="5"/>
        <v>50631</v>
      </c>
      <c r="Z12" s="117">
        <f>IF(X12=0,0,Y12/X12*100)</f>
        <v>100.22765064534009</v>
      </c>
      <c r="AA12" s="117">
        <f t="shared" si="4"/>
        <v>29179</v>
      </c>
      <c r="AB12" s="117">
        <f t="shared" si="4"/>
        <v>29179</v>
      </c>
      <c r="AC12" s="117">
        <f t="shared" si="5"/>
        <v>28398</v>
      </c>
      <c r="AD12" s="117">
        <f>IF(AB12=0,0,AC12/AB12*100)</f>
        <v>97.323417526303174</v>
      </c>
      <c r="AE12" s="117">
        <f t="shared" si="4"/>
        <v>17409</v>
      </c>
      <c r="AF12" s="117">
        <f t="shared" si="4"/>
        <v>17409</v>
      </c>
      <c r="AG12" s="117">
        <f t="shared" si="5"/>
        <v>16775</v>
      </c>
      <c r="AH12" s="117">
        <f>IF(AF12=0,0,AG12/AF12*100)</f>
        <v>96.358205525877423</v>
      </c>
      <c r="AI12" s="117">
        <f t="shared" si="4"/>
        <v>46455</v>
      </c>
      <c r="AJ12" s="117">
        <f t="shared" si="4"/>
        <v>46455</v>
      </c>
      <c r="AK12" s="117">
        <f t="shared" si="5"/>
        <v>49258</v>
      </c>
      <c r="AL12" s="117">
        <f>IF(AJ12=0,0,AK12/AJ12*100)</f>
        <v>106.03379614680874</v>
      </c>
      <c r="AM12" s="117">
        <f t="shared" si="4"/>
        <v>17927</v>
      </c>
      <c r="AN12" s="117">
        <f t="shared" si="4"/>
        <v>17927</v>
      </c>
      <c r="AO12" s="117">
        <f t="shared" si="5"/>
        <v>36931</v>
      </c>
      <c r="AP12" s="117">
        <f>IF(AN12=0,0,AO12/AN12*100)</f>
        <v>206.00769788587047</v>
      </c>
      <c r="AQ12" s="117">
        <f t="shared" si="4"/>
        <v>15105</v>
      </c>
      <c r="AR12" s="117">
        <f t="shared" si="4"/>
        <v>15105</v>
      </c>
      <c r="AS12" s="117">
        <f t="shared" si="5"/>
        <v>15246</v>
      </c>
      <c r="AT12" s="117">
        <f>IF(AR12=0,0,AS12/AR12*100)</f>
        <v>100.93346573982124</v>
      </c>
      <c r="AU12" s="117">
        <f t="shared" si="4"/>
        <v>33368</v>
      </c>
      <c r="AV12" s="117">
        <f t="shared" si="4"/>
        <v>33368</v>
      </c>
      <c r="AW12" s="117">
        <f t="shared" si="5"/>
        <v>34275</v>
      </c>
      <c r="AX12" s="117">
        <f>IF(AV12=0,0,AW12/AV12*100)</f>
        <v>102.71817309997601</v>
      </c>
      <c r="AY12" s="117">
        <f t="shared" si="4"/>
        <v>22912</v>
      </c>
      <c r="AZ12" s="117">
        <f t="shared" si="4"/>
        <v>22912</v>
      </c>
      <c r="BA12" s="117">
        <f t="shared" si="5"/>
        <v>22120</v>
      </c>
      <c r="BB12" s="117">
        <f>IF(AZ12=0,0,BA12/AZ12*100)</f>
        <v>96.543296089385478</v>
      </c>
      <c r="BC12" s="117">
        <f t="shared" si="4"/>
        <v>26945</v>
      </c>
      <c r="BD12" s="117">
        <f t="shared" si="4"/>
        <v>26945</v>
      </c>
      <c r="BE12" s="117">
        <f t="shared" si="5"/>
        <v>26829</v>
      </c>
      <c r="BF12" s="117">
        <f>IF(BD12=0,0,BE12/BD12*100)</f>
        <v>99.569493412506958</v>
      </c>
      <c r="BG12" s="117">
        <f t="shared" si="4"/>
        <v>29065</v>
      </c>
      <c r="BH12" s="117">
        <f t="shared" si="4"/>
        <v>29065</v>
      </c>
      <c r="BI12" s="117">
        <f t="shared" si="5"/>
        <v>38225</v>
      </c>
      <c r="BJ12" s="117">
        <f>IF(BH12=0,0,BI12/BH12*100)</f>
        <v>131.51556855324273</v>
      </c>
      <c r="BK12" s="117">
        <f t="shared" si="4"/>
        <v>0</v>
      </c>
      <c r="BL12" s="115">
        <f t="shared" si="6"/>
        <v>0</v>
      </c>
      <c r="BM12" s="117">
        <f t="shared" si="5"/>
        <v>0</v>
      </c>
      <c r="BN12" s="117">
        <f>IF(BL12=0,0,BM12/BL12*100)</f>
        <v>0</v>
      </c>
      <c r="BO12" s="117">
        <f t="shared" si="4"/>
        <v>0</v>
      </c>
      <c r="BP12" s="115">
        <f t="shared" si="6"/>
        <v>0</v>
      </c>
      <c r="BQ12" s="117">
        <f t="shared" si="5"/>
        <v>0</v>
      </c>
      <c r="BR12" s="117">
        <f>IF(BP12=0,0,BQ12/BP12*100)</f>
        <v>0</v>
      </c>
      <c r="BS12" s="117">
        <f t="shared" ref="BS12:DW12" si="8">BS14+BS15+BS16+BS17</f>
        <v>0</v>
      </c>
      <c r="BT12" s="115">
        <f t="shared" ref="BT12:DX27" si="9">ROUND(BS12/12*$A$7,0)</f>
        <v>0</v>
      </c>
      <c r="BU12" s="117">
        <f t="shared" ref="BU12:DY12" si="10">BU14+BU15+BU16+BU17</f>
        <v>0</v>
      </c>
      <c r="BV12" s="117">
        <f>IF(BT12=0,0,BU12/BT12*100)</f>
        <v>0</v>
      </c>
      <c r="BW12" s="117">
        <f t="shared" si="8"/>
        <v>0</v>
      </c>
      <c r="BX12" s="115">
        <f t="shared" si="9"/>
        <v>0</v>
      </c>
      <c r="BY12" s="117">
        <f t="shared" si="10"/>
        <v>0</v>
      </c>
      <c r="BZ12" s="117">
        <f>IF(BX12=0,0,BY12/BX12*100)</f>
        <v>0</v>
      </c>
      <c r="CA12" s="117">
        <f t="shared" si="8"/>
        <v>0</v>
      </c>
      <c r="CB12" s="115">
        <f t="shared" si="9"/>
        <v>0</v>
      </c>
      <c r="CC12" s="117">
        <f t="shared" si="10"/>
        <v>0</v>
      </c>
      <c r="CD12" s="117">
        <f>IF(CB12=0,0,CC12/CB12*100)</f>
        <v>0</v>
      </c>
      <c r="CE12" s="117">
        <f t="shared" si="8"/>
        <v>0</v>
      </c>
      <c r="CF12" s="115">
        <f t="shared" si="9"/>
        <v>0</v>
      </c>
      <c r="CG12" s="117">
        <f t="shared" si="10"/>
        <v>0</v>
      </c>
      <c r="CH12" s="117">
        <f>IF(CF12=0,0,CG12/CF12*100)</f>
        <v>0</v>
      </c>
      <c r="CI12" s="117">
        <f t="shared" si="8"/>
        <v>0</v>
      </c>
      <c r="CJ12" s="115">
        <f t="shared" si="9"/>
        <v>0</v>
      </c>
      <c r="CK12" s="117">
        <f t="shared" si="10"/>
        <v>0</v>
      </c>
      <c r="CL12" s="117">
        <f>IF(CJ12=0,0,CK12/CJ12*100)</f>
        <v>0</v>
      </c>
      <c r="CM12" s="117">
        <f t="shared" si="8"/>
        <v>0</v>
      </c>
      <c r="CN12" s="115">
        <f t="shared" si="9"/>
        <v>0</v>
      </c>
      <c r="CO12" s="117">
        <f t="shared" si="10"/>
        <v>0</v>
      </c>
      <c r="CP12" s="117">
        <f>IF(CN12=0,0,CO12/CN12*100)</f>
        <v>0</v>
      </c>
      <c r="CQ12" s="117">
        <f t="shared" si="8"/>
        <v>0</v>
      </c>
      <c r="CR12" s="115">
        <f t="shared" si="9"/>
        <v>0</v>
      </c>
      <c r="CS12" s="117">
        <f t="shared" si="10"/>
        <v>0</v>
      </c>
      <c r="CT12" s="117">
        <f>IF(CR12=0,0,CS12/CR12*100)</f>
        <v>0</v>
      </c>
      <c r="CU12" s="117">
        <f t="shared" si="8"/>
        <v>0</v>
      </c>
      <c r="CV12" s="115">
        <f t="shared" si="9"/>
        <v>0</v>
      </c>
      <c r="CW12" s="117">
        <f t="shared" si="10"/>
        <v>0</v>
      </c>
      <c r="CX12" s="117">
        <f>IF(CV12=0,0,CW12/CV12*100)</f>
        <v>0</v>
      </c>
      <c r="CY12" s="117">
        <f t="shared" si="8"/>
        <v>3442</v>
      </c>
      <c r="CZ12" s="117">
        <f t="shared" si="8"/>
        <v>3442</v>
      </c>
      <c r="DA12" s="117">
        <f t="shared" si="10"/>
        <v>1034</v>
      </c>
      <c r="DB12" s="117">
        <f>IF(CZ12=0,0,DA12/CZ12*100)</f>
        <v>30.040674026728649</v>
      </c>
      <c r="DC12" s="117">
        <f t="shared" si="8"/>
        <v>0</v>
      </c>
      <c r="DD12" s="115">
        <f t="shared" si="9"/>
        <v>0</v>
      </c>
      <c r="DE12" s="117">
        <f t="shared" si="10"/>
        <v>0</v>
      </c>
      <c r="DF12" s="117">
        <f>IF(DD12=0,0,DE12/DD12*100)</f>
        <v>0</v>
      </c>
      <c r="DG12" s="117">
        <f t="shared" si="8"/>
        <v>0</v>
      </c>
      <c r="DH12" s="115">
        <f t="shared" si="9"/>
        <v>0</v>
      </c>
      <c r="DI12" s="117">
        <f t="shared" si="10"/>
        <v>0</v>
      </c>
      <c r="DJ12" s="117" t="e">
        <f t="shared" ref="DJ12:DJ26" si="11">DI12/DH12*100</f>
        <v>#DIV/0!</v>
      </c>
      <c r="DK12" s="117">
        <f t="shared" si="8"/>
        <v>39431</v>
      </c>
      <c r="DL12" s="117">
        <f t="shared" si="8"/>
        <v>39431</v>
      </c>
      <c r="DM12" s="117">
        <f t="shared" si="10"/>
        <v>58090</v>
      </c>
      <c r="DN12" s="117">
        <f>IF(DL12=0,0,DM12/DL12*100)</f>
        <v>147.32063604777969</v>
      </c>
      <c r="DO12" s="117">
        <f t="shared" si="8"/>
        <v>13340</v>
      </c>
      <c r="DP12" s="117">
        <f t="shared" si="8"/>
        <v>13340</v>
      </c>
      <c r="DQ12" s="117">
        <f t="shared" si="10"/>
        <v>14178</v>
      </c>
      <c r="DR12" s="117">
        <f>IF(DP12=0,0,DQ12/DP12*100)</f>
        <v>106.28185907046476</v>
      </c>
      <c r="DS12" s="117">
        <f t="shared" si="8"/>
        <v>0</v>
      </c>
      <c r="DT12" s="115">
        <f t="shared" si="9"/>
        <v>0</v>
      </c>
      <c r="DU12" s="117">
        <f t="shared" si="10"/>
        <v>0</v>
      </c>
      <c r="DV12" s="117" t="e">
        <f t="shared" ref="DV12:DV26" si="12">DU12/DT12*100</f>
        <v>#DIV/0!</v>
      </c>
      <c r="DW12" s="117">
        <f t="shared" si="8"/>
        <v>0</v>
      </c>
      <c r="DX12" s="115">
        <f t="shared" si="9"/>
        <v>0</v>
      </c>
      <c r="DY12" s="117">
        <f t="shared" si="10"/>
        <v>0</v>
      </c>
      <c r="DZ12" s="117" t="e">
        <f t="shared" ref="DZ12:DZ26" si="13">DY12/DX12*100</f>
        <v>#DIV/0!</v>
      </c>
      <c r="EA12" s="117">
        <f t="shared" ref="EA12:EU12" si="14">EA14+EA15+EA16+EA17</f>
        <v>1971</v>
      </c>
      <c r="EB12" s="117">
        <f t="shared" si="14"/>
        <v>1971</v>
      </c>
      <c r="EC12" s="117">
        <f t="shared" ref="EC12:EW12" si="15">EC14+EC15+EC16+EC17</f>
        <v>1890</v>
      </c>
      <c r="ED12" s="117">
        <f>IF(EB12=0,0,EC12/EB12*100)</f>
        <v>95.890410958904098</v>
      </c>
      <c r="EE12" s="117">
        <f t="shared" si="14"/>
        <v>32250</v>
      </c>
      <c r="EF12" s="117">
        <f t="shared" si="14"/>
        <v>32250</v>
      </c>
      <c r="EG12" s="117">
        <f t="shared" si="15"/>
        <v>61924</v>
      </c>
      <c r="EH12" s="117">
        <f>IF(EF12=0,0,EG12/EF12*100)</f>
        <v>192.01240310077517</v>
      </c>
      <c r="EI12" s="117">
        <f t="shared" si="14"/>
        <v>3152</v>
      </c>
      <c r="EJ12" s="117">
        <f t="shared" si="14"/>
        <v>3152</v>
      </c>
      <c r="EK12" s="117">
        <f t="shared" si="15"/>
        <v>8440</v>
      </c>
      <c r="EL12" s="117">
        <f>IF(EJ12=0,0,EK12/EJ12*100)</f>
        <v>267.76649746192891</v>
      </c>
      <c r="EM12" s="117">
        <f t="shared" si="14"/>
        <v>7220</v>
      </c>
      <c r="EN12" s="115">
        <f t="shared" ref="EB12:EV27" si="16">ROUND(EM12/12*$A$7,0)</f>
        <v>7220</v>
      </c>
      <c r="EO12" s="117">
        <f t="shared" si="15"/>
        <v>9930</v>
      </c>
      <c r="EP12" s="117">
        <f>IF(EN12=0,0,EO12/EN12*100)</f>
        <v>137.53462603878117</v>
      </c>
      <c r="EQ12" s="117">
        <f t="shared" si="14"/>
        <v>0</v>
      </c>
      <c r="ER12" s="115">
        <f t="shared" si="16"/>
        <v>0</v>
      </c>
      <c r="ES12" s="117">
        <f t="shared" si="15"/>
        <v>0</v>
      </c>
      <c r="ET12" s="117">
        <f>IF(ER12=0,0,ES12/ER12*100)</f>
        <v>0</v>
      </c>
      <c r="EU12" s="117">
        <f t="shared" si="14"/>
        <v>0</v>
      </c>
      <c r="EV12" s="115">
        <f t="shared" si="16"/>
        <v>0</v>
      </c>
      <c r="EW12" s="117">
        <f t="shared" si="15"/>
        <v>0</v>
      </c>
      <c r="EX12" s="117">
        <f>IF(EV12=0,0,EW12/EV12*100)</f>
        <v>0</v>
      </c>
      <c r="EY12" s="152">
        <f>SUM(EQ12,EM12,EI12,EE12,EA12,DW12,DS12,DO12,DK12,DG12,DC12,CY12,CU12,CQ12,CM12,CI12,CE12,CA12,BW12,BS12,BO12,BK12,BG12,BC12,AY12,AU12,AQ12,AM12,AI12,AE12,AA12,W12,S12,O12,K12,G12,C12)+EU12</f>
        <v>478678</v>
      </c>
      <c r="EZ12" s="152">
        <f t="shared" ref="EZ12:FA77" si="17">SUM(ER12,EN12,EJ12,EF12,EB12,DX12,DT12,DP12,DL12,DH12,DD12,CZ12,CV12,CR12,CN12,CJ12,CF12,CB12,BX12,BT12,BP12,BL12,BH12,BD12,AZ12,AV12,AR12,AN12,AJ12,AF12,AB12,X12,T12,P12,L12,H12,D12)+EV12</f>
        <v>478678</v>
      </c>
      <c r="FA12" s="152">
        <f t="shared" si="17"/>
        <v>585557</v>
      </c>
      <c r="FB12" s="152">
        <f>IF(EZ12=0,0,FA12/EZ12*100)</f>
        <v>122.32795323787597</v>
      </c>
    </row>
    <row r="13" spans="1:158" s="153" customFormat="1" ht="15" customHeight="1" x14ac:dyDescent="0.2">
      <c r="A13" s="154" t="s">
        <v>126</v>
      </c>
      <c r="B13" s="155" t="s">
        <v>3</v>
      </c>
      <c r="C13" s="156"/>
      <c r="D13" s="97">
        <f t="shared" si="1"/>
        <v>0</v>
      </c>
      <c r="E13" s="157"/>
      <c r="F13" s="99" t="e">
        <f t="shared" si="3"/>
        <v>#DIV/0!</v>
      </c>
      <c r="G13" s="99"/>
      <c r="H13" s="97">
        <f t="shared" si="6"/>
        <v>0</v>
      </c>
      <c r="I13" s="99"/>
      <c r="J13" s="99">
        <f t="shared" ref="J13:J78" si="18">IF(H13=0,0,I13/H13*100)</f>
        <v>0</v>
      </c>
      <c r="K13" s="99"/>
      <c r="L13" s="97">
        <f t="shared" si="6"/>
        <v>0</v>
      </c>
      <c r="M13" s="99"/>
      <c r="N13" s="99" t="e">
        <f t="shared" si="7"/>
        <v>#DIV/0!</v>
      </c>
      <c r="O13" s="99"/>
      <c r="P13" s="97">
        <f t="shared" si="6"/>
        <v>0</v>
      </c>
      <c r="Q13" s="99"/>
      <c r="R13" s="99">
        <f t="shared" ref="R13:R78" si="19">IF(P13=0,0,Q13/P13*100)</f>
        <v>0</v>
      </c>
      <c r="S13" s="99"/>
      <c r="T13" s="97">
        <f t="shared" si="6"/>
        <v>0</v>
      </c>
      <c r="U13" s="99"/>
      <c r="V13" s="99">
        <f t="shared" ref="V13:V78" si="20">IF(T13=0,0,U13/T13*100)</f>
        <v>0</v>
      </c>
      <c r="W13" s="99"/>
      <c r="X13" s="97">
        <f t="shared" si="6"/>
        <v>0</v>
      </c>
      <c r="Y13" s="99"/>
      <c r="Z13" s="99">
        <f t="shared" ref="Z13:Z78" si="21">IF(X13=0,0,Y13/X13*100)</f>
        <v>0</v>
      </c>
      <c r="AA13" s="99"/>
      <c r="AB13" s="97">
        <f t="shared" si="6"/>
        <v>0</v>
      </c>
      <c r="AC13" s="99"/>
      <c r="AD13" s="99">
        <f t="shared" ref="AD13:AD78" si="22">IF(AB13=0,0,AC13/AB13*100)</f>
        <v>0</v>
      </c>
      <c r="AE13" s="99"/>
      <c r="AF13" s="97">
        <f t="shared" si="6"/>
        <v>0</v>
      </c>
      <c r="AG13" s="99"/>
      <c r="AH13" s="99">
        <f t="shared" ref="AH13:AH78" si="23">IF(AF13=0,0,AG13/AF13*100)</f>
        <v>0</v>
      </c>
      <c r="AI13" s="99"/>
      <c r="AJ13" s="97">
        <f t="shared" si="6"/>
        <v>0</v>
      </c>
      <c r="AK13" s="99"/>
      <c r="AL13" s="99">
        <f t="shared" ref="AL13:AL78" si="24">IF(AJ13=0,0,AK13/AJ13*100)</f>
        <v>0</v>
      </c>
      <c r="AM13" s="99"/>
      <c r="AN13" s="97">
        <f t="shared" si="6"/>
        <v>0</v>
      </c>
      <c r="AO13" s="99"/>
      <c r="AP13" s="99">
        <f t="shared" ref="AP13:AP78" si="25">IF(AN13=0,0,AO13/AN13*100)</f>
        <v>0</v>
      </c>
      <c r="AQ13" s="99"/>
      <c r="AR13" s="97">
        <f t="shared" si="6"/>
        <v>0</v>
      </c>
      <c r="AS13" s="99"/>
      <c r="AT13" s="99">
        <f t="shared" ref="AT13:AT78" si="26">IF(AR13=0,0,AS13/AR13*100)</f>
        <v>0</v>
      </c>
      <c r="AU13" s="99"/>
      <c r="AV13" s="97">
        <f t="shared" si="6"/>
        <v>0</v>
      </c>
      <c r="AW13" s="99"/>
      <c r="AX13" s="99">
        <f t="shared" ref="AX13:AX78" si="27">IF(AV13=0,0,AW13/AV13*100)</f>
        <v>0</v>
      </c>
      <c r="AY13" s="99"/>
      <c r="AZ13" s="97">
        <f t="shared" si="6"/>
        <v>0</v>
      </c>
      <c r="BA13" s="99"/>
      <c r="BB13" s="99">
        <f t="shared" ref="BB13:BB78" si="28">IF(AZ13=0,0,BA13/AZ13*100)</f>
        <v>0</v>
      </c>
      <c r="BC13" s="99"/>
      <c r="BD13" s="97">
        <f t="shared" si="6"/>
        <v>0</v>
      </c>
      <c r="BE13" s="99"/>
      <c r="BF13" s="99">
        <f t="shared" ref="BF13:BF78" si="29">IF(BD13=0,0,BE13/BD13*100)</f>
        <v>0</v>
      </c>
      <c r="BG13" s="99"/>
      <c r="BH13" s="97">
        <f t="shared" si="6"/>
        <v>0</v>
      </c>
      <c r="BI13" s="99"/>
      <c r="BJ13" s="99">
        <f t="shared" ref="BJ13:BJ78" si="30">IF(BH13=0,0,BI13/BH13*100)</f>
        <v>0</v>
      </c>
      <c r="BK13" s="99"/>
      <c r="BL13" s="97">
        <f t="shared" si="6"/>
        <v>0</v>
      </c>
      <c r="BM13" s="99"/>
      <c r="BN13" s="99">
        <f t="shared" ref="BN13:BN78" si="31">IF(BL13=0,0,BM13/BL13*100)</f>
        <v>0</v>
      </c>
      <c r="BO13" s="99"/>
      <c r="BP13" s="97">
        <f t="shared" si="6"/>
        <v>0</v>
      </c>
      <c r="BQ13" s="99"/>
      <c r="BR13" s="99">
        <f t="shared" ref="BR13:BR78" si="32">IF(BP13=0,0,BQ13/BP13*100)</f>
        <v>0</v>
      </c>
      <c r="BS13" s="99"/>
      <c r="BT13" s="97">
        <f t="shared" si="9"/>
        <v>0</v>
      </c>
      <c r="BU13" s="99"/>
      <c r="BV13" s="99">
        <f t="shared" ref="BV13:BV78" si="33">IF(BT13=0,0,BU13/BT13*100)</f>
        <v>0</v>
      </c>
      <c r="BW13" s="99"/>
      <c r="BX13" s="97">
        <f t="shared" si="9"/>
        <v>0</v>
      </c>
      <c r="BY13" s="99"/>
      <c r="BZ13" s="99">
        <f t="shared" ref="BZ13:BZ78" si="34">IF(BX13=0,0,BY13/BX13*100)</f>
        <v>0</v>
      </c>
      <c r="CA13" s="99"/>
      <c r="CB13" s="97">
        <f t="shared" si="9"/>
        <v>0</v>
      </c>
      <c r="CC13" s="99"/>
      <c r="CD13" s="99">
        <f t="shared" ref="CD13:CD78" si="35">IF(CB13=0,0,CC13/CB13*100)</f>
        <v>0</v>
      </c>
      <c r="CE13" s="99"/>
      <c r="CF13" s="97">
        <f t="shared" si="9"/>
        <v>0</v>
      </c>
      <c r="CG13" s="99"/>
      <c r="CH13" s="99">
        <f t="shared" ref="CH13:CH78" si="36">IF(CF13=0,0,CG13/CF13*100)</f>
        <v>0</v>
      </c>
      <c r="CI13" s="99"/>
      <c r="CJ13" s="97">
        <f t="shared" si="9"/>
        <v>0</v>
      </c>
      <c r="CK13" s="99"/>
      <c r="CL13" s="99">
        <f t="shared" ref="CL13:CL78" si="37">IF(CJ13=0,0,CK13/CJ13*100)</f>
        <v>0</v>
      </c>
      <c r="CM13" s="99"/>
      <c r="CN13" s="97">
        <f t="shared" si="9"/>
        <v>0</v>
      </c>
      <c r="CO13" s="99"/>
      <c r="CP13" s="99">
        <f t="shared" ref="CP13:CP78" si="38">IF(CN13=0,0,CO13/CN13*100)</f>
        <v>0</v>
      </c>
      <c r="CQ13" s="99"/>
      <c r="CR13" s="97">
        <f t="shared" si="9"/>
        <v>0</v>
      </c>
      <c r="CS13" s="99"/>
      <c r="CT13" s="99">
        <f t="shared" ref="CT13:CT78" si="39">IF(CR13=0,0,CS13/CR13*100)</f>
        <v>0</v>
      </c>
      <c r="CU13" s="99"/>
      <c r="CV13" s="97">
        <f t="shared" si="9"/>
        <v>0</v>
      </c>
      <c r="CW13" s="99"/>
      <c r="CX13" s="99">
        <f t="shared" ref="CX13:CX78" si="40">IF(CV13=0,0,CW13/CV13*100)</f>
        <v>0</v>
      </c>
      <c r="CY13" s="99"/>
      <c r="CZ13" s="97">
        <f t="shared" si="9"/>
        <v>0</v>
      </c>
      <c r="DA13" s="99"/>
      <c r="DB13" s="99">
        <f t="shared" ref="DB13:DB78" si="41">IF(CZ13=0,0,DA13/CZ13*100)</f>
        <v>0</v>
      </c>
      <c r="DC13" s="99"/>
      <c r="DD13" s="97">
        <f t="shared" si="9"/>
        <v>0</v>
      </c>
      <c r="DE13" s="99"/>
      <c r="DF13" s="99">
        <f t="shared" ref="DF13:DF78" si="42">IF(DD13=0,0,DE13/DD13*100)</f>
        <v>0</v>
      </c>
      <c r="DG13" s="99"/>
      <c r="DH13" s="97">
        <f t="shared" si="9"/>
        <v>0</v>
      </c>
      <c r="DI13" s="99"/>
      <c r="DJ13" s="99" t="e">
        <f t="shared" si="11"/>
        <v>#DIV/0!</v>
      </c>
      <c r="DK13" s="99"/>
      <c r="DL13" s="97">
        <f t="shared" si="9"/>
        <v>0</v>
      </c>
      <c r="DM13" s="99"/>
      <c r="DN13" s="99">
        <f t="shared" ref="DN13:DN78" si="43">IF(DL13=0,0,DM13/DL13*100)</f>
        <v>0</v>
      </c>
      <c r="DO13" s="99"/>
      <c r="DP13" s="97">
        <f t="shared" si="9"/>
        <v>0</v>
      </c>
      <c r="DQ13" s="99"/>
      <c r="DR13" s="99">
        <f t="shared" ref="DR13:DR78" si="44">IF(DP13=0,0,DQ13/DP13*100)</f>
        <v>0</v>
      </c>
      <c r="DS13" s="99"/>
      <c r="DT13" s="97">
        <f t="shared" si="9"/>
        <v>0</v>
      </c>
      <c r="DU13" s="99"/>
      <c r="DV13" s="99" t="e">
        <f t="shared" si="12"/>
        <v>#DIV/0!</v>
      </c>
      <c r="DW13" s="99"/>
      <c r="DX13" s="97">
        <f t="shared" si="9"/>
        <v>0</v>
      </c>
      <c r="DY13" s="99"/>
      <c r="DZ13" s="99" t="e">
        <f t="shared" si="13"/>
        <v>#DIV/0!</v>
      </c>
      <c r="EA13" s="99"/>
      <c r="EB13" s="97">
        <f t="shared" si="16"/>
        <v>0</v>
      </c>
      <c r="EC13" s="99"/>
      <c r="ED13" s="99">
        <f t="shared" ref="ED13:ED78" si="45">IF(EB13=0,0,EC13/EB13*100)</f>
        <v>0</v>
      </c>
      <c r="EE13" s="99"/>
      <c r="EF13" s="97">
        <f t="shared" si="16"/>
        <v>0</v>
      </c>
      <c r="EG13" s="99"/>
      <c r="EH13" s="99">
        <f t="shared" ref="EH13:EH78" si="46">IF(EF13=0,0,EG13/EF13*100)</f>
        <v>0</v>
      </c>
      <c r="EI13" s="99"/>
      <c r="EJ13" s="97">
        <f t="shared" si="16"/>
        <v>0</v>
      </c>
      <c r="EK13" s="99"/>
      <c r="EL13" s="99">
        <f t="shared" ref="EL13:EL78" si="47">IF(EJ13=0,0,EK13/EJ13*100)</f>
        <v>0</v>
      </c>
      <c r="EM13" s="99"/>
      <c r="EN13" s="97">
        <f t="shared" si="16"/>
        <v>0</v>
      </c>
      <c r="EO13" s="99"/>
      <c r="EP13" s="99">
        <f t="shared" ref="EP13:EP78" si="48">IF(EN13=0,0,EO13/EN13*100)</f>
        <v>0</v>
      </c>
      <c r="EQ13" s="99"/>
      <c r="ER13" s="97">
        <f t="shared" si="16"/>
        <v>0</v>
      </c>
      <c r="ES13" s="99"/>
      <c r="ET13" s="99">
        <f t="shared" ref="ET13:ET78" si="49">IF(ER13=0,0,ES13/ER13*100)</f>
        <v>0</v>
      </c>
      <c r="EU13" s="99"/>
      <c r="EV13" s="97">
        <f t="shared" si="16"/>
        <v>0</v>
      </c>
      <c r="EW13" s="99"/>
      <c r="EX13" s="99">
        <f t="shared" ref="EX13:EX78" si="50">IF(EV13=0,0,EW13/EV13*100)</f>
        <v>0</v>
      </c>
      <c r="EY13" s="152">
        <f t="shared" ref="EY13:FA78" si="51">SUM(EQ13,EM13,EI13,EE13,EA13,DW13,DS13,DO13,DK13,DG13,DC13,CY13,CU13,CQ13,CM13,CI13,CE13,CA13,BW13,BS13,BO13,BK13,BG13,BC13,AY13,AU13,AQ13,AM13,AI13,AE13,AA13,W13,S13,O13,K13,G13,C13)+EU13</f>
        <v>0</v>
      </c>
      <c r="EZ13" s="152">
        <f t="shared" si="17"/>
        <v>0</v>
      </c>
      <c r="FA13" s="152">
        <f t="shared" si="17"/>
        <v>0</v>
      </c>
      <c r="FB13" s="152">
        <f t="shared" ref="FB13:FB78" si="52">IF(EZ13=0,0,FA13/EZ13*100)</f>
        <v>0</v>
      </c>
    </row>
    <row r="14" spans="1:158" s="153" customFormat="1" ht="26.25" customHeight="1" x14ac:dyDescent="0.2">
      <c r="A14" s="154" t="s">
        <v>127</v>
      </c>
      <c r="B14" s="155" t="s">
        <v>3</v>
      </c>
      <c r="C14" s="156"/>
      <c r="D14" s="97">
        <f t="shared" si="1"/>
        <v>0</v>
      </c>
      <c r="E14" s="157"/>
      <c r="F14" s="99" t="e">
        <f t="shared" si="3"/>
        <v>#DIV/0!</v>
      </c>
      <c r="G14" s="99"/>
      <c r="H14" s="97">
        <f t="shared" si="6"/>
        <v>0</v>
      </c>
      <c r="I14" s="99">
        <v>0</v>
      </c>
      <c r="J14" s="99">
        <f t="shared" si="18"/>
        <v>0</v>
      </c>
      <c r="K14" s="99"/>
      <c r="L14" s="97">
        <f t="shared" si="6"/>
        <v>0</v>
      </c>
      <c r="M14" s="99"/>
      <c r="N14" s="99" t="e">
        <f t="shared" si="7"/>
        <v>#DIV/0!</v>
      </c>
      <c r="O14" s="99"/>
      <c r="P14" s="97">
        <f t="shared" si="6"/>
        <v>0</v>
      </c>
      <c r="Q14" s="99"/>
      <c r="R14" s="99">
        <f t="shared" si="19"/>
        <v>0</v>
      </c>
      <c r="S14" s="99"/>
      <c r="T14" s="97">
        <f t="shared" si="6"/>
        <v>0</v>
      </c>
      <c r="U14" s="99"/>
      <c r="V14" s="99">
        <f t="shared" si="20"/>
        <v>0</v>
      </c>
      <c r="W14" s="99">
        <v>14400</v>
      </c>
      <c r="X14" s="97">
        <f t="shared" si="6"/>
        <v>14400</v>
      </c>
      <c r="Y14" s="99">
        <v>14428</v>
      </c>
      <c r="Z14" s="99">
        <f t="shared" si="21"/>
        <v>100.19444444444446</v>
      </c>
      <c r="AA14" s="99"/>
      <c r="AB14" s="97">
        <f t="shared" si="6"/>
        <v>0</v>
      </c>
      <c r="AC14" s="99"/>
      <c r="AD14" s="99">
        <f t="shared" si="22"/>
        <v>0</v>
      </c>
      <c r="AE14" s="99"/>
      <c r="AF14" s="97">
        <f t="shared" si="6"/>
        <v>0</v>
      </c>
      <c r="AG14" s="99"/>
      <c r="AH14" s="99">
        <f t="shared" si="23"/>
        <v>0</v>
      </c>
      <c r="AI14" s="99"/>
      <c r="AJ14" s="97">
        <f t="shared" si="6"/>
        <v>0</v>
      </c>
      <c r="AK14" s="99"/>
      <c r="AL14" s="99">
        <f t="shared" si="24"/>
        <v>0</v>
      </c>
      <c r="AM14" s="99"/>
      <c r="AN14" s="97">
        <f t="shared" si="6"/>
        <v>0</v>
      </c>
      <c r="AO14" s="99"/>
      <c r="AP14" s="99">
        <f t="shared" si="25"/>
        <v>0</v>
      </c>
      <c r="AQ14" s="99"/>
      <c r="AR14" s="97">
        <f t="shared" si="6"/>
        <v>0</v>
      </c>
      <c r="AS14" s="99"/>
      <c r="AT14" s="99">
        <f t="shared" si="26"/>
        <v>0</v>
      </c>
      <c r="AU14" s="99"/>
      <c r="AV14" s="97">
        <f t="shared" si="6"/>
        <v>0</v>
      </c>
      <c r="AW14" s="99"/>
      <c r="AX14" s="99">
        <f t="shared" si="27"/>
        <v>0</v>
      </c>
      <c r="AY14" s="99">
        <v>5925</v>
      </c>
      <c r="AZ14" s="97">
        <f t="shared" si="6"/>
        <v>5925</v>
      </c>
      <c r="BA14" s="99">
        <v>5906</v>
      </c>
      <c r="BB14" s="99">
        <f t="shared" si="28"/>
        <v>99.679324894514764</v>
      </c>
      <c r="BC14" s="99"/>
      <c r="BD14" s="97">
        <f t="shared" si="6"/>
        <v>0</v>
      </c>
      <c r="BE14" s="99"/>
      <c r="BF14" s="99">
        <f t="shared" si="29"/>
        <v>0</v>
      </c>
      <c r="BG14" s="99"/>
      <c r="BH14" s="97">
        <f t="shared" si="6"/>
        <v>0</v>
      </c>
      <c r="BI14" s="99"/>
      <c r="BJ14" s="99">
        <f t="shared" si="30"/>
        <v>0</v>
      </c>
      <c r="BK14" s="99"/>
      <c r="BL14" s="97">
        <f t="shared" si="6"/>
        <v>0</v>
      </c>
      <c r="BM14" s="99"/>
      <c r="BN14" s="99">
        <f t="shared" si="31"/>
        <v>0</v>
      </c>
      <c r="BO14" s="99"/>
      <c r="BP14" s="97">
        <f t="shared" si="6"/>
        <v>0</v>
      </c>
      <c r="BQ14" s="99"/>
      <c r="BR14" s="99">
        <f t="shared" si="32"/>
        <v>0</v>
      </c>
      <c r="BS14" s="99"/>
      <c r="BT14" s="97">
        <f t="shared" si="9"/>
        <v>0</v>
      </c>
      <c r="BU14" s="99"/>
      <c r="BV14" s="99">
        <f t="shared" si="33"/>
        <v>0</v>
      </c>
      <c r="BW14" s="99"/>
      <c r="BX14" s="97">
        <f t="shared" si="9"/>
        <v>0</v>
      </c>
      <c r="BY14" s="99"/>
      <c r="BZ14" s="99">
        <f t="shared" si="34"/>
        <v>0</v>
      </c>
      <c r="CA14" s="99"/>
      <c r="CB14" s="97">
        <f t="shared" si="9"/>
        <v>0</v>
      </c>
      <c r="CC14" s="99"/>
      <c r="CD14" s="99">
        <f t="shared" si="35"/>
        <v>0</v>
      </c>
      <c r="CE14" s="99"/>
      <c r="CF14" s="97">
        <f t="shared" si="9"/>
        <v>0</v>
      </c>
      <c r="CG14" s="99"/>
      <c r="CH14" s="99">
        <f t="shared" si="36"/>
        <v>0</v>
      </c>
      <c r="CI14" s="99"/>
      <c r="CJ14" s="97">
        <f t="shared" si="9"/>
        <v>0</v>
      </c>
      <c r="CK14" s="99"/>
      <c r="CL14" s="99">
        <f t="shared" si="37"/>
        <v>0</v>
      </c>
      <c r="CM14" s="99"/>
      <c r="CN14" s="97">
        <f t="shared" si="9"/>
        <v>0</v>
      </c>
      <c r="CO14" s="99"/>
      <c r="CP14" s="99">
        <f t="shared" si="38"/>
        <v>0</v>
      </c>
      <c r="CQ14" s="99"/>
      <c r="CR14" s="97">
        <f t="shared" si="9"/>
        <v>0</v>
      </c>
      <c r="CS14" s="99"/>
      <c r="CT14" s="99">
        <f t="shared" si="39"/>
        <v>0</v>
      </c>
      <c r="CU14" s="99"/>
      <c r="CV14" s="97">
        <f t="shared" si="9"/>
        <v>0</v>
      </c>
      <c r="CW14" s="99"/>
      <c r="CX14" s="99">
        <f t="shared" si="40"/>
        <v>0</v>
      </c>
      <c r="CY14" s="99"/>
      <c r="CZ14" s="97">
        <f t="shared" si="9"/>
        <v>0</v>
      </c>
      <c r="DA14" s="99"/>
      <c r="DB14" s="99">
        <f t="shared" si="41"/>
        <v>0</v>
      </c>
      <c r="DC14" s="99"/>
      <c r="DD14" s="97">
        <f t="shared" si="9"/>
        <v>0</v>
      </c>
      <c r="DE14" s="99"/>
      <c r="DF14" s="99">
        <f t="shared" si="42"/>
        <v>0</v>
      </c>
      <c r="DG14" s="99"/>
      <c r="DH14" s="97">
        <f t="shared" si="9"/>
        <v>0</v>
      </c>
      <c r="DI14" s="99"/>
      <c r="DJ14" s="99" t="e">
        <f t="shared" si="11"/>
        <v>#DIV/0!</v>
      </c>
      <c r="DK14" s="99"/>
      <c r="DL14" s="97">
        <f t="shared" si="9"/>
        <v>0</v>
      </c>
      <c r="DM14" s="99"/>
      <c r="DN14" s="99">
        <f t="shared" si="43"/>
        <v>0</v>
      </c>
      <c r="DO14" s="99"/>
      <c r="DP14" s="97">
        <f t="shared" si="9"/>
        <v>0</v>
      </c>
      <c r="DQ14" s="99"/>
      <c r="DR14" s="99">
        <f t="shared" si="44"/>
        <v>0</v>
      </c>
      <c r="DS14" s="99"/>
      <c r="DT14" s="97">
        <f t="shared" si="9"/>
        <v>0</v>
      </c>
      <c r="DU14" s="99"/>
      <c r="DV14" s="99" t="e">
        <f t="shared" si="12"/>
        <v>#DIV/0!</v>
      </c>
      <c r="DW14" s="99"/>
      <c r="DX14" s="97">
        <f t="shared" si="9"/>
        <v>0</v>
      </c>
      <c r="DY14" s="99"/>
      <c r="DZ14" s="99" t="e">
        <f t="shared" si="13"/>
        <v>#DIV/0!</v>
      </c>
      <c r="EA14" s="99"/>
      <c r="EB14" s="97">
        <f t="shared" si="16"/>
        <v>0</v>
      </c>
      <c r="EC14" s="99"/>
      <c r="ED14" s="99">
        <f t="shared" si="45"/>
        <v>0</v>
      </c>
      <c r="EE14" s="99"/>
      <c r="EF14" s="97">
        <f t="shared" si="16"/>
        <v>0</v>
      </c>
      <c r="EG14" s="99"/>
      <c r="EH14" s="99">
        <f t="shared" si="46"/>
        <v>0</v>
      </c>
      <c r="EI14" s="99"/>
      <c r="EJ14" s="97">
        <f t="shared" si="16"/>
        <v>0</v>
      </c>
      <c r="EK14" s="99"/>
      <c r="EL14" s="99">
        <f t="shared" si="47"/>
        <v>0</v>
      </c>
      <c r="EM14" s="99"/>
      <c r="EN14" s="97">
        <f t="shared" si="16"/>
        <v>0</v>
      </c>
      <c r="EO14" s="99"/>
      <c r="EP14" s="99">
        <f t="shared" si="48"/>
        <v>0</v>
      </c>
      <c r="EQ14" s="99"/>
      <c r="ER14" s="97">
        <f t="shared" si="16"/>
        <v>0</v>
      </c>
      <c r="ES14" s="99"/>
      <c r="ET14" s="99">
        <f t="shared" si="49"/>
        <v>0</v>
      </c>
      <c r="EU14" s="99"/>
      <c r="EV14" s="97">
        <f t="shared" si="16"/>
        <v>0</v>
      </c>
      <c r="EW14" s="99"/>
      <c r="EX14" s="99">
        <f t="shared" si="50"/>
        <v>0</v>
      </c>
      <c r="EY14" s="152">
        <f t="shared" si="51"/>
        <v>20325</v>
      </c>
      <c r="EZ14" s="152">
        <f t="shared" si="17"/>
        <v>20325</v>
      </c>
      <c r="FA14" s="152">
        <f t="shared" si="17"/>
        <v>20334</v>
      </c>
      <c r="FB14" s="152">
        <f t="shared" si="52"/>
        <v>100.04428044280442</v>
      </c>
    </row>
    <row r="15" spans="1:158" s="153" customFormat="1" ht="31.5" x14ac:dyDescent="0.2">
      <c r="A15" s="154" t="s">
        <v>128</v>
      </c>
      <c r="B15" s="155" t="s">
        <v>3</v>
      </c>
      <c r="C15" s="156"/>
      <c r="D15" s="97">
        <f t="shared" si="1"/>
        <v>0</v>
      </c>
      <c r="E15" s="157"/>
      <c r="F15" s="99" t="e">
        <f t="shared" si="3"/>
        <v>#DIV/0!</v>
      </c>
      <c r="G15" s="99">
        <v>24000</v>
      </c>
      <c r="H15" s="97">
        <f t="shared" si="6"/>
        <v>24000</v>
      </c>
      <c r="I15" s="99">
        <v>7055</v>
      </c>
      <c r="J15" s="99">
        <f t="shared" si="18"/>
        <v>29.395833333333332</v>
      </c>
      <c r="K15" s="99"/>
      <c r="L15" s="97">
        <f t="shared" si="6"/>
        <v>0</v>
      </c>
      <c r="M15" s="99"/>
      <c r="N15" s="99" t="e">
        <f t="shared" si="7"/>
        <v>#DIV/0!</v>
      </c>
      <c r="O15" s="99">
        <v>10000</v>
      </c>
      <c r="P15" s="97">
        <f t="shared" si="6"/>
        <v>10000</v>
      </c>
      <c r="Q15" s="99">
        <v>10057</v>
      </c>
      <c r="R15" s="99">
        <f t="shared" si="19"/>
        <v>100.57000000000001</v>
      </c>
      <c r="S15" s="99">
        <v>24800</v>
      </c>
      <c r="T15" s="97">
        <f t="shared" si="6"/>
        <v>24800</v>
      </c>
      <c r="U15" s="99">
        <v>24941</v>
      </c>
      <c r="V15" s="99">
        <f t="shared" si="20"/>
        <v>100.56854838709677</v>
      </c>
      <c r="W15" s="99">
        <v>23412</v>
      </c>
      <c r="X15" s="97">
        <f t="shared" si="6"/>
        <v>23412</v>
      </c>
      <c r="Y15" s="99">
        <v>23452</v>
      </c>
      <c r="Z15" s="99">
        <f t="shared" si="21"/>
        <v>100.1708525542457</v>
      </c>
      <c r="AA15" s="99">
        <v>7000</v>
      </c>
      <c r="AB15" s="97">
        <f t="shared" si="6"/>
        <v>7000</v>
      </c>
      <c r="AC15" s="99">
        <v>7011</v>
      </c>
      <c r="AD15" s="99">
        <f t="shared" si="22"/>
        <v>100.15714285714286</v>
      </c>
      <c r="AE15" s="99">
        <v>438</v>
      </c>
      <c r="AF15" s="97">
        <f t="shared" si="6"/>
        <v>438</v>
      </c>
      <c r="AG15" s="99">
        <v>609</v>
      </c>
      <c r="AH15" s="99">
        <f t="shared" si="23"/>
        <v>139.04109589041096</v>
      </c>
      <c r="AI15" s="99">
        <v>12000</v>
      </c>
      <c r="AJ15" s="97">
        <f t="shared" si="6"/>
        <v>12000</v>
      </c>
      <c r="AK15" s="99">
        <v>12738</v>
      </c>
      <c r="AL15" s="99">
        <f t="shared" si="24"/>
        <v>106.15</v>
      </c>
      <c r="AM15" s="99">
        <v>6400</v>
      </c>
      <c r="AN15" s="97">
        <f t="shared" si="6"/>
        <v>6400</v>
      </c>
      <c r="AO15" s="99">
        <v>6545</v>
      </c>
      <c r="AP15" s="99">
        <f t="shared" si="25"/>
        <v>102.265625</v>
      </c>
      <c r="AQ15" s="99">
        <v>2850</v>
      </c>
      <c r="AR15" s="97">
        <f t="shared" si="6"/>
        <v>2850</v>
      </c>
      <c r="AS15" s="99">
        <v>3348</v>
      </c>
      <c r="AT15" s="99">
        <f t="shared" si="26"/>
        <v>117.4736842105263</v>
      </c>
      <c r="AU15" s="99">
        <v>1000</v>
      </c>
      <c r="AV15" s="97">
        <f t="shared" si="6"/>
        <v>1000</v>
      </c>
      <c r="AW15" s="99">
        <v>2151</v>
      </c>
      <c r="AX15" s="99">
        <f t="shared" si="27"/>
        <v>215.09999999999997</v>
      </c>
      <c r="AY15" s="99">
        <v>500</v>
      </c>
      <c r="AZ15" s="97">
        <f t="shared" si="6"/>
        <v>500</v>
      </c>
      <c r="BA15" s="99">
        <v>338</v>
      </c>
      <c r="BB15" s="99">
        <f t="shared" si="28"/>
        <v>67.600000000000009</v>
      </c>
      <c r="BC15" s="99">
        <v>3000</v>
      </c>
      <c r="BD15" s="97">
        <f t="shared" si="6"/>
        <v>3000</v>
      </c>
      <c r="BE15" s="99">
        <v>2368</v>
      </c>
      <c r="BF15" s="99">
        <f t="shared" si="29"/>
        <v>78.933333333333337</v>
      </c>
      <c r="BG15" s="99">
        <v>2000</v>
      </c>
      <c r="BH15" s="97">
        <f t="shared" si="6"/>
        <v>2000</v>
      </c>
      <c r="BI15" s="99">
        <v>1983</v>
      </c>
      <c r="BJ15" s="99">
        <f t="shared" si="30"/>
        <v>99.15</v>
      </c>
      <c r="BK15" s="99"/>
      <c r="BL15" s="97">
        <f t="shared" si="6"/>
        <v>0</v>
      </c>
      <c r="BM15" s="99"/>
      <c r="BN15" s="99">
        <f t="shared" si="31"/>
        <v>0</v>
      </c>
      <c r="BO15" s="99"/>
      <c r="BP15" s="97">
        <f t="shared" si="6"/>
        <v>0</v>
      </c>
      <c r="BQ15" s="99"/>
      <c r="BR15" s="99">
        <f t="shared" si="32"/>
        <v>0</v>
      </c>
      <c r="BS15" s="99"/>
      <c r="BT15" s="97">
        <f t="shared" si="9"/>
        <v>0</v>
      </c>
      <c r="BU15" s="99"/>
      <c r="BV15" s="99">
        <f t="shared" si="33"/>
        <v>0</v>
      </c>
      <c r="BW15" s="99"/>
      <c r="BX15" s="97">
        <f t="shared" si="9"/>
        <v>0</v>
      </c>
      <c r="BY15" s="99"/>
      <c r="BZ15" s="99">
        <f t="shared" si="34"/>
        <v>0</v>
      </c>
      <c r="CA15" s="99"/>
      <c r="CB15" s="97">
        <f t="shared" si="9"/>
        <v>0</v>
      </c>
      <c r="CC15" s="99"/>
      <c r="CD15" s="99">
        <f t="shared" si="35"/>
        <v>0</v>
      </c>
      <c r="CE15" s="99"/>
      <c r="CF15" s="97">
        <f t="shared" si="9"/>
        <v>0</v>
      </c>
      <c r="CG15" s="99"/>
      <c r="CH15" s="99">
        <f t="shared" si="36"/>
        <v>0</v>
      </c>
      <c r="CI15" s="99"/>
      <c r="CJ15" s="97">
        <f t="shared" si="9"/>
        <v>0</v>
      </c>
      <c r="CK15" s="99"/>
      <c r="CL15" s="99">
        <f t="shared" si="37"/>
        <v>0</v>
      </c>
      <c r="CM15" s="99"/>
      <c r="CN15" s="97">
        <f t="shared" si="9"/>
        <v>0</v>
      </c>
      <c r="CO15" s="99"/>
      <c r="CP15" s="99">
        <f t="shared" si="38"/>
        <v>0</v>
      </c>
      <c r="CQ15" s="99"/>
      <c r="CR15" s="97">
        <f t="shared" si="9"/>
        <v>0</v>
      </c>
      <c r="CS15" s="99"/>
      <c r="CT15" s="99">
        <f t="shared" si="39"/>
        <v>0</v>
      </c>
      <c r="CU15" s="99"/>
      <c r="CV15" s="97">
        <f t="shared" si="9"/>
        <v>0</v>
      </c>
      <c r="CW15" s="99"/>
      <c r="CX15" s="99">
        <f t="shared" si="40"/>
        <v>0</v>
      </c>
      <c r="CY15" s="99">
        <v>496</v>
      </c>
      <c r="CZ15" s="97">
        <f t="shared" si="9"/>
        <v>496</v>
      </c>
      <c r="DA15" s="99">
        <v>245</v>
      </c>
      <c r="DB15" s="99">
        <f t="shared" si="41"/>
        <v>49.395161290322584</v>
      </c>
      <c r="DC15" s="99"/>
      <c r="DD15" s="97">
        <f t="shared" si="9"/>
        <v>0</v>
      </c>
      <c r="DE15" s="99"/>
      <c r="DF15" s="99">
        <f t="shared" si="42"/>
        <v>0</v>
      </c>
      <c r="DG15" s="99"/>
      <c r="DH15" s="97">
        <f t="shared" si="9"/>
        <v>0</v>
      </c>
      <c r="DI15" s="99"/>
      <c r="DJ15" s="99" t="e">
        <f t="shared" si="11"/>
        <v>#DIV/0!</v>
      </c>
      <c r="DK15" s="99">
        <v>4560</v>
      </c>
      <c r="DL15" s="97">
        <f t="shared" si="9"/>
        <v>4560</v>
      </c>
      <c r="DM15" s="99">
        <v>902</v>
      </c>
      <c r="DN15" s="99">
        <f t="shared" si="43"/>
        <v>19.780701754385966</v>
      </c>
      <c r="DO15" s="99">
        <v>50</v>
      </c>
      <c r="DP15" s="97">
        <f t="shared" si="9"/>
        <v>50</v>
      </c>
      <c r="DQ15" s="99">
        <v>50</v>
      </c>
      <c r="DR15" s="99">
        <f t="shared" si="44"/>
        <v>100</v>
      </c>
      <c r="DS15" s="99"/>
      <c r="DT15" s="97">
        <f t="shared" si="9"/>
        <v>0</v>
      </c>
      <c r="DU15" s="99"/>
      <c r="DV15" s="99" t="e">
        <f t="shared" si="12"/>
        <v>#DIV/0!</v>
      </c>
      <c r="DW15" s="99"/>
      <c r="DX15" s="97">
        <f t="shared" si="9"/>
        <v>0</v>
      </c>
      <c r="DY15" s="99"/>
      <c r="DZ15" s="99" t="e">
        <f t="shared" si="13"/>
        <v>#DIV/0!</v>
      </c>
      <c r="EA15" s="99">
        <v>220</v>
      </c>
      <c r="EB15" s="97">
        <f t="shared" si="16"/>
        <v>220</v>
      </c>
      <c r="EC15" s="99">
        <v>120</v>
      </c>
      <c r="ED15" s="99">
        <f t="shared" si="45"/>
        <v>54.54545454545454</v>
      </c>
      <c r="EE15" s="99">
        <v>5864</v>
      </c>
      <c r="EF15" s="97">
        <f t="shared" si="16"/>
        <v>5864</v>
      </c>
      <c r="EG15" s="99">
        <v>2499</v>
      </c>
      <c r="EH15" s="99">
        <f t="shared" si="46"/>
        <v>42.615961800818553</v>
      </c>
      <c r="EI15" s="99">
        <v>600</v>
      </c>
      <c r="EJ15" s="97">
        <f t="shared" si="16"/>
        <v>600</v>
      </c>
      <c r="EK15" s="99"/>
      <c r="EL15" s="99">
        <f t="shared" si="47"/>
        <v>0</v>
      </c>
      <c r="EM15" s="99">
        <v>198</v>
      </c>
      <c r="EN15" s="97">
        <f t="shared" si="16"/>
        <v>198</v>
      </c>
      <c r="EO15" s="99">
        <v>88</v>
      </c>
      <c r="EP15" s="99">
        <f t="shared" si="48"/>
        <v>44.444444444444443</v>
      </c>
      <c r="EQ15" s="99"/>
      <c r="ER15" s="97">
        <f t="shared" si="16"/>
        <v>0</v>
      </c>
      <c r="ES15" s="99"/>
      <c r="ET15" s="99">
        <f t="shared" si="49"/>
        <v>0</v>
      </c>
      <c r="EU15" s="99"/>
      <c r="EV15" s="97">
        <f t="shared" si="16"/>
        <v>0</v>
      </c>
      <c r="EW15" s="99"/>
      <c r="EX15" s="99">
        <f t="shared" si="50"/>
        <v>0</v>
      </c>
      <c r="EY15" s="152">
        <f t="shared" si="51"/>
        <v>129388</v>
      </c>
      <c r="EZ15" s="152">
        <f t="shared" si="17"/>
        <v>129388</v>
      </c>
      <c r="FA15" s="152">
        <f t="shared" si="17"/>
        <v>106500</v>
      </c>
      <c r="FB15" s="152">
        <f t="shared" si="52"/>
        <v>82.310569759173958</v>
      </c>
    </row>
    <row r="16" spans="1:158" s="153" customFormat="1" ht="14.1" customHeight="1" x14ac:dyDescent="0.2">
      <c r="A16" s="154" t="s">
        <v>129</v>
      </c>
      <c r="B16" s="155" t="s">
        <v>3</v>
      </c>
      <c r="C16" s="156"/>
      <c r="D16" s="97">
        <f t="shared" si="1"/>
        <v>0</v>
      </c>
      <c r="E16" s="157"/>
      <c r="F16" s="99" t="e">
        <f t="shared" si="3"/>
        <v>#DIV/0!</v>
      </c>
      <c r="G16" s="99"/>
      <c r="H16" s="97">
        <f t="shared" si="6"/>
        <v>0</v>
      </c>
      <c r="I16" s="99">
        <v>0</v>
      </c>
      <c r="J16" s="99">
        <f t="shared" si="18"/>
        <v>0</v>
      </c>
      <c r="K16" s="99"/>
      <c r="L16" s="97">
        <f t="shared" si="6"/>
        <v>0</v>
      </c>
      <c r="M16" s="99"/>
      <c r="N16" s="99" t="e">
        <f t="shared" si="7"/>
        <v>#DIV/0!</v>
      </c>
      <c r="O16" s="99"/>
      <c r="P16" s="97">
        <f t="shared" si="6"/>
        <v>0</v>
      </c>
      <c r="Q16" s="99"/>
      <c r="R16" s="99">
        <f t="shared" si="19"/>
        <v>0</v>
      </c>
      <c r="S16" s="99"/>
      <c r="T16" s="97">
        <f t="shared" si="6"/>
        <v>0</v>
      </c>
      <c r="U16" s="99"/>
      <c r="V16" s="99">
        <f t="shared" si="20"/>
        <v>0</v>
      </c>
      <c r="W16" s="99"/>
      <c r="X16" s="97">
        <f t="shared" si="6"/>
        <v>0</v>
      </c>
      <c r="Y16" s="99"/>
      <c r="Z16" s="99">
        <f t="shared" si="21"/>
        <v>0</v>
      </c>
      <c r="AA16" s="99">
        <v>500</v>
      </c>
      <c r="AB16" s="97">
        <f t="shared" si="6"/>
        <v>500</v>
      </c>
      <c r="AC16" s="99">
        <v>503</v>
      </c>
      <c r="AD16" s="99">
        <f t="shared" si="22"/>
        <v>100.6</v>
      </c>
      <c r="AE16" s="99">
        <v>174</v>
      </c>
      <c r="AF16" s="97">
        <f t="shared" si="6"/>
        <v>174</v>
      </c>
      <c r="AG16" s="99">
        <v>178</v>
      </c>
      <c r="AH16" s="99">
        <f t="shared" si="23"/>
        <v>102.29885057471265</v>
      </c>
      <c r="AI16" s="99"/>
      <c r="AJ16" s="97">
        <f t="shared" si="6"/>
        <v>0</v>
      </c>
      <c r="AK16" s="99"/>
      <c r="AL16" s="99">
        <f t="shared" si="24"/>
        <v>0</v>
      </c>
      <c r="AM16" s="99">
        <v>250</v>
      </c>
      <c r="AN16" s="97">
        <f t="shared" si="6"/>
        <v>250</v>
      </c>
      <c r="AO16" s="99">
        <v>127</v>
      </c>
      <c r="AP16" s="99">
        <f t="shared" si="25"/>
        <v>50.8</v>
      </c>
      <c r="AQ16" s="99"/>
      <c r="AR16" s="97">
        <f t="shared" si="6"/>
        <v>0</v>
      </c>
      <c r="AS16" s="99"/>
      <c r="AT16" s="99">
        <f t="shared" si="26"/>
        <v>0</v>
      </c>
      <c r="AU16" s="99">
        <v>100</v>
      </c>
      <c r="AV16" s="97">
        <f t="shared" si="6"/>
        <v>100</v>
      </c>
      <c r="AW16" s="99">
        <v>106</v>
      </c>
      <c r="AX16" s="99">
        <f t="shared" si="27"/>
        <v>106</v>
      </c>
      <c r="AY16" s="99">
        <v>20</v>
      </c>
      <c r="AZ16" s="97">
        <f t="shared" si="6"/>
        <v>20</v>
      </c>
      <c r="BA16" s="99">
        <v>232</v>
      </c>
      <c r="BB16" s="99">
        <f t="shared" si="28"/>
        <v>1160</v>
      </c>
      <c r="BC16" s="99">
        <v>400</v>
      </c>
      <c r="BD16" s="97">
        <f t="shared" si="6"/>
        <v>400</v>
      </c>
      <c r="BE16" s="99">
        <v>409</v>
      </c>
      <c r="BF16" s="99">
        <f t="shared" si="29"/>
        <v>102.25</v>
      </c>
      <c r="BG16" s="99">
        <v>400</v>
      </c>
      <c r="BH16" s="97">
        <f t="shared" si="6"/>
        <v>400</v>
      </c>
      <c r="BI16" s="99">
        <v>474</v>
      </c>
      <c r="BJ16" s="99">
        <f t="shared" si="30"/>
        <v>118.5</v>
      </c>
      <c r="BK16" s="99"/>
      <c r="BL16" s="97">
        <f t="shared" si="6"/>
        <v>0</v>
      </c>
      <c r="BM16" s="99"/>
      <c r="BN16" s="99">
        <f t="shared" si="31"/>
        <v>0</v>
      </c>
      <c r="BO16" s="99"/>
      <c r="BP16" s="97">
        <f t="shared" si="6"/>
        <v>0</v>
      </c>
      <c r="BQ16" s="99"/>
      <c r="BR16" s="99">
        <f t="shared" si="32"/>
        <v>0</v>
      </c>
      <c r="BS16" s="99"/>
      <c r="BT16" s="97">
        <f t="shared" si="9"/>
        <v>0</v>
      </c>
      <c r="BU16" s="99"/>
      <c r="BV16" s="99">
        <f t="shared" si="33"/>
        <v>0</v>
      </c>
      <c r="BW16" s="99"/>
      <c r="BX16" s="97">
        <f t="shared" si="9"/>
        <v>0</v>
      </c>
      <c r="BY16" s="99"/>
      <c r="BZ16" s="99">
        <f t="shared" si="34"/>
        <v>0</v>
      </c>
      <c r="CA16" s="99"/>
      <c r="CB16" s="97">
        <f t="shared" si="9"/>
        <v>0</v>
      </c>
      <c r="CC16" s="99"/>
      <c r="CD16" s="99">
        <f t="shared" si="35"/>
        <v>0</v>
      </c>
      <c r="CE16" s="99"/>
      <c r="CF16" s="97">
        <f t="shared" si="9"/>
        <v>0</v>
      </c>
      <c r="CG16" s="99"/>
      <c r="CH16" s="99">
        <f t="shared" si="36"/>
        <v>0</v>
      </c>
      <c r="CI16" s="99"/>
      <c r="CJ16" s="97">
        <f t="shared" si="9"/>
        <v>0</v>
      </c>
      <c r="CK16" s="99"/>
      <c r="CL16" s="99">
        <f t="shared" si="37"/>
        <v>0</v>
      </c>
      <c r="CM16" s="99"/>
      <c r="CN16" s="97">
        <f t="shared" si="9"/>
        <v>0</v>
      </c>
      <c r="CO16" s="99"/>
      <c r="CP16" s="99">
        <f t="shared" si="38"/>
        <v>0</v>
      </c>
      <c r="CQ16" s="99"/>
      <c r="CR16" s="97">
        <f t="shared" si="9"/>
        <v>0</v>
      </c>
      <c r="CS16" s="99"/>
      <c r="CT16" s="99">
        <f t="shared" si="39"/>
        <v>0</v>
      </c>
      <c r="CU16" s="99"/>
      <c r="CV16" s="97">
        <f t="shared" si="9"/>
        <v>0</v>
      </c>
      <c r="CW16" s="99"/>
      <c r="CX16" s="99">
        <f t="shared" si="40"/>
        <v>0</v>
      </c>
      <c r="CY16" s="99"/>
      <c r="CZ16" s="97">
        <f t="shared" si="9"/>
        <v>0</v>
      </c>
      <c r="DA16" s="99"/>
      <c r="DB16" s="99">
        <f t="shared" si="41"/>
        <v>0</v>
      </c>
      <c r="DC16" s="99"/>
      <c r="DD16" s="97">
        <f t="shared" si="9"/>
        <v>0</v>
      </c>
      <c r="DE16" s="99"/>
      <c r="DF16" s="99">
        <f t="shared" si="42"/>
        <v>0</v>
      </c>
      <c r="DG16" s="99"/>
      <c r="DH16" s="97">
        <f t="shared" si="9"/>
        <v>0</v>
      </c>
      <c r="DI16" s="99"/>
      <c r="DJ16" s="99" t="e">
        <f t="shared" si="11"/>
        <v>#DIV/0!</v>
      </c>
      <c r="DK16" s="99">
        <v>300</v>
      </c>
      <c r="DL16" s="97">
        <f t="shared" si="9"/>
        <v>300</v>
      </c>
      <c r="DM16" s="99">
        <v>307</v>
      </c>
      <c r="DN16" s="99">
        <f t="shared" si="43"/>
        <v>102.33333333333334</v>
      </c>
      <c r="DO16" s="99">
        <v>490</v>
      </c>
      <c r="DP16" s="97">
        <f t="shared" si="9"/>
        <v>490</v>
      </c>
      <c r="DQ16" s="99">
        <v>493</v>
      </c>
      <c r="DR16" s="99">
        <f t="shared" si="44"/>
        <v>100.61224489795919</v>
      </c>
      <c r="DS16" s="99"/>
      <c r="DT16" s="97">
        <f t="shared" si="9"/>
        <v>0</v>
      </c>
      <c r="DU16" s="99"/>
      <c r="DV16" s="99" t="e">
        <f t="shared" si="12"/>
        <v>#DIV/0!</v>
      </c>
      <c r="DW16" s="99"/>
      <c r="DX16" s="97">
        <f t="shared" si="9"/>
        <v>0</v>
      </c>
      <c r="DY16" s="99"/>
      <c r="DZ16" s="99" t="e">
        <f t="shared" si="13"/>
        <v>#DIV/0!</v>
      </c>
      <c r="EA16" s="99"/>
      <c r="EB16" s="97">
        <f t="shared" si="16"/>
        <v>0</v>
      </c>
      <c r="EC16" s="99"/>
      <c r="ED16" s="99">
        <f t="shared" si="45"/>
        <v>0</v>
      </c>
      <c r="EE16" s="99">
        <v>12</v>
      </c>
      <c r="EF16" s="97">
        <f t="shared" si="16"/>
        <v>12</v>
      </c>
      <c r="EG16" s="99">
        <v>0</v>
      </c>
      <c r="EH16" s="99">
        <f t="shared" si="46"/>
        <v>0</v>
      </c>
      <c r="EI16" s="99"/>
      <c r="EJ16" s="97">
        <f t="shared" si="16"/>
        <v>0</v>
      </c>
      <c r="EK16" s="99"/>
      <c r="EL16" s="99">
        <f t="shared" si="47"/>
        <v>0</v>
      </c>
      <c r="EM16" s="99"/>
      <c r="EN16" s="97">
        <f t="shared" si="16"/>
        <v>0</v>
      </c>
      <c r="EO16" s="99"/>
      <c r="EP16" s="99">
        <f t="shared" si="48"/>
        <v>0</v>
      </c>
      <c r="EQ16" s="99"/>
      <c r="ER16" s="97">
        <f t="shared" si="16"/>
        <v>0</v>
      </c>
      <c r="ES16" s="99"/>
      <c r="ET16" s="99">
        <f t="shared" si="49"/>
        <v>0</v>
      </c>
      <c r="EU16" s="99"/>
      <c r="EV16" s="97">
        <f t="shared" si="16"/>
        <v>0</v>
      </c>
      <c r="EW16" s="99"/>
      <c r="EX16" s="99">
        <f t="shared" si="50"/>
        <v>0</v>
      </c>
      <c r="EY16" s="152">
        <f t="shared" si="51"/>
        <v>2646</v>
      </c>
      <c r="EZ16" s="152">
        <f t="shared" si="17"/>
        <v>2646</v>
      </c>
      <c r="FA16" s="152">
        <f t="shared" si="17"/>
        <v>2829</v>
      </c>
      <c r="FB16" s="152">
        <f t="shared" si="52"/>
        <v>106.91609977324264</v>
      </c>
    </row>
    <row r="17" spans="1:160" s="153" customFormat="1" ht="31.5" x14ac:dyDescent="0.2">
      <c r="A17" s="154" t="s">
        <v>130</v>
      </c>
      <c r="B17" s="155" t="s">
        <v>3</v>
      </c>
      <c r="C17" s="156"/>
      <c r="D17" s="97">
        <f t="shared" si="1"/>
        <v>0</v>
      </c>
      <c r="E17" s="157"/>
      <c r="F17" s="99" t="e">
        <f t="shared" si="3"/>
        <v>#DIV/0!</v>
      </c>
      <c r="G17" s="99">
        <v>14621</v>
      </c>
      <c r="H17" s="97">
        <f t="shared" si="6"/>
        <v>14621</v>
      </c>
      <c r="I17" s="99">
        <v>26322</v>
      </c>
      <c r="J17" s="99">
        <f t="shared" si="18"/>
        <v>180.02872580534847</v>
      </c>
      <c r="K17" s="99"/>
      <c r="L17" s="97">
        <f t="shared" si="6"/>
        <v>0</v>
      </c>
      <c r="M17" s="99"/>
      <c r="N17" s="99" t="e">
        <f t="shared" si="7"/>
        <v>#DIV/0!</v>
      </c>
      <c r="O17" s="99">
        <v>12087</v>
      </c>
      <c r="P17" s="97">
        <f t="shared" si="6"/>
        <v>12087</v>
      </c>
      <c r="Q17" s="99">
        <v>39479</v>
      </c>
      <c r="R17" s="99">
        <f t="shared" si="19"/>
        <v>326.62364523868621</v>
      </c>
      <c r="S17" s="99">
        <v>3483</v>
      </c>
      <c r="T17" s="97">
        <f t="shared" si="6"/>
        <v>3483</v>
      </c>
      <c r="U17" s="99">
        <v>3529</v>
      </c>
      <c r="V17" s="99">
        <f t="shared" si="20"/>
        <v>101.32070054550675</v>
      </c>
      <c r="W17" s="99">
        <v>12704</v>
      </c>
      <c r="X17" s="97">
        <f t="shared" si="6"/>
        <v>12704</v>
      </c>
      <c r="Y17" s="99">
        <v>12751</v>
      </c>
      <c r="Z17" s="99">
        <f t="shared" si="21"/>
        <v>100.36996221662469</v>
      </c>
      <c r="AA17" s="99">
        <v>21679</v>
      </c>
      <c r="AB17" s="97">
        <f t="shared" si="6"/>
        <v>21679</v>
      </c>
      <c r="AC17" s="99">
        <v>20884</v>
      </c>
      <c r="AD17" s="99">
        <f t="shared" si="22"/>
        <v>96.332856681581262</v>
      </c>
      <c r="AE17" s="99">
        <v>16797</v>
      </c>
      <c r="AF17" s="97">
        <f t="shared" si="6"/>
        <v>16797</v>
      </c>
      <c r="AG17" s="99">
        <v>15988</v>
      </c>
      <c r="AH17" s="99">
        <f t="shared" si="23"/>
        <v>95.183663749479081</v>
      </c>
      <c r="AI17" s="99">
        <v>34455</v>
      </c>
      <c r="AJ17" s="97">
        <f t="shared" si="6"/>
        <v>34455</v>
      </c>
      <c r="AK17" s="99">
        <v>36520</v>
      </c>
      <c r="AL17" s="99">
        <f t="shared" si="24"/>
        <v>105.99332462632418</v>
      </c>
      <c r="AM17" s="99">
        <v>11277</v>
      </c>
      <c r="AN17" s="97">
        <f t="shared" si="6"/>
        <v>11277</v>
      </c>
      <c r="AO17" s="99">
        <v>30259</v>
      </c>
      <c r="AP17" s="99">
        <f t="shared" si="25"/>
        <v>268.324909107032</v>
      </c>
      <c r="AQ17" s="99">
        <v>12255</v>
      </c>
      <c r="AR17" s="97">
        <f t="shared" si="6"/>
        <v>12255</v>
      </c>
      <c r="AS17" s="99">
        <v>11898</v>
      </c>
      <c r="AT17" s="99">
        <f t="shared" si="26"/>
        <v>97.086903304773557</v>
      </c>
      <c r="AU17" s="99">
        <v>32268</v>
      </c>
      <c r="AV17" s="97">
        <f t="shared" si="6"/>
        <v>32268</v>
      </c>
      <c r="AW17" s="99">
        <v>32018</v>
      </c>
      <c r="AX17" s="99">
        <f t="shared" si="27"/>
        <v>99.225238626503028</v>
      </c>
      <c r="AY17" s="99">
        <v>16467</v>
      </c>
      <c r="AZ17" s="97">
        <f t="shared" si="6"/>
        <v>16467</v>
      </c>
      <c r="BA17" s="99">
        <v>15644</v>
      </c>
      <c r="BB17" s="99">
        <f t="shared" si="28"/>
        <v>95.002125463047307</v>
      </c>
      <c r="BC17" s="99">
        <v>23545</v>
      </c>
      <c r="BD17" s="97">
        <f t="shared" si="6"/>
        <v>23545</v>
      </c>
      <c r="BE17" s="99">
        <v>24052</v>
      </c>
      <c r="BF17" s="99">
        <f t="shared" si="29"/>
        <v>102.15332342323211</v>
      </c>
      <c r="BG17" s="99">
        <v>26665</v>
      </c>
      <c r="BH17" s="97">
        <f t="shared" si="6"/>
        <v>26665</v>
      </c>
      <c r="BI17" s="99">
        <v>35768</v>
      </c>
      <c r="BJ17" s="99">
        <f t="shared" si="30"/>
        <v>134.13838364897805</v>
      </c>
      <c r="BK17" s="99"/>
      <c r="BL17" s="97">
        <f t="shared" si="6"/>
        <v>0</v>
      </c>
      <c r="BM17" s="99"/>
      <c r="BN17" s="99">
        <f t="shared" si="31"/>
        <v>0</v>
      </c>
      <c r="BO17" s="99"/>
      <c r="BP17" s="97">
        <f t="shared" si="6"/>
        <v>0</v>
      </c>
      <c r="BQ17" s="99"/>
      <c r="BR17" s="99">
        <f t="shared" si="32"/>
        <v>0</v>
      </c>
      <c r="BS17" s="99"/>
      <c r="BT17" s="97">
        <f t="shared" si="9"/>
        <v>0</v>
      </c>
      <c r="BU17" s="99"/>
      <c r="BV17" s="99">
        <f t="shared" si="33"/>
        <v>0</v>
      </c>
      <c r="BW17" s="99"/>
      <c r="BX17" s="97">
        <f t="shared" si="9"/>
        <v>0</v>
      </c>
      <c r="BY17" s="99"/>
      <c r="BZ17" s="99">
        <f t="shared" si="34"/>
        <v>0</v>
      </c>
      <c r="CA17" s="99"/>
      <c r="CB17" s="97">
        <f t="shared" si="9"/>
        <v>0</v>
      </c>
      <c r="CC17" s="99"/>
      <c r="CD17" s="99">
        <f t="shared" si="35"/>
        <v>0</v>
      </c>
      <c r="CE17" s="99"/>
      <c r="CF17" s="97">
        <f t="shared" si="9"/>
        <v>0</v>
      </c>
      <c r="CG17" s="99"/>
      <c r="CH17" s="99">
        <f t="shared" si="36"/>
        <v>0</v>
      </c>
      <c r="CI17" s="99"/>
      <c r="CJ17" s="97">
        <f t="shared" si="9"/>
        <v>0</v>
      </c>
      <c r="CK17" s="99"/>
      <c r="CL17" s="99">
        <f t="shared" si="37"/>
        <v>0</v>
      </c>
      <c r="CM17" s="99"/>
      <c r="CN17" s="97">
        <f t="shared" si="9"/>
        <v>0</v>
      </c>
      <c r="CO17" s="99"/>
      <c r="CP17" s="99">
        <f t="shared" si="38"/>
        <v>0</v>
      </c>
      <c r="CQ17" s="99"/>
      <c r="CR17" s="97">
        <f t="shared" si="9"/>
        <v>0</v>
      </c>
      <c r="CS17" s="99"/>
      <c r="CT17" s="99">
        <f t="shared" si="39"/>
        <v>0</v>
      </c>
      <c r="CU17" s="99"/>
      <c r="CV17" s="97">
        <f t="shared" si="9"/>
        <v>0</v>
      </c>
      <c r="CW17" s="99"/>
      <c r="CX17" s="99">
        <f t="shared" si="40"/>
        <v>0</v>
      </c>
      <c r="CY17" s="99">
        <v>2946</v>
      </c>
      <c r="CZ17" s="97">
        <f t="shared" si="9"/>
        <v>2946</v>
      </c>
      <c r="DA17" s="99">
        <v>789</v>
      </c>
      <c r="DB17" s="99">
        <f t="shared" si="41"/>
        <v>26.782077393075355</v>
      </c>
      <c r="DC17" s="99"/>
      <c r="DD17" s="97">
        <f t="shared" si="9"/>
        <v>0</v>
      </c>
      <c r="DE17" s="99"/>
      <c r="DF17" s="99">
        <f t="shared" si="42"/>
        <v>0</v>
      </c>
      <c r="DG17" s="99"/>
      <c r="DH17" s="97">
        <f t="shared" si="9"/>
        <v>0</v>
      </c>
      <c r="DI17" s="99"/>
      <c r="DJ17" s="99" t="e">
        <f t="shared" si="11"/>
        <v>#DIV/0!</v>
      </c>
      <c r="DK17" s="99">
        <v>34571</v>
      </c>
      <c r="DL17" s="97">
        <f t="shared" si="9"/>
        <v>34571</v>
      </c>
      <c r="DM17" s="99">
        <v>56881</v>
      </c>
      <c r="DN17" s="99">
        <f t="shared" si="43"/>
        <v>164.53385785774205</v>
      </c>
      <c r="DO17" s="99">
        <v>12800</v>
      </c>
      <c r="DP17" s="97">
        <f t="shared" si="9"/>
        <v>12800</v>
      </c>
      <c r="DQ17" s="99">
        <v>13635</v>
      </c>
      <c r="DR17" s="99">
        <f t="shared" si="44"/>
        <v>106.5234375</v>
      </c>
      <c r="DS17" s="99"/>
      <c r="DT17" s="97">
        <f t="shared" si="9"/>
        <v>0</v>
      </c>
      <c r="DU17" s="99"/>
      <c r="DV17" s="99" t="e">
        <f t="shared" si="12"/>
        <v>#DIV/0!</v>
      </c>
      <c r="DW17" s="99"/>
      <c r="DX17" s="97">
        <f t="shared" si="9"/>
        <v>0</v>
      </c>
      <c r="DY17" s="99"/>
      <c r="DZ17" s="99" t="e">
        <f t="shared" si="13"/>
        <v>#DIV/0!</v>
      </c>
      <c r="EA17" s="99">
        <v>1751</v>
      </c>
      <c r="EB17" s="97">
        <f t="shared" si="16"/>
        <v>1751</v>
      </c>
      <c r="EC17" s="99">
        <v>1770</v>
      </c>
      <c r="ED17" s="99">
        <f t="shared" si="45"/>
        <v>101.08509423186752</v>
      </c>
      <c r="EE17" s="99">
        <v>26374</v>
      </c>
      <c r="EF17" s="97">
        <f t="shared" si="16"/>
        <v>26374</v>
      </c>
      <c r="EG17" s="99">
        <v>59425</v>
      </c>
      <c r="EH17" s="99">
        <f t="shared" si="46"/>
        <v>225.31659968150453</v>
      </c>
      <c r="EI17" s="99">
        <v>2552</v>
      </c>
      <c r="EJ17" s="97">
        <f t="shared" si="16"/>
        <v>2552</v>
      </c>
      <c r="EK17" s="99">
        <v>8440</v>
      </c>
      <c r="EL17" s="99">
        <f t="shared" si="47"/>
        <v>330.72100313479626</v>
      </c>
      <c r="EM17" s="99">
        <v>7022</v>
      </c>
      <c r="EN17" s="97">
        <f t="shared" si="16"/>
        <v>7022</v>
      </c>
      <c r="EO17" s="99">
        <v>9842</v>
      </c>
      <c r="EP17" s="99">
        <f t="shared" si="48"/>
        <v>140.15949871831387</v>
      </c>
      <c r="EQ17" s="99"/>
      <c r="ER17" s="97">
        <f t="shared" si="16"/>
        <v>0</v>
      </c>
      <c r="ES17" s="99"/>
      <c r="ET17" s="99">
        <f t="shared" si="49"/>
        <v>0</v>
      </c>
      <c r="EU17" s="99"/>
      <c r="EV17" s="97">
        <f t="shared" si="16"/>
        <v>0</v>
      </c>
      <c r="EW17" s="99"/>
      <c r="EX17" s="99">
        <f t="shared" si="50"/>
        <v>0</v>
      </c>
      <c r="EY17" s="152">
        <f t="shared" si="51"/>
        <v>326319</v>
      </c>
      <c r="EZ17" s="152">
        <f t="shared" si="17"/>
        <v>326319</v>
      </c>
      <c r="FA17" s="152">
        <f t="shared" si="17"/>
        <v>455894</v>
      </c>
      <c r="FB17" s="152">
        <f t="shared" si="52"/>
        <v>139.7080770656934</v>
      </c>
    </row>
    <row r="18" spans="1:160" s="153" customFormat="1" ht="15.75" x14ac:dyDescent="0.2">
      <c r="A18" s="194" t="s">
        <v>131</v>
      </c>
      <c r="B18" s="155"/>
      <c r="C18" s="156"/>
      <c r="D18" s="195">
        <f t="shared" si="1"/>
        <v>0</v>
      </c>
      <c r="E18" s="157"/>
      <c r="F18" s="99" t="e">
        <f t="shared" si="3"/>
        <v>#DIV/0!</v>
      </c>
      <c r="G18" s="99">
        <v>63473</v>
      </c>
      <c r="H18" s="195">
        <f t="shared" si="6"/>
        <v>63473</v>
      </c>
      <c r="I18" s="99">
        <v>68234</v>
      </c>
      <c r="J18" s="99">
        <f t="shared" si="18"/>
        <v>107.50082712334378</v>
      </c>
      <c r="K18" s="99"/>
      <c r="L18" s="195">
        <f t="shared" si="6"/>
        <v>0</v>
      </c>
      <c r="M18" s="99"/>
      <c r="N18" s="99" t="e">
        <f t="shared" si="7"/>
        <v>#DIV/0!</v>
      </c>
      <c r="O18" s="99">
        <v>81731</v>
      </c>
      <c r="P18" s="195">
        <f t="shared" si="6"/>
        <v>81731</v>
      </c>
      <c r="Q18" s="99">
        <v>81622</v>
      </c>
      <c r="R18" s="99">
        <f t="shared" si="19"/>
        <v>99.866635670675748</v>
      </c>
      <c r="S18" s="99">
        <v>42613</v>
      </c>
      <c r="T18" s="195">
        <f t="shared" si="6"/>
        <v>42613</v>
      </c>
      <c r="U18" s="99">
        <v>42872</v>
      </c>
      <c r="V18" s="99">
        <f t="shared" si="20"/>
        <v>100.6077957430831</v>
      </c>
      <c r="W18" s="99">
        <v>61629</v>
      </c>
      <c r="X18" s="195">
        <f t="shared" si="6"/>
        <v>61629</v>
      </c>
      <c r="Y18" s="99">
        <v>63030</v>
      </c>
      <c r="Z18" s="99">
        <f t="shared" si="21"/>
        <v>102.2732804361583</v>
      </c>
      <c r="AA18" s="99">
        <v>58647</v>
      </c>
      <c r="AB18" s="195">
        <f t="shared" si="6"/>
        <v>58647</v>
      </c>
      <c r="AC18" s="99">
        <v>58968</v>
      </c>
      <c r="AD18" s="99">
        <f t="shared" si="22"/>
        <v>100.54734257506779</v>
      </c>
      <c r="AE18" s="99">
        <v>42804</v>
      </c>
      <c r="AF18" s="195">
        <f t="shared" si="6"/>
        <v>42804</v>
      </c>
      <c r="AG18" s="99">
        <f>39883+AG20/4/3.2</f>
        <v>43191.92578125</v>
      </c>
      <c r="AH18" s="99">
        <f t="shared" si="23"/>
        <v>100.90628394834596</v>
      </c>
      <c r="AI18" s="99">
        <v>177427</v>
      </c>
      <c r="AJ18" s="195">
        <f t="shared" si="6"/>
        <v>177427</v>
      </c>
      <c r="AK18" s="99">
        <f>179050+AK20/4/3.2</f>
        <v>179464.921875</v>
      </c>
      <c r="AL18" s="99">
        <f t="shared" si="24"/>
        <v>101.14859738089467</v>
      </c>
      <c r="AM18" s="99">
        <v>41955</v>
      </c>
      <c r="AN18" s="195">
        <f t="shared" si="6"/>
        <v>41955</v>
      </c>
      <c r="AO18" s="99">
        <f>37584+AO20/4/3.2</f>
        <v>42483.23828125</v>
      </c>
      <c r="AP18" s="99">
        <f t="shared" si="25"/>
        <v>101.25905918543678</v>
      </c>
      <c r="AQ18" s="99">
        <v>57906</v>
      </c>
      <c r="AR18" s="195">
        <f t="shared" si="6"/>
        <v>57906</v>
      </c>
      <c r="AS18" s="99">
        <v>50422</v>
      </c>
      <c r="AT18" s="99">
        <f t="shared" si="26"/>
        <v>87.075605291334242</v>
      </c>
      <c r="AU18" s="99">
        <v>68047</v>
      </c>
      <c r="AV18" s="195">
        <f t="shared" si="6"/>
        <v>68047</v>
      </c>
      <c r="AW18" s="99">
        <v>59128</v>
      </c>
      <c r="AX18" s="99">
        <f t="shared" si="27"/>
        <v>86.89288286037592</v>
      </c>
      <c r="AY18" s="99">
        <v>65653</v>
      </c>
      <c r="AZ18" s="195">
        <f t="shared" si="6"/>
        <v>65653</v>
      </c>
      <c r="BA18" s="99">
        <v>63500</v>
      </c>
      <c r="BB18" s="99">
        <f t="shared" si="28"/>
        <v>96.720637289994357</v>
      </c>
      <c r="BC18" s="99">
        <v>47001</v>
      </c>
      <c r="BD18" s="195">
        <f t="shared" si="6"/>
        <v>47001</v>
      </c>
      <c r="BE18" s="99">
        <v>47117</v>
      </c>
      <c r="BF18" s="99">
        <f t="shared" si="29"/>
        <v>100.24680325950513</v>
      </c>
      <c r="BG18" s="99">
        <v>44934</v>
      </c>
      <c r="BH18" s="195">
        <f t="shared" si="6"/>
        <v>44934</v>
      </c>
      <c r="BI18" s="99">
        <v>39333</v>
      </c>
      <c r="BJ18" s="99">
        <f t="shared" si="30"/>
        <v>87.535051408732812</v>
      </c>
      <c r="BK18" s="99"/>
      <c r="BL18" s="195">
        <f t="shared" si="6"/>
        <v>0</v>
      </c>
      <c r="BM18" s="99"/>
      <c r="BN18" s="99">
        <f t="shared" si="31"/>
        <v>0</v>
      </c>
      <c r="BO18" s="99"/>
      <c r="BP18" s="195">
        <f t="shared" si="6"/>
        <v>0</v>
      </c>
      <c r="BQ18" s="99"/>
      <c r="BR18" s="99">
        <f t="shared" si="32"/>
        <v>0</v>
      </c>
      <c r="BS18" s="99"/>
      <c r="BT18" s="195">
        <f t="shared" si="9"/>
        <v>0</v>
      </c>
      <c r="BU18" s="99"/>
      <c r="BV18" s="99">
        <f t="shared" si="33"/>
        <v>0</v>
      </c>
      <c r="BW18" s="99"/>
      <c r="BX18" s="195">
        <f t="shared" si="9"/>
        <v>0</v>
      </c>
      <c r="BY18" s="99"/>
      <c r="BZ18" s="99">
        <f t="shared" si="34"/>
        <v>0</v>
      </c>
      <c r="CA18" s="99"/>
      <c r="CB18" s="195">
        <f t="shared" si="9"/>
        <v>0</v>
      </c>
      <c r="CC18" s="99"/>
      <c r="CD18" s="99">
        <f t="shared" si="35"/>
        <v>0</v>
      </c>
      <c r="CE18" s="99"/>
      <c r="CF18" s="195">
        <f t="shared" si="9"/>
        <v>0</v>
      </c>
      <c r="CG18" s="99"/>
      <c r="CH18" s="99">
        <f t="shared" si="36"/>
        <v>0</v>
      </c>
      <c r="CI18" s="99"/>
      <c r="CJ18" s="195">
        <f t="shared" si="9"/>
        <v>0</v>
      </c>
      <c r="CK18" s="99"/>
      <c r="CL18" s="99">
        <f t="shared" si="37"/>
        <v>0</v>
      </c>
      <c r="CM18" s="99"/>
      <c r="CN18" s="195">
        <f t="shared" si="9"/>
        <v>0</v>
      </c>
      <c r="CO18" s="99"/>
      <c r="CP18" s="99">
        <f t="shared" si="38"/>
        <v>0</v>
      </c>
      <c r="CQ18" s="99"/>
      <c r="CR18" s="195">
        <f t="shared" si="9"/>
        <v>0</v>
      </c>
      <c r="CS18" s="99"/>
      <c r="CT18" s="99">
        <f t="shared" si="39"/>
        <v>0</v>
      </c>
      <c r="CU18" s="99"/>
      <c r="CV18" s="195">
        <f t="shared" si="9"/>
        <v>0</v>
      </c>
      <c r="CW18" s="99"/>
      <c r="CX18" s="99">
        <f t="shared" si="40"/>
        <v>0</v>
      </c>
      <c r="CY18" s="99">
        <v>5995</v>
      </c>
      <c r="CZ18" s="195">
        <f t="shared" si="9"/>
        <v>5995</v>
      </c>
      <c r="DA18" s="99">
        <f>7463+DA20/4/3.2</f>
        <v>7759.0546875</v>
      </c>
      <c r="DB18" s="99">
        <f t="shared" si="41"/>
        <v>129.42543265221019</v>
      </c>
      <c r="DC18" s="99"/>
      <c r="DD18" s="195">
        <f t="shared" si="9"/>
        <v>0</v>
      </c>
      <c r="DE18" s="99"/>
      <c r="DF18" s="99">
        <f t="shared" si="42"/>
        <v>0</v>
      </c>
      <c r="DG18" s="99"/>
      <c r="DH18" s="195">
        <f t="shared" si="9"/>
        <v>0</v>
      </c>
      <c r="DI18" s="99"/>
      <c r="DJ18" s="99" t="e">
        <f t="shared" si="11"/>
        <v>#DIV/0!</v>
      </c>
      <c r="DK18" s="99">
        <v>18083</v>
      </c>
      <c r="DL18" s="195">
        <f t="shared" si="9"/>
        <v>18083</v>
      </c>
      <c r="DM18" s="99">
        <v>21132</v>
      </c>
      <c r="DN18" s="99">
        <f t="shared" si="43"/>
        <v>116.861140297517</v>
      </c>
      <c r="DO18" s="99">
        <v>60776</v>
      </c>
      <c r="DP18" s="195">
        <f t="shared" si="9"/>
        <v>60776</v>
      </c>
      <c r="DQ18" s="99">
        <v>60952</v>
      </c>
      <c r="DR18" s="99">
        <f t="shared" si="44"/>
        <v>100.28958799526129</v>
      </c>
      <c r="DS18" s="99"/>
      <c r="DT18" s="195">
        <f t="shared" si="9"/>
        <v>0</v>
      </c>
      <c r="DU18" s="99"/>
      <c r="DV18" s="99" t="e">
        <f t="shared" si="12"/>
        <v>#DIV/0!</v>
      </c>
      <c r="DW18" s="99"/>
      <c r="DX18" s="195">
        <f t="shared" si="9"/>
        <v>0</v>
      </c>
      <c r="DY18" s="99"/>
      <c r="DZ18" s="99" t="e">
        <f t="shared" si="13"/>
        <v>#DIV/0!</v>
      </c>
      <c r="EA18" s="99">
        <v>2946</v>
      </c>
      <c r="EB18" s="195">
        <f t="shared" si="16"/>
        <v>2946</v>
      </c>
      <c r="EC18" s="99">
        <f>903+EC20/4/3.2</f>
        <v>1030.91015625</v>
      </c>
      <c r="ED18" s="99">
        <f t="shared" si="45"/>
        <v>34.993555880855396</v>
      </c>
      <c r="EE18" s="99">
        <v>45532</v>
      </c>
      <c r="EF18" s="195">
        <f t="shared" si="16"/>
        <v>45532</v>
      </c>
      <c r="EG18" s="99">
        <f>55658+EG20/4/3.2</f>
        <v>59288.0390625</v>
      </c>
      <c r="EH18" s="99">
        <f t="shared" si="46"/>
        <v>130.21180502174295</v>
      </c>
      <c r="EI18" s="99">
        <v>4106</v>
      </c>
      <c r="EJ18" s="195">
        <f t="shared" si="16"/>
        <v>4106</v>
      </c>
      <c r="EK18" s="99">
        <v>3509</v>
      </c>
      <c r="EL18" s="99">
        <f t="shared" si="47"/>
        <v>85.460301997077451</v>
      </c>
      <c r="EM18" s="99">
        <v>5534</v>
      </c>
      <c r="EN18" s="195">
        <f t="shared" si="16"/>
        <v>5534</v>
      </c>
      <c r="EO18" s="99">
        <f>6400+EO20/4/3.2</f>
        <v>6823.4765625</v>
      </c>
      <c r="EP18" s="99">
        <f t="shared" si="48"/>
        <v>123.30098595048788</v>
      </c>
      <c r="EQ18" s="99"/>
      <c r="ER18" s="195">
        <f t="shared" si="16"/>
        <v>0</v>
      </c>
      <c r="ES18" s="99"/>
      <c r="ET18" s="99">
        <f t="shared" si="49"/>
        <v>0</v>
      </c>
      <c r="EU18" s="99"/>
      <c r="EV18" s="195">
        <f t="shared" si="16"/>
        <v>0</v>
      </c>
      <c r="EW18" s="99"/>
      <c r="EX18" s="99">
        <f t="shared" si="50"/>
        <v>0</v>
      </c>
      <c r="EY18" s="152">
        <f t="shared" si="51"/>
        <v>996792</v>
      </c>
      <c r="EZ18" s="152">
        <f t="shared" si="17"/>
        <v>996792</v>
      </c>
      <c r="FA18" s="152">
        <f t="shared" si="17"/>
        <v>999860.56640625</v>
      </c>
      <c r="FB18" s="152">
        <f t="shared" si="52"/>
        <v>100.30784420483411</v>
      </c>
    </row>
    <row r="19" spans="1:160" s="153" customFormat="1" ht="15" customHeight="1" x14ac:dyDescent="0.2">
      <c r="A19" s="194" t="s">
        <v>132</v>
      </c>
      <c r="B19" s="155"/>
      <c r="C19" s="156"/>
      <c r="D19" s="195">
        <f t="shared" si="1"/>
        <v>0</v>
      </c>
      <c r="E19" s="157"/>
      <c r="F19" s="99" t="e">
        <f t="shared" si="3"/>
        <v>#DIV/0!</v>
      </c>
      <c r="G19" s="99"/>
      <c r="H19" s="195">
        <f t="shared" si="6"/>
        <v>0</v>
      </c>
      <c r="I19" s="99"/>
      <c r="J19" s="99">
        <f t="shared" si="18"/>
        <v>0</v>
      </c>
      <c r="K19" s="99"/>
      <c r="L19" s="195">
        <f t="shared" si="6"/>
        <v>0</v>
      </c>
      <c r="M19" s="99"/>
      <c r="N19" s="99" t="e">
        <f t="shared" si="7"/>
        <v>#DIV/0!</v>
      </c>
      <c r="O19" s="99"/>
      <c r="P19" s="195">
        <f t="shared" si="6"/>
        <v>0</v>
      </c>
      <c r="Q19" s="99"/>
      <c r="R19" s="99">
        <f t="shared" si="19"/>
        <v>0</v>
      </c>
      <c r="S19" s="99"/>
      <c r="T19" s="195">
        <f t="shared" si="6"/>
        <v>0</v>
      </c>
      <c r="U19" s="99"/>
      <c r="V19" s="99">
        <f t="shared" si="20"/>
        <v>0</v>
      </c>
      <c r="W19" s="99"/>
      <c r="X19" s="195">
        <f t="shared" si="6"/>
        <v>0</v>
      </c>
      <c r="Y19" s="99"/>
      <c r="Z19" s="99">
        <f t="shared" si="21"/>
        <v>0</v>
      </c>
      <c r="AA19" s="99"/>
      <c r="AB19" s="195">
        <f t="shared" si="6"/>
        <v>0</v>
      </c>
      <c r="AC19" s="99"/>
      <c r="AD19" s="99">
        <f t="shared" si="22"/>
        <v>0</v>
      </c>
      <c r="AE19" s="99"/>
      <c r="AF19" s="195">
        <f t="shared" si="6"/>
        <v>0</v>
      </c>
      <c r="AG19" s="99"/>
      <c r="AH19" s="99">
        <f t="shared" si="23"/>
        <v>0</v>
      </c>
      <c r="AI19" s="99"/>
      <c r="AJ19" s="195">
        <f t="shared" si="6"/>
        <v>0</v>
      </c>
      <c r="AK19" s="99"/>
      <c r="AL19" s="99">
        <f t="shared" si="24"/>
        <v>0</v>
      </c>
      <c r="AM19" s="99"/>
      <c r="AN19" s="195">
        <f t="shared" si="6"/>
        <v>0</v>
      </c>
      <c r="AO19" s="99"/>
      <c r="AP19" s="99">
        <f t="shared" si="25"/>
        <v>0</v>
      </c>
      <c r="AQ19" s="99"/>
      <c r="AR19" s="195">
        <f t="shared" si="6"/>
        <v>0</v>
      </c>
      <c r="AS19" s="99"/>
      <c r="AT19" s="99">
        <f t="shared" si="26"/>
        <v>0</v>
      </c>
      <c r="AU19" s="99"/>
      <c r="AV19" s="195">
        <f t="shared" si="6"/>
        <v>0</v>
      </c>
      <c r="AW19" s="99"/>
      <c r="AX19" s="99">
        <f t="shared" si="27"/>
        <v>0</v>
      </c>
      <c r="AY19" s="99"/>
      <c r="AZ19" s="195">
        <f t="shared" si="6"/>
        <v>0</v>
      </c>
      <c r="BA19" s="99"/>
      <c r="BB19" s="99">
        <f t="shared" si="28"/>
        <v>0</v>
      </c>
      <c r="BC19" s="99"/>
      <c r="BD19" s="195">
        <f t="shared" si="6"/>
        <v>0</v>
      </c>
      <c r="BE19" s="99"/>
      <c r="BF19" s="99">
        <f t="shared" si="29"/>
        <v>0</v>
      </c>
      <c r="BG19" s="99"/>
      <c r="BH19" s="195">
        <f t="shared" si="6"/>
        <v>0</v>
      </c>
      <c r="BI19" s="99"/>
      <c r="BJ19" s="99">
        <f t="shared" si="30"/>
        <v>0</v>
      </c>
      <c r="BK19" s="99"/>
      <c r="BL19" s="195">
        <f t="shared" si="6"/>
        <v>0</v>
      </c>
      <c r="BM19" s="99"/>
      <c r="BN19" s="99">
        <f t="shared" si="31"/>
        <v>0</v>
      </c>
      <c r="BO19" s="99"/>
      <c r="BP19" s="195">
        <f t="shared" si="6"/>
        <v>0</v>
      </c>
      <c r="BQ19" s="99"/>
      <c r="BR19" s="99">
        <f t="shared" si="32"/>
        <v>0</v>
      </c>
      <c r="BS19" s="99"/>
      <c r="BT19" s="195">
        <f t="shared" si="9"/>
        <v>0</v>
      </c>
      <c r="BU19" s="99"/>
      <c r="BV19" s="99">
        <f t="shared" si="33"/>
        <v>0</v>
      </c>
      <c r="BW19" s="99"/>
      <c r="BX19" s="195">
        <f t="shared" si="9"/>
        <v>0</v>
      </c>
      <c r="BY19" s="99"/>
      <c r="BZ19" s="99">
        <f t="shared" si="34"/>
        <v>0</v>
      </c>
      <c r="CA19" s="99"/>
      <c r="CB19" s="195">
        <f t="shared" si="9"/>
        <v>0</v>
      </c>
      <c r="CC19" s="99"/>
      <c r="CD19" s="99">
        <f t="shared" si="35"/>
        <v>0</v>
      </c>
      <c r="CE19" s="99"/>
      <c r="CF19" s="195">
        <f t="shared" si="9"/>
        <v>0</v>
      </c>
      <c r="CG19" s="99"/>
      <c r="CH19" s="99">
        <f t="shared" si="36"/>
        <v>0</v>
      </c>
      <c r="CI19" s="99"/>
      <c r="CJ19" s="195">
        <f t="shared" si="9"/>
        <v>0</v>
      </c>
      <c r="CK19" s="99"/>
      <c r="CL19" s="99">
        <f t="shared" si="37"/>
        <v>0</v>
      </c>
      <c r="CM19" s="99"/>
      <c r="CN19" s="195">
        <f t="shared" si="9"/>
        <v>0</v>
      </c>
      <c r="CO19" s="99"/>
      <c r="CP19" s="99">
        <f t="shared" si="38"/>
        <v>0</v>
      </c>
      <c r="CQ19" s="99"/>
      <c r="CR19" s="195">
        <f t="shared" si="9"/>
        <v>0</v>
      </c>
      <c r="CS19" s="99"/>
      <c r="CT19" s="99">
        <f t="shared" si="39"/>
        <v>0</v>
      </c>
      <c r="CU19" s="99"/>
      <c r="CV19" s="195">
        <f t="shared" si="9"/>
        <v>0</v>
      </c>
      <c r="CW19" s="99"/>
      <c r="CX19" s="99">
        <f t="shared" si="40"/>
        <v>0</v>
      </c>
      <c r="CY19" s="99"/>
      <c r="CZ19" s="195">
        <f t="shared" si="9"/>
        <v>0</v>
      </c>
      <c r="DA19" s="99"/>
      <c r="DB19" s="99">
        <f t="shared" si="41"/>
        <v>0</v>
      </c>
      <c r="DC19" s="99"/>
      <c r="DD19" s="195">
        <f t="shared" si="9"/>
        <v>0</v>
      </c>
      <c r="DE19" s="99"/>
      <c r="DF19" s="99">
        <f t="shared" si="42"/>
        <v>0</v>
      </c>
      <c r="DG19" s="99"/>
      <c r="DH19" s="195">
        <f t="shared" si="9"/>
        <v>0</v>
      </c>
      <c r="DI19" s="99"/>
      <c r="DJ19" s="99" t="e">
        <f t="shared" si="11"/>
        <v>#DIV/0!</v>
      </c>
      <c r="DK19" s="99"/>
      <c r="DL19" s="195">
        <f t="shared" si="9"/>
        <v>0</v>
      </c>
      <c r="DM19" s="99"/>
      <c r="DN19" s="99">
        <f t="shared" si="43"/>
        <v>0</v>
      </c>
      <c r="DO19" s="99"/>
      <c r="DP19" s="195">
        <f t="shared" si="9"/>
        <v>0</v>
      </c>
      <c r="DQ19" s="99"/>
      <c r="DR19" s="99">
        <f t="shared" si="44"/>
        <v>0</v>
      </c>
      <c r="DS19" s="99"/>
      <c r="DT19" s="195">
        <f t="shared" si="9"/>
        <v>0</v>
      </c>
      <c r="DU19" s="99"/>
      <c r="DV19" s="99" t="e">
        <f t="shared" si="12"/>
        <v>#DIV/0!</v>
      </c>
      <c r="DW19" s="99"/>
      <c r="DX19" s="195">
        <f t="shared" si="9"/>
        <v>0</v>
      </c>
      <c r="DY19" s="99"/>
      <c r="DZ19" s="99" t="e">
        <f t="shared" si="13"/>
        <v>#DIV/0!</v>
      </c>
      <c r="EA19" s="99"/>
      <c r="EB19" s="195">
        <f t="shared" si="16"/>
        <v>0</v>
      </c>
      <c r="EC19" s="99"/>
      <c r="ED19" s="99">
        <f t="shared" si="45"/>
        <v>0</v>
      </c>
      <c r="EE19" s="99"/>
      <c r="EF19" s="195">
        <f t="shared" si="16"/>
        <v>0</v>
      </c>
      <c r="EG19" s="99"/>
      <c r="EH19" s="99">
        <f t="shared" si="46"/>
        <v>0</v>
      </c>
      <c r="EI19" s="99"/>
      <c r="EJ19" s="195">
        <f t="shared" si="16"/>
        <v>0</v>
      </c>
      <c r="EK19" s="99"/>
      <c r="EL19" s="99">
        <f t="shared" si="47"/>
        <v>0</v>
      </c>
      <c r="EM19" s="99"/>
      <c r="EN19" s="195">
        <f t="shared" si="16"/>
        <v>0</v>
      </c>
      <c r="EO19" s="99"/>
      <c r="EP19" s="99">
        <f t="shared" si="48"/>
        <v>0</v>
      </c>
      <c r="EQ19" s="99"/>
      <c r="ER19" s="195">
        <f t="shared" si="16"/>
        <v>0</v>
      </c>
      <c r="ES19" s="99"/>
      <c r="ET19" s="99">
        <f t="shared" si="49"/>
        <v>0</v>
      </c>
      <c r="EU19" s="99"/>
      <c r="EV19" s="195">
        <f t="shared" si="16"/>
        <v>0</v>
      </c>
      <c r="EW19" s="99"/>
      <c r="EX19" s="99">
        <f t="shared" si="50"/>
        <v>0</v>
      </c>
      <c r="EY19" s="152">
        <f t="shared" si="51"/>
        <v>0</v>
      </c>
      <c r="EZ19" s="152">
        <f t="shared" si="17"/>
        <v>0</v>
      </c>
      <c r="FA19" s="152">
        <f t="shared" si="17"/>
        <v>0</v>
      </c>
      <c r="FB19" s="152">
        <f t="shared" si="52"/>
        <v>0</v>
      </c>
    </row>
    <row r="20" spans="1:160" s="153" customFormat="1" ht="15.75" x14ac:dyDescent="0.2">
      <c r="A20" s="194" t="s">
        <v>133</v>
      </c>
      <c r="B20" s="155"/>
      <c r="C20" s="156"/>
      <c r="D20" s="195">
        <f t="shared" si="1"/>
        <v>0</v>
      </c>
      <c r="E20" s="157"/>
      <c r="F20" s="99" t="e">
        <f t="shared" si="3"/>
        <v>#DIV/0!</v>
      </c>
      <c r="G20" s="99"/>
      <c r="H20" s="195">
        <f t="shared" si="6"/>
        <v>0</v>
      </c>
      <c r="I20" s="99">
        <v>0</v>
      </c>
      <c r="J20" s="99">
        <f t="shared" si="18"/>
        <v>0</v>
      </c>
      <c r="K20" s="99"/>
      <c r="L20" s="195">
        <f t="shared" si="6"/>
        <v>0</v>
      </c>
      <c r="M20" s="99"/>
      <c r="N20" s="99" t="e">
        <f t="shared" si="7"/>
        <v>#DIV/0!</v>
      </c>
      <c r="O20" s="99"/>
      <c r="P20" s="195">
        <f t="shared" si="6"/>
        <v>0</v>
      </c>
      <c r="Q20" s="99"/>
      <c r="R20" s="99">
        <f t="shared" si="19"/>
        <v>0</v>
      </c>
      <c r="S20" s="99"/>
      <c r="T20" s="195">
        <f t="shared" si="6"/>
        <v>0</v>
      </c>
      <c r="U20" s="99"/>
      <c r="V20" s="99">
        <f t="shared" si="20"/>
        <v>0</v>
      </c>
      <c r="W20" s="99"/>
      <c r="X20" s="195">
        <f t="shared" si="6"/>
        <v>0</v>
      </c>
      <c r="Y20" s="99"/>
      <c r="Z20" s="99">
        <f t="shared" si="21"/>
        <v>0</v>
      </c>
      <c r="AA20" s="99"/>
      <c r="AB20" s="195">
        <f t="shared" si="6"/>
        <v>0</v>
      </c>
      <c r="AC20" s="99"/>
      <c r="AD20" s="99">
        <f t="shared" si="22"/>
        <v>0</v>
      </c>
      <c r="AE20" s="99">
        <v>42000</v>
      </c>
      <c r="AF20" s="195">
        <f t="shared" si="6"/>
        <v>42000</v>
      </c>
      <c r="AG20" s="99">
        <v>42354.25</v>
      </c>
      <c r="AH20" s="99">
        <f t="shared" si="23"/>
        <v>100.84345238095239</v>
      </c>
      <c r="AI20" s="99">
        <v>5375</v>
      </c>
      <c r="AJ20" s="195">
        <f t="shared" si="6"/>
        <v>5375</v>
      </c>
      <c r="AK20" s="99">
        <v>5311</v>
      </c>
      <c r="AL20" s="99">
        <f t="shared" si="24"/>
        <v>98.809302325581399</v>
      </c>
      <c r="AM20" s="99">
        <v>57782</v>
      </c>
      <c r="AN20" s="195">
        <f t="shared" si="6"/>
        <v>57782</v>
      </c>
      <c r="AO20" s="99">
        <v>62710.25</v>
      </c>
      <c r="AP20" s="99">
        <f t="shared" si="25"/>
        <v>108.52904018552489</v>
      </c>
      <c r="AQ20" s="99"/>
      <c r="AR20" s="195">
        <f t="shared" si="6"/>
        <v>0</v>
      </c>
      <c r="AS20" s="99"/>
      <c r="AT20" s="99">
        <f t="shared" si="26"/>
        <v>0</v>
      </c>
      <c r="AU20" s="99"/>
      <c r="AV20" s="195">
        <f t="shared" si="6"/>
        <v>0</v>
      </c>
      <c r="AW20" s="99"/>
      <c r="AX20" s="99">
        <f t="shared" si="27"/>
        <v>0</v>
      </c>
      <c r="AY20" s="99"/>
      <c r="AZ20" s="195">
        <f t="shared" si="6"/>
        <v>0</v>
      </c>
      <c r="BA20" s="99"/>
      <c r="BB20" s="99">
        <f t="shared" si="28"/>
        <v>0</v>
      </c>
      <c r="BC20" s="99"/>
      <c r="BD20" s="195">
        <f t="shared" si="6"/>
        <v>0</v>
      </c>
      <c r="BE20" s="99"/>
      <c r="BF20" s="99">
        <f t="shared" si="29"/>
        <v>0</v>
      </c>
      <c r="BG20" s="99"/>
      <c r="BH20" s="195">
        <f t="shared" si="6"/>
        <v>0</v>
      </c>
      <c r="BI20" s="99"/>
      <c r="BJ20" s="99">
        <f t="shared" si="30"/>
        <v>0</v>
      </c>
      <c r="BK20" s="99"/>
      <c r="BL20" s="195">
        <f t="shared" si="6"/>
        <v>0</v>
      </c>
      <c r="BM20" s="99"/>
      <c r="BN20" s="99">
        <f t="shared" si="31"/>
        <v>0</v>
      </c>
      <c r="BO20" s="99"/>
      <c r="BP20" s="195">
        <f t="shared" si="6"/>
        <v>0</v>
      </c>
      <c r="BQ20" s="99"/>
      <c r="BR20" s="99">
        <f t="shared" si="32"/>
        <v>0</v>
      </c>
      <c r="BS20" s="99"/>
      <c r="BT20" s="195">
        <f t="shared" si="9"/>
        <v>0</v>
      </c>
      <c r="BU20" s="99"/>
      <c r="BV20" s="99">
        <f t="shared" si="33"/>
        <v>0</v>
      </c>
      <c r="BW20" s="99"/>
      <c r="BX20" s="195">
        <f t="shared" si="9"/>
        <v>0</v>
      </c>
      <c r="BY20" s="99"/>
      <c r="BZ20" s="99">
        <f t="shared" si="34"/>
        <v>0</v>
      </c>
      <c r="CA20" s="99"/>
      <c r="CB20" s="195">
        <f t="shared" si="9"/>
        <v>0</v>
      </c>
      <c r="CC20" s="99"/>
      <c r="CD20" s="99">
        <f t="shared" si="35"/>
        <v>0</v>
      </c>
      <c r="CE20" s="99"/>
      <c r="CF20" s="195">
        <f t="shared" si="9"/>
        <v>0</v>
      </c>
      <c r="CG20" s="99"/>
      <c r="CH20" s="99">
        <f t="shared" si="36"/>
        <v>0</v>
      </c>
      <c r="CI20" s="99"/>
      <c r="CJ20" s="195">
        <f t="shared" si="9"/>
        <v>0</v>
      </c>
      <c r="CK20" s="99"/>
      <c r="CL20" s="99">
        <f t="shared" si="37"/>
        <v>0</v>
      </c>
      <c r="CM20" s="99"/>
      <c r="CN20" s="195">
        <f t="shared" si="9"/>
        <v>0</v>
      </c>
      <c r="CO20" s="99"/>
      <c r="CP20" s="99">
        <f t="shared" si="38"/>
        <v>0</v>
      </c>
      <c r="CQ20" s="99"/>
      <c r="CR20" s="195">
        <f t="shared" si="9"/>
        <v>0</v>
      </c>
      <c r="CS20" s="99"/>
      <c r="CT20" s="99">
        <f t="shared" si="39"/>
        <v>0</v>
      </c>
      <c r="CU20" s="99"/>
      <c r="CV20" s="195">
        <f t="shared" si="9"/>
        <v>0</v>
      </c>
      <c r="CW20" s="99"/>
      <c r="CX20" s="99">
        <f t="shared" si="40"/>
        <v>0</v>
      </c>
      <c r="CY20" s="99">
        <v>3040</v>
      </c>
      <c r="CZ20" s="195">
        <f t="shared" si="9"/>
        <v>3040</v>
      </c>
      <c r="DA20" s="99">
        <v>3789.5</v>
      </c>
      <c r="DB20" s="99">
        <f t="shared" si="41"/>
        <v>124.6546052631579</v>
      </c>
      <c r="DC20" s="99"/>
      <c r="DD20" s="195">
        <f t="shared" si="9"/>
        <v>0</v>
      </c>
      <c r="DE20" s="99"/>
      <c r="DF20" s="99">
        <f t="shared" si="42"/>
        <v>0</v>
      </c>
      <c r="DG20" s="99"/>
      <c r="DH20" s="195">
        <f t="shared" si="9"/>
        <v>0</v>
      </c>
      <c r="DI20" s="99"/>
      <c r="DJ20" s="99" t="e">
        <f t="shared" si="11"/>
        <v>#DIV/0!</v>
      </c>
      <c r="DK20" s="99"/>
      <c r="DL20" s="195">
        <f t="shared" si="9"/>
        <v>0</v>
      </c>
      <c r="DM20" s="99"/>
      <c r="DN20" s="99">
        <f t="shared" si="43"/>
        <v>0</v>
      </c>
      <c r="DO20" s="99"/>
      <c r="DP20" s="195">
        <f t="shared" si="9"/>
        <v>0</v>
      </c>
      <c r="DQ20" s="99"/>
      <c r="DR20" s="99">
        <f t="shared" si="44"/>
        <v>0</v>
      </c>
      <c r="DS20" s="99"/>
      <c r="DT20" s="195">
        <f t="shared" si="9"/>
        <v>0</v>
      </c>
      <c r="DU20" s="99"/>
      <c r="DV20" s="99" t="e">
        <f t="shared" si="12"/>
        <v>#DIV/0!</v>
      </c>
      <c r="DW20" s="99"/>
      <c r="DX20" s="195">
        <f t="shared" si="9"/>
        <v>0</v>
      </c>
      <c r="DY20" s="99"/>
      <c r="DZ20" s="99" t="e">
        <f t="shared" si="13"/>
        <v>#DIV/0!</v>
      </c>
      <c r="EA20" s="99">
        <v>2700</v>
      </c>
      <c r="EB20" s="195">
        <f t="shared" si="16"/>
        <v>2700</v>
      </c>
      <c r="EC20" s="99">
        <v>1637.25</v>
      </c>
      <c r="ED20" s="99">
        <f t="shared" si="45"/>
        <v>60.638888888888886</v>
      </c>
      <c r="EE20" s="99">
        <v>45200</v>
      </c>
      <c r="EF20" s="195">
        <f t="shared" si="16"/>
        <v>45200</v>
      </c>
      <c r="EG20" s="99">
        <v>46464.5</v>
      </c>
      <c r="EH20" s="99">
        <f t="shared" si="46"/>
        <v>102.79756637168143</v>
      </c>
      <c r="EI20" s="99"/>
      <c r="EJ20" s="195">
        <f t="shared" si="16"/>
        <v>0</v>
      </c>
      <c r="EK20" s="99"/>
      <c r="EL20" s="99">
        <f t="shared" si="47"/>
        <v>0</v>
      </c>
      <c r="EM20" s="99">
        <v>7000</v>
      </c>
      <c r="EN20" s="195">
        <f t="shared" si="16"/>
        <v>7000</v>
      </c>
      <c r="EO20" s="99">
        <v>5420.5</v>
      </c>
      <c r="EP20" s="99">
        <f t="shared" si="48"/>
        <v>77.435714285714283</v>
      </c>
      <c r="EQ20" s="99"/>
      <c r="ER20" s="195">
        <f t="shared" si="16"/>
        <v>0</v>
      </c>
      <c r="ES20" s="99"/>
      <c r="ET20" s="99">
        <f t="shared" si="49"/>
        <v>0</v>
      </c>
      <c r="EU20" s="99"/>
      <c r="EV20" s="195">
        <f t="shared" si="16"/>
        <v>0</v>
      </c>
      <c r="EW20" s="99"/>
      <c r="EX20" s="99">
        <f t="shared" si="50"/>
        <v>0</v>
      </c>
      <c r="EY20" s="152">
        <f t="shared" si="51"/>
        <v>163097</v>
      </c>
      <c r="EZ20" s="152">
        <f t="shared" si="17"/>
        <v>163097</v>
      </c>
      <c r="FA20" s="152">
        <f t="shared" si="17"/>
        <v>167687.25</v>
      </c>
      <c r="FB20" s="152">
        <f t="shared" si="52"/>
        <v>102.81442944995922</v>
      </c>
    </row>
    <row r="21" spans="1:160" s="153" customFormat="1" ht="31.5" x14ac:dyDescent="0.2">
      <c r="A21" s="194" t="s">
        <v>134</v>
      </c>
      <c r="B21" s="155" t="s">
        <v>3</v>
      </c>
      <c r="C21" s="156"/>
      <c r="D21" s="195">
        <f t="shared" si="1"/>
        <v>0</v>
      </c>
      <c r="E21" s="157"/>
      <c r="F21" s="99" t="e">
        <f t="shared" si="3"/>
        <v>#DIV/0!</v>
      </c>
      <c r="G21" s="99">
        <v>20000</v>
      </c>
      <c r="H21" s="195">
        <f t="shared" si="6"/>
        <v>20000</v>
      </c>
      <c r="I21" s="99">
        <v>16647</v>
      </c>
      <c r="J21" s="99">
        <f t="shared" si="18"/>
        <v>83.234999999999999</v>
      </c>
      <c r="K21" s="99"/>
      <c r="L21" s="195">
        <f t="shared" si="6"/>
        <v>0</v>
      </c>
      <c r="M21" s="99"/>
      <c r="N21" s="99" t="e">
        <f t="shared" si="7"/>
        <v>#DIV/0!</v>
      </c>
      <c r="O21" s="99">
        <v>14700</v>
      </c>
      <c r="P21" s="195">
        <f t="shared" si="6"/>
        <v>14700</v>
      </c>
      <c r="Q21" s="99">
        <v>14734</v>
      </c>
      <c r="R21" s="99">
        <f t="shared" si="19"/>
        <v>100.23129251700679</v>
      </c>
      <c r="S21" s="99">
        <v>11363</v>
      </c>
      <c r="T21" s="195">
        <f t="shared" si="6"/>
        <v>11363</v>
      </c>
      <c r="U21" s="99">
        <v>11392</v>
      </c>
      <c r="V21" s="99">
        <f t="shared" si="20"/>
        <v>100.25521429200035</v>
      </c>
      <c r="W21" s="99">
        <v>17253</v>
      </c>
      <c r="X21" s="195">
        <f t="shared" si="6"/>
        <v>17253</v>
      </c>
      <c r="Y21" s="99">
        <v>17293</v>
      </c>
      <c r="Z21" s="99">
        <f t="shared" si="21"/>
        <v>100.23184373732104</v>
      </c>
      <c r="AA21" s="99">
        <v>15539</v>
      </c>
      <c r="AB21" s="195">
        <f t="shared" si="6"/>
        <v>15539</v>
      </c>
      <c r="AC21" s="99">
        <v>15754</v>
      </c>
      <c r="AD21" s="99">
        <f t="shared" si="22"/>
        <v>101.38361541926766</v>
      </c>
      <c r="AE21" s="99">
        <v>10995</v>
      </c>
      <c r="AF21" s="195">
        <f t="shared" si="6"/>
        <v>10995</v>
      </c>
      <c r="AG21" s="99">
        <v>10997</v>
      </c>
      <c r="AH21" s="99">
        <f t="shared" si="23"/>
        <v>100.01819008640291</v>
      </c>
      <c r="AI21" s="99">
        <v>53070</v>
      </c>
      <c r="AJ21" s="195">
        <f t="shared" si="6"/>
        <v>53070</v>
      </c>
      <c r="AK21" s="99">
        <v>51593</v>
      </c>
      <c r="AL21" s="99">
        <f t="shared" si="24"/>
        <v>97.216883361597894</v>
      </c>
      <c r="AM21" s="99">
        <v>10558</v>
      </c>
      <c r="AN21" s="195">
        <f t="shared" si="6"/>
        <v>10558</v>
      </c>
      <c r="AO21" s="99">
        <v>6738</v>
      </c>
      <c r="AP21" s="99">
        <f t="shared" si="25"/>
        <v>63.81890509566206</v>
      </c>
      <c r="AQ21" s="99">
        <v>13724</v>
      </c>
      <c r="AR21" s="195">
        <f t="shared" si="6"/>
        <v>13724</v>
      </c>
      <c r="AS21" s="99">
        <v>14109</v>
      </c>
      <c r="AT21" s="99">
        <f t="shared" si="26"/>
        <v>102.80530457592538</v>
      </c>
      <c r="AU21" s="99">
        <v>12000</v>
      </c>
      <c r="AV21" s="195">
        <f t="shared" si="6"/>
        <v>12000</v>
      </c>
      <c r="AW21" s="99">
        <v>12058</v>
      </c>
      <c r="AX21" s="99">
        <f t="shared" si="27"/>
        <v>100.48333333333332</v>
      </c>
      <c r="AY21" s="99">
        <v>15562</v>
      </c>
      <c r="AZ21" s="195">
        <f t="shared" si="6"/>
        <v>15562</v>
      </c>
      <c r="BA21" s="99">
        <v>15501</v>
      </c>
      <c r="BB21" s="99">
        <f t="shared" si="28"/>
        <v>99.608019534764168</v>
      </c>
      <c r="BC21" s="99">
        <v>11885</v>
      </c>
      <c r="BD21" s="195">
        <f t="shared" si="6"/>
        <v>11885</v>
      </c>
      <c r="BE21" s="99">
        <v>11899</v>
      </c>
      <c r="BF21" s="99">
        <f t="shared" si="29"/>
        <v>100.11779554059738</v>
      </c>
      <c r="BG21" s="99">
        <v>8415</v>
      </c>
      <c r="BH21" s="195">
        <f t="shared" si="6"/>
        <v>8415</v>
      </c>
      <c r="BI21" s="99">
        <v>8429</v>
      </c>
      <c r="BJ21" s="99">
        <f t="shared" si="30"/>
        <v>100.16636957813428</v>
      </c>
      <c r="BK21" s="99"/>
      <c r="BL21" s="195">
        <f t="shared" si="6"/>
        <v>0</v>
      </c>
      <c r="BM21" s="99"/>
      <c r="BN21" s="99">
        <f t="shared" si="31"/>
        <v>0</v>
      </c>
      <c r="BO21" s="99"/>
      <c r="BP21" s="195">
        <f t="shared" si="6"/>
        <v>0</v>
      </c>
      <c r="BQ21" s="99"/>
      <c r="BR21" s="99">
        <f t="shared" si="32"/>
        <v>0</v>
      </c>
      <c r="BS21" s="99"/>
      <c r="BT21" s="195">
        <f t="shared" si="9"/>
        <v>0</v>
      </c>
      <c r="BU21" s="99"/>
      <c r="BV21" s="99">
        <f t="shared" si="33"/>
        <v>0</v>
      </c>
      <c r="BW21" s="99"/>
      <c r="BX21" s="195">
        <f t="shared" si="9"/>
        <v>0</v>
      </c>
      <c r="BY21" s="99"/>
      <c r="BZ21" s="99">
        <f t="shared" si="34"/>
        <v>0</v>
      </c>
      <c r="CA21" s="99"/>
      <c r="CB21" s="195">
        <f t="shared" si="9"/>
        <v>0</v>
      </c>
      <c r="CC21" s="99"/>
      <c r="CD21" s="99">
        <f t="shared" si="35"/>
        <v>0</v>
      </c>
      <c r="CE21" s="99"/>
      <c r="CF21" s="195">
        <f t="shared" si="9"/>
        <v>0</v>
      </c>
      <c r="CG21" s="99"/>
      <c r="CH21" s="99">
        <f t="shared" si="36"/>
        <v>0</v>
      </c>
      <c r="CI21" s="99"/>
      <c r="CJ21" s="195">
        <f t="shared" si="9"/>
        <v>0</v>
      </c>
      <c r="CK21" s="99"/>
      <c r="CL21" s="99">
        <f t="shared" si="37"/>
        <v>0</v>
      </c>
      <c r="CM21" s="99"/>
      <c r="CN21" s="195">
        <f t="shared" si="9"/>
        <v>0</v>
      </c>
      <c r="CO21" s="99"/>
      <c r="CP21" s="99">
        <f t="shared" si="38"/>
        <v>0</v>
      </c>
      <c r="CQ21" s="99"/>
      <c r="CR21" s="195">
        <f t="shared" si="9"/>
        <v>0</v>
      </c>
      <c r="CS21" s="99"/>
      <c r="CT21" s="99">
        <f t="shared" si="39"/>
        <v>0</v>
      </c>
      <c r="CU21" s="99"/>
      <c r="CV21" s="195">
        <f t="shared" si="9"/>
        <v>0</v>
      </c>
      <c r="CW21" s="99"/>
      <c r="CX21" s="99">
        <f t="shared" si="40"/>
        <v>0</v>
      </c>
      <c r="CY21" s="99">
        <v>1191</v>
      </c>
      <c r="CZ21" s="195">
        <f t="shared" si="9"/>
        <v>1191</v>
      </c>
      <c r="DA21" s="99">
        <v>1205</v>
      </c>
      <c r="DB21" s="99">
        <f t="shared" si="41"/>
        <v>101.17548278757347</v>
      </c>
      <c r="DC21" s="99"/>
      <c r="DD21" s="195">
        <f t="shared" si="9"/>
        <v>0</v>
      </c>
      <c r="DE21" s="99"/>
      <c r="DF21" s="99">
        <f t="shared" si="42"/>
        <v>0</v>
      </c>
      <c r="DG21" s="99"/>
      <c r="DH21" s="195">
        <f t="shared" si="9"/>
        <v>0</v>
      </c>
      <c r="DI21" s="99"/>
      <c r="DJ21" s="99" t="e">
        <f t="shared" si="11"/>
        <v>#DIV/0!</v>
      </c>
      <c r="DK21" s="99">
        <v>8150</v>
      </c>
      <c r="DL21" s="195">
        <f t="shared" si="9"/>
        <v>8150</v>
      </c>
      <c r="DM21" s="99">
        <v>4897</v>
      </c>
      <c r="DN21" s="99">
        <f t="shared" si="43"/>
        <v>60.085889570552141</v>
      </c>
      <c r="DO21" s="99">
        <v>16082</v>
      </c>
      <c r="DP21" s="195">
        <f t="shared" si="9"/>
        <v>16082</v>
      </c>
      <c r="DQ21" s="99">
        <v>15982</v>
      </c>
      <c r="DR21" s="99">
        <f t="shared" si="44"/>
        <v>99.378186792687472</v>
      </c>
      <c r="DS21" s="99"/>
      <c r="DT21" s="195">
        <f t="shared" si="9"/>
        <v>0</v>
      </c>
      <c r="DU21" s="99"/>
      <c r="DV21" s="99" t="e">
        <f t="shared" si="12"/>
        <v>#DIV/0!</v>
      </c>
      <c r="DW21" s="99"/>
      <c r="DX21" s="195">
        <f t="shared" si="9"/>
        <v>0</v>
      </c>
      <c r="DY21" s="99"/>
      <c r="DZ21" s="99" t="e">
        <f t="shared" si="13"/>
        <v>#DIV/0!</v>
      </c>
      <c r="EA21" s="99">
        <v>782</v>
      </c>
      <c r="EB21" s="195">
        <f t="shared" si="16"/>
        <v>782</v>
      </c>
      <c r="EC21" s="99"/>
      <c r="ED21" s="99">
        <f t="shared" si="45"/>
        <v>0</v>
      </c>
      <c r="EE21" s="99">
        <v>10044</v>
      </c>
      <c r="EF21" s="195">
        <f t="shared" si="16"/>
        <v>10044</v>
      </c>
      <c r="EG21" s="99">
        <v>10495</v>
      </c>
      <c r="EH21" s="99">
        <f t="shared" si="46"/>
        <v>104.49024293110314</v>
      </c>
      <c r="EI21" s="99">
        <v>1093</v>
      </c>
      <c r="EJ21" s="195">
        <f t="shared" si="16"/>
        <v>1093</v>
      </c>
      <c r="EK21" s="99">
        <v>80</v>
      </c>
      <c r="EL21" s="99">
        <f t="shared" si="47"/>
        <v>7.3193046660567251</v>
      </c>
      <c r="EM21" s="99">
        <v>1952</v>
      </c>
      <c r="EN21" s="195">
        <f t="shared" si="16"/>
        <v>1952</v>
      </c>
      <c r="EO21" s="99">
        <v>852</v>
      </c>
      <c r="EP21" s="99">
        <f t="shared" si="48"/>
        <v>43.647540983606561</v>
      </c>
      <c r="EQ21" s="99"/>
      <c r="ER21" s="195">
        <f t="shared" si="16"/>
        <v>0</v>
      </c>
      <c r="ES21" s="99"/>
      <c r="ET21" s="99">
        <f t="shared" si="49"/>
        <v>0</v>
      </c>
      <c r="EU21" s="99"/>
      <c r="EV21" s="195">
        <f t="shared" si="16"/>
        <v>0</v>
      </c>
      <c r="EW21" s="99"/>
      <c r="EX21" s="99">
        <f t="shared" si="50"/>
        <v>0</v>
      </c>
      <c r="EY21" s="152">
        <f t="shared" si="51"/>
        <v>254358</v>
      </c>
      <c r="EZ21" s="152">
        <f t="shared" si="17"/>
        <v>254358</v>
      </c>
      <c r="FA21" s="152">
        <f t="shared" si="17"/>
        <v>240655</v>
      </c>
      <c r="FB21" s="152">
        <f t="shared" si="52"/>
        <v>94.612711218047011</v>
      </c>
    </row>
    <row r="22" spans="1:160" s="153" customFormat="1" ht="15.75" x14ac:dyDescent="0.2">
      <c r="A22" s="154" t="s">
        <v>135</v>
      </c>
      <c r="B22" s="155"/>
      <c r="C22" s="156"/>
      <c r="D22" s="97">
        <f t="shared" si="1"/>
        <v>0</v>
      </c>
      <c r="E22" s="157"/>
      <c r="F22" s="99" t="e">
        <f t="shared" si="3"/>
        <v>#DIV/0!</v>
      </c>
      <c r="G22" s="99">
        <v>17900</v>
      </c>
      <c r="H22" s="97">
        <f t="shared" si="6"/>
        <v>17900</v>
      </c>
      <c r="I22" s="99">
        <v>11213</v>
      </c>
      <c r="J22" s="99">
        <f t="shared" si="18"/>
        <v>62.642458100558663</v>
      </c>
      <c r="K22" s="99"/>
      <c r="L22" s="97">
        <f t="shared" si="6"/>
        <v>0</v>
      </c>
      <c r="M22" s="99"/>
      <c r="N22" s="99" t="e">
        <f t="shared" si="7"/>
        <v>#DIV/0!</v>
      </c>
      <c r="O22" s="99"/>
      <c r="P22" s="97">
        <f t="shared" si="6"/>
        <v>0</v>
      </c>
      <c r="Q22" s="99"/>
      <c r="R22" s="99">
        <f t="shared" si="19"/>
        <v>0</v>
      </c>
      <c r="S22" s="99"/>
      <c r="T22" s="97">
        <f t="shared" si="6"/>
        <v>0</v>
      </c>
      <c r="U22" s="99"/>
      <c r="V22" s="99">
        <f t="shared" si="20"/>
        <v>0</v>
      </c>
      <c r="W22" s="99"/>
      <c r="X22" s="97">
        <f t="shared" si="6"/>
        <v>0</v>
      </c>
      <c r="Y22" s="99"/>
      <c r="Z22" s="99">
        <f t="shared" si="21"/>
        <v>0</v>
      </c>
      <c r="AA22" s="99"/>
      <c r="AB22" s="97">
        <f t="shared" si="6"/>
        <v>0</v>
      </c>
      <c r="AC22" s="99"/>
      <c r="AD22" s="99">
        <f t="shared" si="22"/>
        <v>0</v>
      </c>
      <c r="AE22" s="99"/>
      <c r="AF22" s="97">
        <f t="shared" si="6"/>
        <v>0</v>
      </c>
      <c r="AG22" s="99"/>
      <c r="AH22" s="99">
        <f t="shared" si="23"/>
        <v>0</v>
      </c>
      <c r="AI22" s="99">
        <v>13500</v>
      </c>
      <c r="AJ22" s="97">
        <f t="shared" si="6"/>
        <v>13500</v>
      </c>
      <c r="AK22" s="99">
        <v>15169</v>
      </c>
      <c r="AL22" s="99">
        <f t="shared" si="24"/>
        <v>112.36296296296295</v>
      </c>
      <c r="AM22" s="99"/>
      <c r="AN22" s="97">
        <f t="shared" si="6"/>
        <v>0</v>
      </c>
      <c r="AO22" s="99"/>
      <c r="AP22" s="99">
        <f t="shared" si="25"/>
        <v>0</v>
      </c>
      <c r="AQ22" s="99"/>
      <c r="AR22" s="97">
        <f t="shared" si="6"/>
        <v>0</v>
      </c>
      <c r="AS22" s="99"/>
      <c r="AT22" s="99">
        <f t="shared" si="26"/>
        <v>0</v>
      </c>
      <c r="AU22" s="99"/>
      <c r="AV22" s="97">
        <f t="shared" si="6"/>
        <v>0</v>
      </c>
      <c r="AW22" s="99"/>
      <c r="AX22" s="99">
        <f t="shared" si="27"/>
        <v>0</v>
      </c>
      <c r="AY22" s="99"/>
      <c r="AZ22" s="97">
        <f t="shared" si="6"/>
        <v>0</v>
      </c>
      <c r="BA22" s="99"/>
      <c r="BB22" s="99">
        <f t="shared" si="28"/>
        <v>0</v>
      </c>
      <c r="BC22" s="99"/>
      <c r="BD22" s="97">
        <f t="shared" si="6"/>
        <v>0</v>
      </c>
      <c r="BE22" s="99"/>
      <c r="BF22" s="99">
        <f t="shared" si="29"/>
        <v>0</v>
      </c>
      <c r="BG22" s="99"/>
      <c r="BH22" s="97">
        <f t="shared" si="6"/>
        <v>0</v>
      </c>
      <c r="BI22" s="99"/>
      <c r="BJ22" s="99">
        <f t="shared" si="30"/>
        <v>0</v>
      </c>
      <c r="BK22" s="99"/>
      <c r="BL22" s="97">
        <f t="shared" si="6"/>
        <v>0</v>
      </c>
      <c r="BM22" s="99"/>
      <c r="BN22" s="99">
        <f t="shared" si="31"/>
        <v>0</v>
      </c>
      <c r="BO22" s="99"/>
      <c r="BP22" s="97">
        <f t="shared" si="6"/>
        <v>0</v>
      </c>
      <c r="BQ22" s="99"/>
      <c r="BR22" s="99">
        <f t="shared" si="32"/>
        <v>0</v>
      </c>
      <c r="BS22" s="99"/>
      <c r="BT22" s="97">
        <f t="shared" si="9"/>
        <v>0</v>
      </c>
      <c r="BU22" s="99"/>
      <c r="BV22" s="99">
        <f t="shared" si="33"/>
        <v>0</v>
      </c>
      <c r="BW22" s="99"/>
      <c r="BX22" s="97">
        <f t="shared" si="9"/>
        <v>0</v>
      </c>
      <c r="BY22" s="99"/>
      <c r="BZ22" s="99">
        <f t="shared" si="34"/>
        <v>0</v>
      </c>
      <c r="CA22" s="99"/>
      <c r="CB22" s="97">
        <f t="shared" si="9"/>
        <v>0</v>
      </c>
      <c r="CC22" s="99"/>
      <c r="CD22" s="99">
        <f t="shared" si="35"/>
        <v>0</v>
      </c>
      <c r="CE22" s="99"/>
      <c r="CF22" s="97">
        <f t="shared" si="9"/>
        <v>0</v>
      </c>
      <c r="CG22" s="99"/>
      <c r="CH22" s="99">
        <f t="shared" si="36"/>
        <v>0</v>
      </c>
      <c r="CI22" s="99"/>
      <c r="CJ22" s="97">
        <f t="shared" si="9"/>
        <v>0</v>
      </c>
      <c r="CK22" s="99"/>
      <c r="CL22" s="99">
        <f t="shared" si="37"/>
        <v>0</v>
      </c>
      <c r="CM22" s="99"/>
      <c r="CN22" s="97">
        <f t="shared" si="9"/>
        <v>0</v>
      </c>
      <c r="CO22" s="99"/>
      <c r="CP22" s="99">
        <f t="shared" si="38"/>
        <v>0</v>
      </c>
      <c r="CQ22" s="99"/>
      <c r="CR22" s="97">
        <f t="shared" si="9"/>
        <v>0</v>
      </c>
      <c r="CS22" s="99"/>
      <c r="CT22" s="99">
        <f t="shared" si="39"/>
        <v>0</v>
      </c>
      <c r="CU22" s="99"/>
      <c r="CV22" s="97">
        <f t="shared" si="9"/>
        <v>0</v>
      </c>
      <c r="CW22" s="99"/>
      <c r="CX22" s="99">
        <f t="shared" si="40"/>
        <v>0</v>
      </c>
      <c r="CY22" s="99"/>
      <c r="CZ22" s="97">
        <f t="shared" si="9"/>
        <v>0</v>
      </c>
      <c r="DA22" s="99"/>
      <c r="DB22" s="99">
        <f t="shared" si="41"/>
        <v>0</v>
      </c>
      <c r="DC22" s="99"/>
      <c r="DD22" s="97">
        <f t="shared" si="9"/>
        <v>0</v>
      </c>
      <c r="DE22" s="99"/>
      <c r="DF22" s="99">
        <f t="shared" si="42"/>
        <v>0</v>
      </c>
      <c r="DG22" s="99"/>
      <c r="DH22" s="97">
        <f t="shared" si="9"/>
        <v>0</v>
      </c>
      <c r="DI22" s="99"/>
      <c r="DJ22" s="99" t="e">
        <f t="shared" si="11"/>
        <v>#DIV/0!</v>
      </c>
      <c r="DK22" s="99"/>
      <c r="DL22" s="97">
        <f t="shared" si="9"/>
        <v>0</v>
      </c>
      <c r="DM22" s="99"/>
      <c r="DN22" s="99">
        <f t="shared" si="43"/>
        <v>0</v>
      </c>
      <c r="DO22" s="99"/>
      <c r="DP22" s="97">
        <f t="shared" si="9"/>
        <v>0</v>
      </c>
      <c r="DQ22" s="99"/>
      <c r="DR22" s="99">
        <f t="shared" si="44"/>
        <v>0</v>
      </c>
      <c r="DS22" s="99"/>
      <c r="DT22" s="97">
        <f t="shared" si="9"/>
        <v>0</v>
      </c>
      <c r="DU22" s="99"/>
      <c r="DV22" s="99" t="e">
        <f t="shared" si="12"/>
        <v>#DIV/0!</v>
      </c>
      <c r="DW22" s="99"/>
      <c r="DX22" s="97">
        <f t="shared" si="9"/>
        <v>0</v>
      </c>
      <c r="DY22" s="99"/>
      <c r="DZ22" s="99" t="e">
        <f t="shared" si="13"/>
        <v>#DIV/0!</v>
      </c>
      <c r="EA22" s="99"/>
      <c r="EB22" s="97">
        <f t="shared" si="16"/>
        <v>0</v>
      </c>
      <c r="EC22" s="99"/>
      <c r="ED22" s="99">
        <f t="shared" si="45"/>
        <v>0</v>
      </c>
      <c r="EE22" s="99"/>
      <c r="EF22" s="97">
        <f t="shared" si="16"/>
        <v>0</v>
      </c>
      <c r="EG22" s="99"/>
      <c r="EH22" s="99">
        <f t="shared" si="46"/>
        <v>0</v>
      </c>
      <c r="EI22" s="99"/>
      <c r="EJ22" s="97">
        <f t="shared" si="16"/>
        <v>0</v>
      </c>
      <c r="EK22" s="99"/>
      <c r="EL22" s="99">
        <f t="shared" si="47"/>
        <v>0</v>
      </c>
      <c r="EM22" s="99"/>
      <c r="EN22" s="97">
        <f t="shared" si="16"/>
        <v>0</v>
      </c>
      <c r="EO22" s="99"/>
      <c r="EP22" s="99">
        <f t="shared" si="48"/>
        <v>0</v>
      </c>
      <c r="EQ22" s="99"/>
      <c r="ER22" s="97">
        <f t="shared" si="16"/>
        <v>0</v>
      </c>
      <c r="ES22" s="99"/>
      <c r="ET22" s="99">
        <f t="shared" si="49"/>
        <v>0</v>
      </c>
      <c r="EU22" s="99"/>
      <c r="EV22" s="97">
        <f t="shared" si="16"/>
        <v>0</v>
      </c>
      <c r="EW22" s="99"/>
      <c r="EX22" s="99">
        <f t="shared" si="50"/>
        <v>0</v>
      </c>
      <c r="EY22" s="152">
        <f t="shared" si="51"/>
        <v>31400</v>
      </c>
      <c r="EZ22" s="152">
        <f t="shared" si="17"/>
        <v>31400</v>
      </c>
      <c r="FA22" s="152">
        <f t="shared" si="17"/>
        <v>26382</v>
      </c>
      <c r="FB22" s="152">
        <f t="shared" si="52"/>
        <v>84.01910828025477</v>
      </c>
    </row>
    <row r="23" spans="1:160" s="193" customFormat="1" ht="33" customHeight="1" x14ac:dyDescent="0.2">
      <c r="A23" s="118" t="s">
        <v>136</v>
      </c>
      <c r="B23" s="119" t="s">
        <v>3</v>
      </c>
      <c r="C23" s="120">
        <f t="shared" ref="C23" si="53">SUM(C12+C18*3.2+C21)</f>
        <v>0</v>
      </c>
      <c r="D23" s="121">
        <f t="shared" si="1"/>
        <v>0</v>
      </c>
      <c r="E23" s="122">
        <f t="shared" ref="E23" si="54">SUM(E12+E18*3.2+E21)</f>
        <v>0</v>
      </c>
      <c r="F23" s="123" t="e">
        <f t="shared" si="3"/>
        <v>#DIV/0!</v>
      </c>
      <c r="G23" s="123">
        <f t="shared" ref="G23:BO23" si="55">SUM(G12+G18*3.2+G21)</f>
        <v>261734.6</v>
      </c>
      <c r="H23" s="123">
        <f t="shared" si="55"/>
        <v>261734.6</v>
      </c>
      <c r="I23" s="123">
        <f t="shared" ref="I23:BQ23" si="56">SUM(I12+I18*3.2+I21)</f>
        <v>268372.80000000005</v>
      </c>
      <c r="J23" s="123">
        <f t="shared" si="18"/>
        <v>102.5362332683566</v>
      </c>
      <c r="K23" s="123">
        <f t="shared" si="55"/>
        <v>0</v>
      </c>
      <c r="L23" s="121">
        <f t="shared" si="6"/>
        <v>0</v>
      </c>
      <c r="M23" s="123">
        <f t="shared" si="56"/>
        <v>0</v>
      </c>
      <c r="N23" s="123" t="e">
        <f t="shared" si="7"/>
        <v>#DIV/0!</v>
      </c>
      <c r="O23" s="123">
        <f t="shared" si="55"/>
        <v>298326.2</v>
      </c>
      <c r="P23" s="123">
        <f t="shared" si="55"/>
        <v>298326.2</v>
      </c>
      <c r="Q23" s="123">
        <f t="shared" si="56"/>
        <v>325460.40000000002</v>
      </c>
      <c r="R23" s="123">
        <f t="shared" si="19"/>
        <v>109.09548004834977</v>
      </c>
      <c r="S23" s="123">
        <f t="shared" si="55"/>
        <v>176007.6</v>
      </c>
      <c r="T23" s="123">
        <f t="shared" si="55"/>
        <v>176007.6</v>
      </c>
      <c r="U23" s="123">
        <f t="shared" si="56"/>
        <v>177052.4</v>
      </c>
      <c r="V23" s="123">
        <f t="shared" si="20"/>
        <v>100.59361073044573</v>
      </c>
      <c r="W23" s="123">
        <f t="shared" si="55"/>
        <v>264981.80000000005</v>
      </c>
      <c r="X23" s="123">
        <f t="shared" si="55"/>
        <v>264981.80000000005</v>
      </c>
      <c r="Y23" s="123">
        <f t="shared" si="56"/>
        <v>269620</v>
      </c>
      <c r="Z23" s="123">
        <f t="shared" si="21"/>
        <v>101.7503843660206</v>
      </c>
      <c r="AA23" s="123">
        <f t="shared" si="55"/>
        <v>232388.40000000002</v>
      </c>
      <c r="AB23" s="123">
        <f t="shared" si="55"/>
        <v>232388.40000000002</v>
      </c>
      <c r="AC23" s="123">
        <f t="shared" si="56"/>
        <v>232849.6</v>
      </c>
      <c r="AD23" s="123">
        <f t="shared" si="22"/>
        <v>100.19846085260708</v>
      </c>
      <c r="AE23" s="123">
        <f t="shared" si="55"/>
        <v>165376.80000000002</v>
      </c>
      <c r="AF23" s="123">
        <f t="shared" si="55"/>
        <v>165376.80000000002</v>
      </c>
      <c r="AG23" s="123">
        <f t="shared" si="56"/>
        <v>165986.16250000001</v>
      </c>
      <c r="AH23" s="123">
        <f t="shared" si="23"/>
        <v>100.36846915649595</v>
      </c>
      <c r="AI23" s="123">
        <f t="shared" si="55"/>
        <v>667291.4</v>
      </c>
      <c r="AJ23" s="123">
        <f t="shared" si="55"/>
        <v>667291.4</v>
      </c>
      <c r="AK23" s="123">
        <f t="shared" si="56"/>
        <v>675138.75</v>
      </c>
      <c r="AL23" s="123">
        <f t="shared" si="24"/>
        <v>101.1760004699596</v>
      </c>
      <c r="AM23" s="123">
        <f t="shared" si="55"/>
        <v>162741</v>
      </c>
      <c r="AN23" s="123">
        <f t="shared" si="55"/>
        <v>162741</v>
      </c>
      <c r="AO23" s="123">
        <f t="shared" si="56"/>
        <v>179615.36250000002</v>
      </c>
      <c r="AP23" s="123">
        <f t="shared" si="25"/>
        <v>110.36884528176674</v>
      </c>
      <c r="AQ23" s="123">
        <f t="shared" si="55"/>
        <v>214128.2</v>
      </c>
      <c r="AR23" s="123">
        <f t="shared" si="55"/>
        <v>214128.2</v>
      </c>
      <c r="AS23" s="123">
        <f t="shared" si="56"/>
        <v>190705.40000000002</v>
      </c>
      <c r="AT23" s="123">
        <f t="shared" si="26"/>
        <v>89.061319340469865</v>
      </c>
      <c r="AU23" s="123">
        <f t="shared" si="55"/>
        <v>263118.40000000002</v>
      </c>
      <c r="AV23" s="123">
        <f t="shared" si="55"/>
        <v>263118.40000000002</v>
      </c>
      <c r="AW23" s="123">
        <f t="shared" si="56"/>
        <v>235542.6</v>
      </c>
      <c r="AX23" s="123">
        <f t="shared" si="27"/>
        <v>89.519623105035592</v>
      </c>
      <c r="AY23" s="123">
        <f t="shared" si="55"/>
        <v>248563.6</v>
      </c>
      <c r="AZ23" s="123">
        <f t="shared" si="55"/>
        <v>248563.6</v>
      </c>
      <c r="BA23" s="123">
        <f t="shared" si="56"/>
        <v>240821</v>
      </c>
      <c r="BB23" s="123">
        <f t="shared" si="28"/>
        <v>96.885062816920893</v>
      </c>
      <c r="BC23" s="123">
        <f t="shared" si="55"/>
        <v>189233.2</v>
      </c>
      <c r="BD23" s="123">
        <f t="shared" si="55"/>
        <v>189233.2</v>
      </c>
      <c r="BE23" s="123">
        <f t="shared" si="56"/>
        <v>189502.4</v>
      </c>
      <c r="BF23" s="123">
        <f t="shared" si="29"/>
        <v>100.14225833521813</v>
      </c>
      <c r="BG23" s="123">
        <f t="shared" si="55"/>
        <v>181268.80000000002</v>
      </c>
      <c r="BH23" s="123">
        <f t="shared" si="55"/>
        <v>181268.80000000002</v>
      </c>
      <c r="BI23" s="123">
        <f t="shared" si="56"/>
        <v>172519.6</v>
      </c>
      <c r="BJ23" s="123">
        <f t="shared" si="30"/>
        <v>95.173355811921297</v>
      </c>
      <c r="BK23" s="123">
        <f t="shared" si="55"/>
        <v>0</v>
      </c>
      <c r="BL23" s="121">
        <f t="shared" si="6"/>
        <v>0</v>
      </c>
      <c r="BM23" s="123">
        <f t="shared" si="56"/>
        <v>0</v>
      </c>
      <c r="BN23" s="123">
        <f t="shared" si="31"/>
        <v>0</v>
      </c>
      <c r="BO23" s="123">
        <f t="shared" si="55"/>
        <v>0</v>
      </c>
      <c r="BP23" s="121">
        <f t="shared" si="6"/>
        <v>0</v>
      </c>
      <c r="BQ23" s="123">
        <f t="shared" si="56"/>
        <v>0</v>
      </c>
      <c r="BR23" s="123">
        <f t="shared" si="32"/>
        <v>0</v>
      </c>
      <c r="BS23" s="123">
        <f t="shared" ref="BS23:DW23" si="57">SUM(BS12+BS18*3.2+BS21)</f>
        <v>0</v>
      </c>
      <c r="BT23" s="121">
        <f t="shared" si="9"/>
        <v>0</v>
      </c>
      <c r="BU23" s="123">
        <f t="shared" ref="BU23:DY23" si="58">SUM(BU12+BU18*3.2+BU21)</f>
        <v>0</v>
      </c>
      <c r="BV23" s="123">
        <f t="shared" si="33"/>
        <v>0</v>
      </c>
      <c r="BW23" s="123">
        <f t="shared" si="57"/>
        <v>0</v>
      </c>
      <c r="BX23" s="121">
        <f t="shared" si="9"/>
        <v>0</v>
      </c>
      <c r="BY23" s="123">
        <f t="shared" si="58"/>
        <v>0</v>
      </c>
      <c r="BZ23" s="123">
        <f t="shared" si="34"/>
        <v>0</v>
      </c>
      <c r="CA23" s="123">
        <f t="shared" si="57"/>
        <v>0</v>
      </c>
      <c r="CB23" s="121">
        <f t="shared" si="9"/>
        <v>0</v>
      </c>
      <c r="CC23" s="123">
        <f t="shared" si="58"/>
        <v>0</v>
      </c>
      <c r="CD23" s="123">
        <f t="shared" si="35"/>
        <v>0</v>
      </c>
      <c r="CE23" s="123">
        <f t="shared" si="57"/>
        <v>0</v>
      </c>
      <c r="CF23" s="121">
        <f t="shared" si="9"/>
        <v>0</v>
      </c>
      <c r="CG23" s="123">
        <f t="shared" si="58"/>
        <v>0</v>
      </c>
      <c r="CH23" s="123">
        <f t="shared" si="36"/>
        <v>0</v>
      </c>
      <c r="CI23" s="123">
        <f t="shared" si="57"/>
        <v>0</v>
      </c>
      <c r="CJ23" s="121">
        <f t="shared" si="9"/>
        <v>0</v>
      </c>
      <c r="CK23" s="123">
        <f t="shared" si="58"/>
        <v>0</v>
      </c>
      <c r="CL23" s="123">
        <f t="shared" si="37"/>
        <v>0</v>
      </c>
      <c r="CM23" s="123">
        <f t="shared" si="57"/>
        <v>0</v>
      </c>
      <c r="CN23" s="121">
        <f t="shared" si="9"/>
        <v>0</v>
      </c>
      <c r="CO23" s="123">
        <f t="shared" si="58"/>
        <v>0</v>
      </c>
      <c r="CP23" s="123">
        <f t="shared" si="38"/>
        <v>0</v>
      </c>
      <c r="CQ23" s="123">
        <f t="shared" si="57"/>
        <v>0</v>
      </c>
      <c r="CR23" s="121">
        <f t="shared" si="9"/>
        <v>0</v>
      </c>
      <c r="CS23" s="123">
        <f t="shared" si="58"/>
        <v>0</v>
      </c>
      <c r="CT23" s="123">
        <f t="shared" si="39"/>
        <v>0</v>
      </c>
      <c r="CU23" s="123">
        <f t="shared" si="57"/>
        <v>0</v>
      </c>
      <c r="CV23" s="121">
        <f t="shared" si="9"/>
        <v>0</v>
      </c>
      <c r="CW23" s="123">
        <f t="shared" si="58"/>
        <v>0</v>
      </c>
      <c r="CX23" s="123">
        <f t="shared" si="40"/>
        <v>0</v>
      </c>
      <c r="CY23" s="123">
        <f t="shared" si="57"/>
        <v>23817</v>
      </c>
      <c r="CZ23" s="123">
        <f t="shared" si="57"/>
        <v>23817</v>
      </c>
      <c r="DA23" s="123">
        <f t="shared" si="58"/>
        <v>27067.975000000002</v>
      </c>
      <c r="DB23" s="123">
        <f t="shared" si="41"/>
        <v>113.64980895998657</v>
      </c>
      <c r="DC23" s="123">
        <f t="shared" si="57"/>
        <v>0</v>
      </c>
      <c r="DD23" s="121">
        <f t="shared" si="9"/>
        <v>0</v>
      </c>
      <c r="DE23" s="123">
        <f t="shared" si="58"/>
        <v>0</v>
      </c>
      <c r="DF23" s="123">
        <f t="shared" si="42"/>
        <v>0</v>
      </c>
      <c r="DG23" s="123">
        <f t="shared" si="57"/>
        <v>0</v>
      </c>
      <c r="DH23" s="121">
        <f t="shared" si="9"/>
        <v>0</v>
      </c>
      <c r="DI23" s="123">
        <f t="shared" si="58"/>
        <v>0</v>
      </c>
      <c r="DJ23" s="123" t="e">
        <f t="shared" si="11"/>
        <v>#DIV/0!</v>
      </c>
      <c r="DK23" s="123">
        <f t="shared" si="57"/>
        <v>105446.6</v>
      </c>
      <c r="DL23" s="123">
        <f t="shared" si="57"/>
        <v>105446.6</v>
      </c>
      <c r="DM23" s="123">
        <f t="shared" si="58"/>
        <v>130609.40000000001</v>
      </c>
      <c r="DN23" s="123">
        <f t="shared" si="43"/>
        <v>123.8630738212517</v>
      </c>
      <c r="DO23" s="123">
        <f t="shared" si="57"/>
        <v>223905.2</v>
      </c>
      <c r="DP23" s="123">
        <f t="shared" si="57"/>
        <v>223905.2</v>
      </c>
      <c r="DQ23" s="123">
        <f t="shared" si="58"/>
        <v>225206.40000000002</v>
      </c>
      <c r="DR23" s="123">
        <f t="shared" si="44"/>
        <v>100.58113880338644</v>
      </c>
      <c r="DS23" s="123">
        <f t="shared" si="57"/>
        <v>0</v>
      </c>
      <c r="DT23" s="121">
        <f t="shared" si="9"/>
        <v>0</v>
      </c>
      <c r="DU23" s="123">
        <f t="shared" si="58"/>
        <v>0</v>
      </c>
      <c r="DV23" s="123" t="e">
        <f t="shared" si="12"/>
        <v>#DIV/0!</v>
      </c>
      <c r="DW23" s="123">
        <f t="shared" si="57"/>
        <v>0</v>
      </c>
      <c r="DX23" s="121">
        <f t="shared" si="9"/>
        <v>0</v>
      </c>
      <c r="DY23" s="123">
        <f t="shared" si="58"/>
        <v>0</v>
      </c>
      <c r="DZ23" s="123" t="e">
        <f t="shared" si="13"/>
        <v>#DIV/0!</v>
      </c>
      <c r="EA23" s="123">
        <f t="shared" ref="EA23:EU23" si="59">SUM(EA12+EA18*3.2+EA21)</f>
        <v>12180.2</v>
      </c>
      <c r="EB23" s="123">
        <f t="shared" si="59"/>
        <v>12180.2</v>
      </c>
      <c r="EC23" s="123">
        <f t="shared" ref="EC23:EW23" si="60">SUM(EC12+EC18*3.2+EC21)</f>
        <v>5188.9125000000004</v>
      </c>
      <c r="ED23" s="123">
        <f t="shared" si="45"/>
        <v>42.601209339748117</v>
      </c>
      <c r="EE23" s="123">
        <f t="shared" si="59"/>
        <v>187996.4</v>
      </c>
      <c r="EF23" s="123">
        <f t="shared" si="59"/>
        <v>187996.4</v>
      </c>
      <c r="EG23" s="123">
        <f t="shared" si="60"/>
        <v>262140.72500000001</v>
      </c>
      <c r="EH23" s="123">
        <f t="shared" si="46"/>
        <v>139.43922596390144</v>
      </c>
      <c r="EI23" s="123">
        <f t="shared" si="59"/>
        <v>17384.2</v>
      </c>
      <c r="EJ23" s="123">
        <f t="shared" si="59"/>
        <v>17384.2</v>
      </c>
      <c r="EK23" s="123">
        <f t="shared" si="60"/>
        <v>19748.800000000003</v>
      </c>
      <c r="EL23" s="123">
        <f t="shared" si="47"/>
        <v>113.60200641962244</v>
      </c>
      <c r="EM23" s="123">
        <f t="shared" si="59"/>
        <v>26880.799999999999</v>
      </c>
      <c r="EN23" s="123">
        <f t="shared" si="59"/>
        <v>26880.799999999999</v>
      </c>
      <c r="EO23" s="123">
        <f t="shared" si="60"/>
        <v>32617.125</v>
      </c>
      <c r="EP23" s="123">
        <f t="shared" si="48"/>
        <v>121.33985967679534</v>
      </c>
      <c r="EQ23" s="123">
        <f t="shared" si="59"/>
        <v>0</v>
      </c>
      <c r="ER23" s="121">
        <f t="shared" si="16"/>
        <v>0</v>
      </c>
      <c r="ES23" s="123">
        <f t="shared" si="60"/>
        <v>0</v>
      </c>
      <c r="ET23" s="123">
        <f t="shared" si="49"/>
        <v>0</v>
      </c>
      <c r="EU23" s="123">
        <f t="shared" si="59"/>
        <v>0</v>
      </c>
      <c r="EV23" s="121">
        <f t="shared" si="16"/>
        <v>0</v>
      </c>
      <c r="EW23" s="123">
        <f t="shared" si="60"/>
        <v>0</v>
      </c>
      <c r="EX23" s="123">
        <f t="shared" si="50"/>
        <v>0</v>
      </c>
      <c r="EY23" s="158">
        <f t="shared" si="51"/>
        <v>3922770.4000000004</v>
      </c>
      <c r="EZ23" s="158">
        <f t="shared" si="17"/>
        <v>3922770.4000000004</v>
      </c>
      <c r="FA23" s="158">
        <f t="shared" si="17"/>
        <v>4025765.8125</v>
      </c>
      <c r="FB23" s="158">
        <f t="shared" si="52"/>
        <v>102.62557840499662</v>
      </c>
      <c r="FD23" s="193">
        <f>EZ12+EZ18*3.2+EZ21</f>
        <v>3922770.4000000004</v>
      </c>
    </row>
    <row r="24" spans="1:160" s="153" customFormat="1" ht="14.1" customHeight="1" x14ac:dyDescent="0.2">
      <c r="A24" s="149" t="s">
        <v>137</v>
      </c>
      <c r="B24" s="155"/>
      <c r="C24" s="156"/>
      <c r="D24" s="97">
        <f t="shared" si="1"/>
        <v>0</v>
      </c>
      <c r="E24" s="157"/>
      <c r="F24" s="99" t="e">
        <f t="shared" si="3"/>
        <v>#DIV/0!</v>
      </c>
      <c r="G24" s="99"/>
      <c r="H24" s="97">
        <f t="shared" si="6"/>
        <v>0</v>
      </c>
      <c r="I24" s="99"/>
      <c r="J24" s="99">
        <f t="shared" si="18"/>
        <v>0</v>
      </c>
      <c r="K24" s="99"/>
      <c r="L24" s="97">
        <f t="shared" si="6"/>
        <v>0</v>
      </c>
      <c r="M24" s="99"/>
      <c r="N24" s="99" t="e">
        <f t="shared" si="7"/>
        <v>#DIV/0!</v>
      </c>
      <c r="O24" s="99"/>
      <c r="P24" s="97">
        <f t="shared" si="6"/>
        <v>0</v>
      </c>
      <c r="Q24" s="99"/>
      <c r="R24" s="99">
        <f t="shared" si="19"/>
        <v>0</v>
      </c>
      <c r="S24" s="99"/>
      <c r="T24" s="97">
        <f t="shared" si="6"/>
        <v>0</v>
      </c>
      <c r="U24" s="99"/>
      <c r="V24" s="99">
        <f t="shared" si="20"/>
        <v>0</v>
      </c>
      <c r="W24" s="99"/>
      <c r="X24" s="97">
        <f t="shared" si="6"/>
        <v>0</v>
      </c>
      <c r="Y24" s="99"/>
      <c r="Z24" s="99">
        <f t="shared" si="21"/>
        <v>0</v>
      </c>
      <c r="AA24" s="99"/>
      <c r="AB24" s="97">
        <f t="shared" si="6"/>
        <v>0</v>
      </c>
      <c r="AC24" s="99"/>
      <c r="AD24" s="99">
        <f t="shared" si="22"/>
        <v>0</v>
      </c>
      <c r="AE24" s="99"/>
      <c r="AF24" s="97">
        <f t="shared" si="6"/>
        <v>0</v>
      </c>
      <c r="AG24" s="99"/>
      <c r="AH24" s="99">
        <f t="shared" si="23"/>
        <v>0</v>
      </c>
      <c r="AI24" s="99"/>
      <c r="AJ24" s="97">
        <f t="shared" si="6"/>
        <v>0</v>
      </c>
      <c r="AK24" s="99"/>
      <c r="AL24" s="99">
        <f t="shared" si="24"/>
        <v>0</v>
      </c>
      <c r="AM24" s="99"/>
      <c r="AN24" s="97">
        <f t="shared" si="6"/>
        <v>0</v>
      </c>
      <c r="AO24" s="99"/>
      <c r="AP24" s="99">
        <f t="shared" si="25"/>
        <v>0</v>
      </c>
      <c r="AQ24" s="99"/>
      <c r="AR24" s="97">
        <f t="shared" si="6"/>
        <v>0</v>
      </c>
      <c r="AS24" s="99"/>
      <c r="AT24" s="99">
        <f t="shared" si="26"/>
        <v>0</v>
      </c>
      <c r="AU24" s="99"/>
      <c r="AV24" s="97">
        <f t="shared" si="6"/>
        <v>0</v>
      </c>
      <c r="AW24" s="99"/>
      <c r="AX24" s="99">
        <f t="shared" si="27"/>
        <v>0</v>
      </c>
      <c r="AY24" s="99"/>
      <c r="AZ24" s="97"/>
      <c r="BA24" s="99"/>
      <c r="BB24" s="99">
        <f t="shared" si="28"/>
        <v>0</v>
      </c>
      <c r="BC24" s="99"/>
      <c r="BD24" s="97">
        <f t="shared" si="6"/>
        <v>0</v>
      </c>
      <c r="BE24" s="99"/>
      <c r="BF24" s="99">
        <f t="shared" si="29"/>
        <v>0</v>
      </c>
      <c r="BG24" s="99"/>
      <c r="BH24" s="97">
        <f t="shared" si="6"/>
        <v>0</v>
      </c>
      <c r="BI24" s="99"/>
      <c r="BJ24" s="99">
        <f t="shared" si="30"/>
        <v>0</v>
      </c>
      <c r="BK24" s="99"/>
      <c r="BL24" s="97">
        <f t="shared" si="6"/>
        <v>0</v>
      </c>
      <c r="BM24" s="99"/>
      <c r="BN24" s="99">
        <f t="shared" si="31"/>
        <v>0</v>
      </c>
      <c r="BO24" s="99"/>
      <c r="BP24" s="97">
        <f t="shared" si="6"/>
        <v>0</v>
      </c>
      <c r="BQ24" s="99"/>
      <c r="BR24" s="99">
        <f t="shared" si="32"/>
        <v>0</v>
      </c>
      <c r="BS24" s="99"/>
      <c r="BT24" s="97">
        <f t="shared" si="9"/>
        <v>0</v>
      </c>
      <c r="BU24" s="99"/>
      <c r="BV24" s="99">
        <f t="shared" si="33"/>
        <v>0</v>
      </c>
      <c r="BW24" s="99"/>
      <c r="BX24" s="97">
        <f t="shared" si="9"/>
        <v>0</v>
      </c>
      <c r="BY24" s="99"/>
      <c r="BZ24" s="99">
        <f t="shared" si="34"/>
        <v>0</v>
      </c>
      <c r="CA24" s="99"/>
      <c r="CB24" s="97">
        <f t="shared" si="9"/>
        <v>0</v>
      </c>
      <c r="CC24" s="99"/>
      <c r="CD24" s="99">
        <f t="shared" si="35"/>
        <v>0</v>
      </c>
      <c r="CE24" s="99"/>
      <c r="CF24" s="97">
        <f t="shared" si="9"/>
        <v>0</v>
      </c>
      <c r="CG24" s="99"/>
      <c r="CH24" s="99">
        <f t="shared" si="36"/>
        <v>0</v>
      </c>
      <c r="CI24" s="99"/>
      <c r="CJ24" s="97">
        <f t="shared" si="9"/>
        <v>0</v>
      </c>
      <c r="CK24" s="99"/>
      <c r="CL24" s="99">
        <f t="shared" si="37"/>
        <v>0</v>
      </c>
      <c r="CM24" s="99"/>
      <c r="CN24" s="97">
        <f t="shared" si="9"/>
        <v>0</v>
      </c>
      <c r="CO24" s="99"/>
      <c r="CP24" s="99">
        <f t="shared" si="38"/>
        <v>0</v>
      </c>
      <c r="CQ24" s="99"/>
      <c r="CR24" s="97">
        <f t="shared" si="9"/>
        <v>0</v>
      </c>
      <c r="CS24" s="99"/>
      <c r="CT24" s="99">
        <f t="shared" si="39"/>
        <v>0</v>
      </c>
      <c r="CU24" s="99"/>
      <c r="CV24" s="97">
        <f t="shared" si="9"/>
        <v>0</v>
      </c>
      <c r="CW24" s="99"/>
      <c r="CX24" s="99">
        <f t="shared" si="40"/>
        <v>0</v>
      </c>
      <c r="CY24" s="99"/>
      <c r="CZ24" s="97">
        <f t="shared" si="9"/>
        <v>0</v>
      </c>
      <c r="DA24" s="99"/>
      <c r="DB24" s="99">
        <f t="shared" si="41"/>
        <v>0</v>
      </c>
      <c r="DC24" s="99"/>
      <c r="DD24" s="97">
        <f t="shared" si="9"/>
        <v>0</v>
      </c>
      <c r="DE24" s="99"/>
      <c r="DF24" s="99">
        <f t="shared" si="42"/>
        <v>0</v>
      </c>
      <c r="DG24" s="99"/>
      <c r="DH24" s="97">
        <f t="shared" si="9"/>
        <v>0</v>
      </c>
      <c r="DI24" s="99"/>
      <c r="DJ24" s="99" t="e">
        <f t="shared" si="11"/>
        <v>#DIV/0!</v>
      </c>
      <c r="DK24" s="99"/>
      <c r="DL24" s="97">
        <f t="shared" si="9"/>
        <v>0</v>
      </c>
      <c r="DM24" s="99"/>
      <c r="DN24" s="99">
        <f t="shared" si="43"/>
        <v>0</v>
      </c>
      <c r="DO24" s="99"/>
      <c r="DP24" s="97">
        <f t="shared" si="9"/>
        <v>0</v>
      </c>
      <c r="DQ24" s="99"/>
      <c r="DR24" s="99">
        <f t="shared" si="44"/>
        <v>0</v>
      </c>
      <c r="DS24" s="99"/>
      <c r="DT24" s="97">
        <f t="shared" si="9"/>
        <v>0</v>
      </c>
      <c r="DU24" s="99"/>
      <c r="DV24" s="99" t="e">
        <f t="shared" si="12"/>
        <v>#DIV/0!</v>
      </c>
      <c r="DW24" s="99"/>
      <c r="DX24" s="97">
        <f t="shared" si="9"/>
        <v>0</v>
      </c>
      <c r="DY24" s="99"/>
      <c r="DZ24" s="99" t="e">
        <f t="shared" si="13"/>
        <v>#DIV/0!</v>
      </c>
      <c r="EA24" s="99"/>
      <c r="EB24" s="97">
        <f t="shared" si="16"/>
        <v>0</v>
      </c>
      <c r="EC24" s="99"/>
      <c r="ED24" s="99">
        <f t="shared" si="45"/>
        <v>0</v>
      </c>
      <c r="EE24" s="99"/>
      <c r="EF24" s="97">
        <f t="shared" si="16"/>
        <v>0</v>
      </c>
      <c r="EG24" s="99"/>
      <c r="EH24" s="99">
        <f t="shared" si="46"/>
        <v>0</v>
      </c>
      <c r="EI24" s="99"/>
      <c r="EJ24" s="97">
        <f t="shared" si="16"/>
        <v>0</v>
      </c>
      <c r="EK24" s="99"/>
      <c r="EL24" s="99">
        <f t="shared" si="47"/>
        <v>0</v>
      </c>
      <c r="EM24" s="99"/>
      <c r="EN24" s="97">
        <f t="shared" si="16"/>
        <v>0</v>
      </c>
      <c r="EO24" s="99"/>
      <c r="EP24" s="99">
        <f t="shared" si="48"/>
        <v>0</v>
      </c>
      <c r="EQ24" s="99"/>
      <c r="ER24" s="97">
        <f t="shared" si="16"/>
        <v>0</v>
      </c>
      <c r="ES24" s="99"/>
      <c r="ET24" s="99">
        <f t="shared" si="49"/>
        <v>0</v>
      </c>
      <c r="EU24" s="99"/>
      <c r="EV24" s="97">
        <f t="shared" si="16"/>
        <v>0</v>
      </c>
      <c r="EW24" s="99"/>
      <c r="EX24" s="99">
        <f t="shared" si="50"/>
        <v>0</v>
      </c>
      <c r="EY24" s="152">
        <f t="shared" si="51"/>
        <v>0</v>
      </c>
      <c r="EZ24" s="152">
        <f t="shared" si="17"/>
        <v>0</v>
      </c>
      <c r="FA24" s="152">
        <f t="shared" si="17"/>
        <v>0</v>
      </c>
      <c r="FB24" s="152">
        <f t="shared" si="52"/>
        <v>0</v>
      </c>
    </row>
    <row r="25" spans="1:160" s="153" customFormat="1" ht="31.5" x14ac:dyDescent="0.2">
      <c r="A25" s="159" t="s">
        <v>125</v>
      </c>
      <c r="B25" s="160" t="s">
        <v>3</v>
      </c>
      <c r="C25" s="161">
        <f>C28+C29+C30+C31+C53+C78+C27</f>
        <v>0</v>
      </c>
      <c r="D25" s="162">
        <f t="shared" si="1"/>
        <v>0</v>
      </c>
      <c r="E25" s="161">
        <f>E28+E29+E30+E31+E53+E78+E27</f>
        <v>0</v>
      </c>
      <c r="F25" s="163" t="e">
        <f t="shared" si="3"/>
        <v>#DIV/0!</v>
      </c>
      <c r="G25" s="163">
        <f t="shared" ref="G25:H25" si="61">G28+G29+G30+G31+G53+G78+G27</f>
        <v>21823</v>
      </c>
      <c r="H25" s="163">
        <f t="shared" si="61"/>
        <v>21823</v>
      </c>
      <c r="I25" s="163">
        <f t="shared" ref="I25" si="62">I28+I29+I30+I31+I53+I78+I27</f>
        <v>20769</v>
      </c>
      <c r="J25" s="163">
        <f t="shared" si="18"/>
        <v>95.170233240159462</v>
      </c>
      <c r="K25" s="163">
        <f t="shared" ref="K25" si="63">K28+K29+K30+K31+K53+K78+K27</f>
        <v>0</v>
      </c>
      <c r="L25" s="162">
        <f t="shared" si="6"/>
        <v>0</v>
      </c>
      <c r="M25" s="163">
        <f t="shared" ref="M25" si="64">M28+M29+M30+M31+M53+M78+M27</f>
        <v>0</v>
      </c>
      <c r="N25" s="163" t="e">
        <f t="shared" si="7"/>
        <v>#DIV/0!</v>
      </c>
      <c r="O25" s="163">
        <f t="shared" ref="O25:P25" si="65">O28+O29+O30+O31+O53+O78+O27</f>
        <v>22894</v>
      </c>
      <c r="P25" s="163">
        <f t="shared" si="65"/>
        <v>22894</v>
      </c>
      <c r="Q25" s="163">
        <f t="shared" ref="Q25" si="66">Q28+Q29+Q30+Q31+Q53+Q78+Q27</f>
        <v>22800</v>
      </c>
      <c r="R25" s="163">
        <f t="shared" si="19"/>
        <v>99.589412073032236</v>
      </c>
      <c r="S25" s="163">
        <f t="shared" ref="S25:T25" si="67">S28+S29+S30+S31+S53+S78+S27</f>
        <v>13650</v>
      </c>
      <c r="T25" s="163">
        <f t="shared" si="67"/>
        <v>13650</v>
      </c>
      <c r="U25" s="163">
        <f t="shared" ref="U25" si="68">U28+U29+U30+U31+U53+U78+U27</f>
        <v>12569</v>
      </c>
      <c r="V25" s="163">
        <f t="shared" si="20"/>
        <v>92.080586080586073</v>
      </c>
      <c r="W25" s="163">
        <f t="shared" ref="W25:X25" si="69">W28+W29+W30+W31+W53+W78+W27</f>
        <v>22938</v>
      </c>
      <c r="X25" s="163">
        <f t="shared" si="69"/>
        <v>22938</v>
      </c>
      <c r="Y25" s="163">
        <f t="shared" ref="Y25" si="70">Y28+Y29+Y30+Y31+Y53+Y78+Y27</f>
        <v>20967</v>
      </c>
      <c r="Z25" s="163">
        <f t="shared" si="21"/>
        <v>91.407271776092074</v>
      </c>
      <c r="AA25" s="163">
        <f t="shared" ref="AA25:AB25" si="71">AA28+AA29+AA30+AA31+AA53+AA78+AA27</f>
        <v>26974</v>
      </c>
      <c r="AB25" s="163">
        <f t="shared" si="71"/>
        <v>26974</v>
      </c>
      <c r="AC25" s="163">
        <f t="shared" ref="AC25" si="72">AC28+AC29+AC30+AC31+AC53+AC78+AC27</f>
        <v>28014</v>
      </c>
      <c r="AD25" s="163">
        <f t="shared" si="22"/>
        <v>103.85556461778009</v>
      </c>
      <c r="AE25" s="163">
        <f t="shared" ref="AE25:AF25" si="73">AE28+AE29+AE30+AE31+AE53+AE78+AE27</f>
        <v>18203.952499999999</v>
      </c>
      <c r="AF25" s="163">
        <f t="shared" si="73"/>
        <v>18203.952499999999</v>
      </c>
      <c r="AG25" s="163">
        <f t="shared" ref="AG25" si="74">AG28+AG29+AG30+AG31+AG53+AG78+AG27</f>
        <v>25566</v>
      </c>
      <c r="AH25" s="163">
        <f t="shared" si="23"/>
        <v>140.44202763108726</v>
      </c>
      <c r="AI25" s="163">
        <f t="shared" ref="AI25:AJ25" si="75">AI28+AI29+AI30+AI31+AI53+AI78+AI27</f>
        <v>41155</v>
      </c>
      <c r="AJ25" s="163">
        <f t="shared" si="75"/>
        <v>41155</v>
      </c>
      <c r="AK25" s="163">
        <f t="shared" ref="AK25" si="76">AK28+AK29+AK30+AK31+AK53+AK78+AK27</f>
        <v>36661</v>
      </c>
      <c r="AL25" s="163">
        <f t="shared" si="24"/>
        <v>89.080306159640386</v>
      </c>
      <c r="AM25" s="163">
        <f t="shared" ref="AM25:AN25" si="77">AM28+AM29+AM30+AM31+AM53+AM78+AM27</f>
        <v>13990</v>
      </c>
      <c r="AN25" s="163">
        <f t="shared" si="77"/>
        <v>13990</v>
      </c>
      <c r="AO25" s="163">
        <f t="shared" ref="AO25" si="78">AO28+AO29+AO30+AO31+AO53+AO78+AO27</f>
        <v>17308</v>
      </c>
      <c r="AP25" s="163">
        <f t="shared" si="25"/>
        <v>123.7169406719085</v>
      </c>
      <c r="AQ25" s="163">
        <f t="shared" ref="AQ25:AR25" si="79">AQ28+AQ29+AQ30+AQ31+AQ53+AQ78+AQ27</f>
        <v>14839</v>
      </c>
      <c r="AR25" s="163">
        <f t="shared" si="79"/>
        <v>14839</v>
      </c>
      <c r="AS25" s="163">
        <f t="shared" ref="AS25" si="80">AS28+AS29+AS30+AS31+AS53+AS78+AS27</f>
        <v>13608</v>
      </c>
      <c r="AT25" s="163">
        <f t="shared" si="26"/>
        <v>91.704292742098531</v>
      </c>
      <c r="AU25" s="163">
        <f t="shared" ref="AU25:AV25" si="81">AU28+AU29+AU30+AU31+AU53+AU78+AU27</f>
        <v>53366</v>
      </c>
      <c r="AV25" s="163">
        <f t="shared" si="81"/>
        <v>53366</v>
      </c>
      <c r="AW25" s="163">
        <f t="shared" ref="AW25" si="82">AW28+AW29+AW30+AW31+AW53+AW78+AW27</f>
        <v>66394</v>
      </c>
      <c r="AX25" s="163">
        <f t="shared" si="27"/>
        <v>124.4125473147697</v>
      </c>
      <c r="AY25" s="163">
        <f t="shared" ref="AY25:AZ25" si="83">AY28+AY29+AY30+AY31+AY53+AY78+AY27</f>
        <v>32153.5</v>
      </c>
      <c r="AZ25" s="163">
        <f t="shared" si="83"/>
        <v>32153.5</v>
      </c>
      <c r="BA25" s="163">
        <f t="shared" ref="BA25" si="84">BA28+BA29+BA30+BA31+BA53+BA78+BA27</f>
        <v>58854</v>
      </c>
      <c r="BB25" s="163">
        <f t="shared" si="28"/>
        <v>183.04072651499837</v>
      </c>
      <c r="BC25" s="163">
        <f t="shared" ref="BC25:BD25" si="85">BC28+BC29+BC30+BC31+BC53+BC78+BC27</f>
        <v>38089</v>
      </c>
      <c r="BD25" s="163">
        <f t="shared" si="85"/>
        <v>38089</v>
      </c>
      <c r="BE25" s="163">
        <f t="shared" ref="BE25" si="86">BE28+BE29+BE30+BE31+BE53+BE78+BE27</f>
        <v>47635</v>
      </c>
      <c r="BF25" s="163">
        <f t="shared" si="29"/>
        <v>125.06235396046101</v>
      </c>
      <c r="BG25" s="163">
        <f t="shared" ref="BG25:BH25" si="87">BG28+BG29+BG30+BG31+BG53+BG78+BG27</f>
        <v>25093</v>
      </c>
      <c r="BH25" s="163">
        <f t="shared" si="87"/>
        <v>25093</v>
      </c>
      <c r="BI25" s="163">
        <f t="shared" ref="BI25" si="88">BI28+BI29+BI30+BI31+BI53+BI78+BI27</f>
        <v>35213</v>
      </c>
      <c r="BJ25" s="163">
        <f t="shared" si="30"/>
        <v>140.32997250229147</v>
      </c>
      <c r="BK25" s="163">
        <f t="shared" ref="BK25" si="89">BK28+BK29+BK30+BK31+BK53+BK78+BK27</f>
        <v>0</v>
      </c>
      <c r="BL25" s="162">
        <f t="shared" si="6"/>
        <v>0</v>
      </c>
      <c r="BM25" s="163">
        <f t="shared" ref="BM25" si="90">BM28+BM29+BM30+BM31+BM53+BM78+BM27</f>
        <v>0</v>
      </c>
      <c r="BN25" s="163">
        <f t="shared" si="31"/>
        <v>0</v>
      </c>
      <c r="BO25" s="163">
        <f t="shared" ref="BO25" si="91">BO28+BO29+BO30+BO31+BO53+BO78+BO27</f>
        <v>0</v>
      </c>
      <c r="BP25" s="162">
        <f t="shared" si="6"/>
        <v>0</v>
      </c>
      <c r="BQ25" s="163">
        <f t="shared" ref="BQ25" si="92">BQ28+BQ29+BQ30+BQ31+BQ53+BQ78+BQ27</f>
        <v>0</v>
      </c>
      <c r="BR25" s="163">
        <f t="shared" si="32"/>
        <v>0</v>
      </c>
      <c r="BS25" s="163">
        <f t="shared" ref="BS25" si="93">BS28+BS29+BS30+BS31+BS53+BS78+BS27</f>
        <v>0</v>
      </c>
      <c r="BT25" s="162">
        <f t="shared" si="9"/>
        <v>0</v>
      </c>
      <c r="BU25" s="163">
        <f t="shared" ref="BU25" si="94">BU28+BU29+BU30+BU31+BU53+BU78+BU27</f>
        <v>0</v>
      </c>
      <c r="BV25" s="163">
        <f t="shared" si="33"/>
        <v>0</v>
      </c>
      <c r="BW25" s="163">
        <f t="shared" ref="BW25" si="95">BW28+BW29+BW30+BW31+BW53+BW78+BW27</f>
        <v>0</v>
      </c>
      <c r="BX25" s="162">
        <f t="shared" si="9"/>
        <v>0</v>
      </c>
      <c r="BY25" s="163">
        <f t="shared" ref="BY25" si="96">BY28+BY29+BY30+BY31+BY53+BY78+BY27</f>
        <v>0</v>
      </c>
      <c r="BZ25" s="163">
        <f t="shared" si="34"/>
        <v>0</v>
      </c>
      <c r="CA25" s="163">
        <f t="shared" ref="CA25" si="97">CA28+CA29+CA30+CA31+CA53+CA78+CA27</f>
        <v>0</v>
      </c>
      <c r="CB25" s="162">
        <f t="shared" si="9"/>
        <v>0</v>
      </c>
      <c r="CC25" s="163">
        <f t="shared" ref="CC25" si="98">CC28+CC29+CC30+CC31+CC53+CC78+CC27</f>
        <v>0</v>
      </c>
      <c r="CD25" s="163">
        <f t="shared" si="35"/>
        <v>0</v>
      </c>
      <c r="CE25" s="163">
        <f t="shared" ref="CE25:CF25" si="99">CE28+CE29+CE30+CE31+CE53+CE78+CE27</f>
        <v>42500</v>
      </c>
      <c r="CF25" s="163">
        <f t="shared" si="99"/>
        <v>42500</v>
      </c>
      <c r="CG25" s="163">
        <f t="shared" ref="CG25" si="100">CG28+CG29+CG30+CG31+CG53+CG78+CG27</f>
        <v>41504</v>
      </c>
      <c r="CH25" s="163">
        <f t="shared" si="36"/>
        <v>97.656470588235294</v>
      </c>
      <c r="CI25" s="163">
        <f t="shared" ref="CI25:CJ25" si="101">CI28+CI29+CI30+CI31+CI53+CI78+CI27</f>
        <v>36000</v>
      </c>
      <c r="CJ25" s="163">
        <f t="shared" si="101"/>
        <v>36000</v>
      </c>
      <c r="CK25" s="163">
        <f t="shared" ref="CK25" si="102">CK28+CK29+CK30+CK31+CK53+CK78+CK27</f>
        <v>35174</v>
      </c>
      <c r="CL25" s="163">
        <f t="shared" si="37"/>
        <v>97.705555555555563</v>
      </c>
      <c r="CM25" s="163">
        <f t="shared" ref="CM25:CN25" si="103">CM28+CM29+CM30+CM31+CM53+CM78+CM27</f>
        <v>11000</v>
      </c>
      <c r="CN25" s="163">
        <f t="shared" si="103"/>
        <v>11000</v>
      </c>
      <c r="CO25" s="163">
        <f t="shared" ref="CO25" si="104">CO28+CO29+CO30+CO31+CO53+CO78+CO27</f>
        <v>10989</v>
      </c>
      <c r="CP25" s="163">
        <f t="shared" si="38"/>
        <v>99.9</v>
      </c>
      <c r="CQ25" s="163">
        <f t="shared" ref="CQ25" si="105">CQ28+CQ29+CQ30+CQ31+CQ53+CQ78+CQ27</f>
        <v>0</v>
      </c>
      <c r="CR25" s="162">
        <f t="shared" si="9"/>
        <v>0</v>
      </c>
      <c r="CS25" s="163">
        <f t="shared" ref="CS25" si="106">CS28+CS29+CS30+CS31+CS53+CS78+CS27</f>
        <v>0</v>
      </c>
      <c r="CT25" s="163">
        <f t="shared" si="39"/>
        <v>0</v>
      </c>
      <c r="CU25" s="163">
        <f t="shared" ref="CU25" si="107">CU28+CU29+CU30+CU31+CU53+CU78+CU27</f>
        <v>0</v>
      </c>
      <c r="CV25" s="162">
        <f t="shared" si="9"/>
        <v>0</v>
      </c>
      <c r="CW25" s="163">
        <f t="shared" ref="CW25" si="108">CW28+CW29+CW30+CW31+CW53+CW78+CW27</f>
        <v>0</v>
      </c>
      <c r="CX25" s="163">
        <f t="shared" si="40"/>
        <v>0</v>
      </c>
      <c r="CY25" s="163">
        <f t="shared" ref="CY25:CZ25" si="109">CY28+CY29+CY30+CY31+CY53+CY78+CY27</f>
        <v>833</v>
      </c>
      <c r="CZ25" s="163">
        <f t="shared" si="109"/>
        <v>833</v>
      </c>
      <c r="DA25" s="163">
        <f t="shared" ref="DA25" si="110">DA28+DA29+DA30+DA31+DA53+DA78+DA27</f>
        <v>824</v>
      </c>
      <c r="DB25" s="163">
        <f t="shared" si="41"/>
        <v>98.919567827130848</v>
      </c>
      <c r="DC25" s="163">
        <f t="shared" ref="DC25" si="111">DC28+DC29+DC30+DC31+DC53+DC78+DC27</f>
        <v>100</v>
      </c>
      <c r="DD25" s="162">
        <f t="shared" si="9"/>
        <v>100</v>
      </c>
      <c r="DE25" s="163">
        <f t="shared" ref="DE25" si="112">DE28+DE29+DE30+DE31+DE53+DE78+DE27</f>
        <v>9</v>
      </c>
      <c r="DF25" s="163">
        <f t="shared" si="42"/>
        <v>9</v>
      </c>
      <c r="DG25" s="163">
        <f t="shared" ref="DG25" si="113">DG28+DG29+DG30+DG31+DG53+DG78+DG27</f>
        <v>0</v>
      </c>
      <c r="DH25" s="162">
        <f t="shared" si="9"/>
        <v>0</v>
      </c>
      <c r="DI25" s="163">
        <f t="shared" ref="DI25" si="114">DI28+DI29+DI30+DI31+DI53+DI78+DI27</f>
        <v>0</v>
      </c>
      <c r="DJ25" s="163" t="e">
        <f t="shared" si="11"/>
        <v>#DIV/0!</v>
      </c>
      <c r="DK25" s="163">
        <f t="shared" ref="DK25:DL25" si="115">DK28+DK29+DK30+DK31+DK53+DK78+DK27</f>
        <v>52466</v>
      </c>
      <c r="DL25" s="163">
        <f t="shared" si="115"/>
        <v>52466</v>
      </c>
      <c r="DM25" s="163">
        <f t="shared" ref="DM25" si="116">DM28+DM29+DM30+DM31+DM53+DM78+DM27</f>
        <v>54660</v>
      </c>
      <c r="DN25" s="163">
        <f t="shared" si="43"/>
        <v>104.18175580375863</v>
      </c>
      <c r="DO25" s="163">
        <f t="shared" ref="DO25:DP25" si="117">DO28+DO29+DO30+DO31+DO53+DO78+DO27</f>
        <v>65026</v>
      </c>
      <c r="DP25" s="163">
        <f t="shared" si="117"/>
        <v>65026</v>
      </c>
      <c r="DQ25" s="163">
        <f t="shared" ref="DQ25" si="118">DQ28+DQ29+DQ30+DQ31+DQ53+DQ78+DQ27</f>
        <v>83518</v>
      </c>
      <c r="DR25" s="163">
        <f t="shared" si="44"/>
        <v>128.43785562697997</v>
      </c>
      <c r="DS25" s="163">
        <f t="shared" ref="DS25" si="119">DS28+DS29+DS30+DS31+DS53+DS78+DS27</f>
        <v>0</v>
      </c>
      <c r="DT25" s="162">
        <f t="shared" si="9"/>
        <v>0</v>
      </c>
      <c r="DU25" s="163">
        <f t="shared" ref="DU25" si="120">DU28+DU29+DU30+DU31+DU53+DU78+DU27</f>
        <v>0</v>
      </c>
      <c r="DV25" s="163" t="e">
        <f t="shared" si="12"/>
        <v>#DIV/0!</v>
      </c>
      <c r="DW25" s="163">
        <f t="shared" ref="DW25" si="121">DW28+DW29+DW30+DW31+DW53+DW78+DW27</f>
        <v>0</v>
      </c>
      <c r="DX25" s="162">
        <f t="shared" si="9"/>
        <v>0</v>
      </c>
      <c r="DY25" s="163">
        <f t="shared" ref="DY25" si="122">DY28+DY29+DY30+DY31+DY53+DY78+DY27</f>
        <v>0</v>
      </c>
      <c r="DZ25" s="163" t="e">
        <f t="shared" si="13"/>
        <v>#DIV/0!</v>
      </c>
      <c r="EA25" s="163">
        <f t="shared" ref="EA25:EB25" si="123">EA28+EA29+EA30+EA31+EA53+EA78+EA27</f>
        <v>3651</v>
      </c>
      <c r="EB25" s="163">
        <f t="shared" si="123"/>
        <v>3651</v>
      </c>
      <c r="EC25" s="163">
        <f t="shared" ref="EC25" si="124">EC28+EC29+EC30+EC31+EC53+EC78+EC27</f>
        <v>4007</v>
      </c>
      <c r="ED25" s="163">
        <f t="shared" si="45"/>
        <v>109.75075321829635</v>
      </c>
      <c r="EE25" s="163">
        <f t="shared" ref="EE25:EF25" si="125">EE28+EE29+EE30+EE31+EE53+EE78+EE27</f>
        <v>43139</v>
      </c>
      <c r="EF25" s="163">
        <f t="shared" si="125"/>
        <v>43139</v>
      </c>
      <c r="EG25" s="163">
        <f t="shared" ref="EG25" si="126">EG28+EG29+EG30+EG31+EG53+EG78+EG27</f>
        <v>50816</v>
      </c>
      <c r="EH25" s="163">
        <f t="shared" si="46"/>
        <v>117.79596189063261</v>
      </c>
      <c r="EI25" s="163">
        <f t="shared" ref="EI25:EJ25" si="127">EI28+EI29+EI30+EI31+EI53+EI78+EI27</f>
        <v>839</v>
      </c>
      <c r="EJ25" s="163">
        <f t="shared" si="127"/>
        <v>839</v>
      </c>
      <c r="EK25" s="163">
        <f t="shared" ref="EK25" si="128">EK28+EK29+EK30+EK31+EK53+EK78+EK27</f>
        <v>627</v>
      </c>
      <c r="EL25" s="163">
        <f t="shared" si="47"/>
        <v>74.731823599523238</v>
      </c>
      <c r="EM25" s="163">
        <f t="shared" ref="EM25:EN25" si="129">EM28+EM29+EM30+EM31+EM53+EM78+EM27</f>
        <v>1561</v>
      </c>
      <c r="EN25" s="163">
        <f t="shared" si="129"/>
        <v>1561</v>
      </c>
      <c r="EO25" s="163">
        <f t="shared" ref="EO25" si="130">EO28+EO29+EO30+EO31+EO53+EO78+EO27</f>
        <v>880</v>
      </c>
      <c r="EP25" s="163">
        <f t="shared" si="48"/>
        <v>56.374119154388211</v>
      </c>
      <c r="EQ25" s="163">
        <f t="shared" ref="EQ25" si="131">EQ28+EQ29+EQ30+EQ31+EQ53+EQ78+EQ27</f>
        <v>600</v>
      </c>
      <c r="ER25" s="162">
        <f t="shared" si="16"/>
        <v>600</v>
      </c>
      <c r="ES25" s="163">
        <f t="shared" ref="ES25" si="132">ES28+ES29+ES30+ES31+ES53+ES78+ES27</f>
        <v>789</v>
      </c>
      <c r="ET25" s="163">
        <f t="shared" si="49"/>
        <v>131.5</v>
      </c>
      <c r="EU25" s="163">
        <f t="shared" ref="EU25" si="133">EU28+EU29+EU30+EU31+EU53+EU78+EU27</f>
        <v>300</v>
      </c>
      <c r="EV25" s="162">
        <f t="shared" si="16"/>
        <v>300</v>
      </c>
      <c r="EW25" s="163">
        <f t="shared" ref="EW25" si="134">EW28+EW29+EW30+EW31+EW53+EW78+EW27</f>
        <v>173</v>
      </c>
      <c r="EX25" s="163">
        <f t="shared" si="50"/>
        <v>57.666666666666664</v>
      </c>
      <c r="EY25" s="152">
        <f t="shared" si="51"/>
        <v>603183.45250000001</v>
      </c>
      <c r="EZ25" s="152">
        <f t="shared" si="17"/>
        <v>603183.45250000001</v>
      </c>
      <c r="FA25" s="152">
        <f t="shared" si="17"/>
        <v>690328</v>
      </c>
      <c r="FB25" s="152">
        <f t="shared" si="52"/>
        <v>114.44743670251796</v>
      </c>
    </row>
    <row r="26" spans="1:160" s="153" customFormat="1" ht="24" customHeight="1" x14ac:dyDescent="0.2">
      <c r="A26" s="154" t="s">
        <v>126</v>
      </c>
      <c r="B26" s="155" t="s">
        <v>3</v>
      </c>
      <c r="C26" s="156"/>
      <c r="D26" s="97">
        <f t="shared" si="1"/>
        <v>0</v>
      </c>
      <c r="E26" s="157"/>
      <c r="F26" s="99" t="e">
        <f t="shared" si="3"/>
        <v>#DIV/0!</v>
      </c>
      <c r="G26" s="99"/>
      <c r="H26" s="97">
        <f t="shared" si="6"/>
        <v>0</v>
      </c>
      <c r="I26" s="99"/>
      <c r="J26" s="99">
        <f t="shared" si="18"/>
        <v>0</v>
      </c>
      <c r="K26" s="99"/>
      <c r="L26" s="97">
        <f t="shared" si="6"/>
        <v>0</v>
      </c>
      <c r="M26" s="99"/>
      <c r="N26" s="99" t="e">
        <f t="shared" si="7"/>
        <v>#DIV/0!</v>
      </c>
      <c r="O26" s="99"/>
      <c r="P26" s="97">
        <f t="shared" si="6"/>
        <v>0</v>
      </c>
      <c r="Q26" s="99"/>
      <c r="R26" s="99">
        <f t="shared" si="19"/>
        <v>0</v>
      </c>
      <c r="S26" s="99"/>
      <c r="T26" s="97">
        <f t="shared" si="6"/>
        <v>0</v>
      </c>
      <c r="U26" s="99"/>
      <c r="V26" s="99">
        <f t="shared" si="20"/>
        <v>0</v>
      </c>
      <c r="W26" s="99"/>
      <c r="X26" s="97">
        <f t="shared" si="6"/>
        <v>0</v>
      </c>
      <c r="Y26" s="99"/>
      <c r="Z26" s="99">
        <f t="shared" si="21"/>
        <v>0</v>
      </c>
      <c r="AA26" s="99"/>
      <c r="AB26" s="97">
        <f t="shared" si="6"/>
        <v>0</v>
      </c>
      <c r="AC26" s="99"/>
      <c r="AD26" s="99">
        <f t="shared" si="22"/>
        <v>0</v>
      </c>
      <c r="AE26" s="99"/>
      <c r="AF26" s="97">
        <f t="shared" si="6"/>
        <v>0</v>
      </c>
      <c r="AG26" s="99"/>
      <c r="AH26" s="99">
        <f t="shared" si="23"/>
        <v>0</v>
      </c>
      <c r="AI26" s="99"/>
      <c r="AJ26" s="97">
        <f t="shared" si="6"/>
        <v>0</v>
      </c>
      <c r="AK26" s="99"/>
      <c r="AL26" s="99">
        <f t="shared" si="24"/>
        <v>0</v>
      </c>
      <c r="AM26" s="99"/>
      <c r="AN26" s="97">
        <f t="shared" si="6"/>
        <v>0</v>
      </c>
      <c r="AO26" s="99"/>
      <c r="AP26" s="99">
        <f t="shared" si="25"/>
        <v>0</v>
      </c>
      <c r="AQ26" s="99"/>
      <c r="AR26" s="97">
        <f t="shared" si="6"/>
        <v>0</v>
      </c>
      <c r="AS26" s="99"/>
      <c r="AT26" s="99">
        <f t="shared" si="26"/>
        <v>0</v>
      </c>
      <c r="AU26" s="99"/>
      <c r="AV26" s="97">
        <f t="shared" si="6"/>
        <v>0</v>
      </c>
      <c r="AW26" s="99"/>
      <c r="AX26" s="99">
        <f t="shared" si="27"/>
        <v>0</v>
      </c>
      <c r="AY26" s="99"/>
      <c r="AZ26" s="97">
        <f t="shared" si="6"/>
        <v>0</v>
      </c>
      <c r="BA26" s="99"/>
      <c r="BB26" s="99">
        <f t="shared" si="28"/>
        <v>0</v>
      </c>
      <c r="BC26" s="99"/>
      <c r="BD26" s="97">
        <f t="shared" si="6"/>
        <v>0</v>
      </c>
      <c r="BE26" s="99"/>
      <c r="BF26" s="99">
        <f t="shared" si="29"/>
        <v>0</v>
      </c>
      <c r="BG26" s="99"/>
      <c r="BH26" s="97">
        <f t="shared" si="6"/>
        <v>0</v>
      </c>
      <c r="BI26" s="99"/>
      <c r="BJ26" s="99">
        <f t="shared" si="30"/>
        <v>0</v>
      </c>
      <c r="BK26" s="99"/>
      <c r="BL26" s="97">
        <f t="shared" si="6"/>
        <v>0</v>
      </c>
      <c r="BM26" s="99"/>
      <c r="BN26" s="99">
        <f t="shared" si="31"/>
        <v>0</v>
      </c>
      <c r="BO26" s="99"/>
      <c r="BP26" s="97">
        <f t="shared" si="6"/>
        <v>0</v>
      </c>
      <c r="BQ26" s="99"/>
      <c r="BR26" s="99">
        <f t="shared" si="32"/>
        <v>0</v>
      </c>
      <c r="BS26" s="99"/>
      <c r="BT26" s="97">
        <f t="shared" si="9"/>
        <v>0</v>
      </c>
      <c r="BU26" s="99"/>
      <c r="BV26" s="99">
        <f t="shared" si="33"/>
        <v>0</v>
      </c>
      <c r="BW26" s="99"/>
      <c r="BX26" s="97">
        <f t="shared" si="9"/>
        <v>0</v>
      </c>
      <c r="BY26" s="99"/>
      <c r="BZ26" s="99">
        <f t="shared" si="34"/>
        <v>0</v>
      </c>
      <c r="CA26" s="99"/>
      <c r="CB26" s="97">
        <f t="shared" si="9"/>
        <v>0</v>
      </c>
      <c r="CC26" s="99"/>
      <c r="CD26" s="99">
        <f t="shared" si="35"/>
        <v>0</v>
      </c>
      <c r="CE26" s="99"/>
      <c r="CF26" s="97">
        <f t="shared" si="9"/>
        <v>0</v>
      </c>
      <c r="CG26" s="99"/>
      <c r="CH26" s="99">
        <f t="shared" si="36"/>
        <v>0</v>
      </c>
      <c r="CI26" s="99"/>
      <c r="CJ26" s="97">
        <f t="shared" si="9"/>
        <v>0</v>
      </c>
      <c r="CK26" s="99"/>
      <c r="CL26" s="99">
        <f t="shared" si="37"/>
        <v>0</v>
      </c>
      <c r="CM26" s="99"/>
      <c r="CN26" s="97">
        <f t="shared" si="9"/>
        <v>0</v>
      </c>
      <c r="CO26" s="99"/>
      <c r="CP26" s="99">
        <f t="shared" si="38"/>
        <v>0</v>
      </c>
      <c r="CQ26" s="99"/>
      <c r="CR26" s="97">
        <f t="shared" si="9"/>
        <v>0</v>
      </c>
      <c r="CS26" s="99"/>
      <c r="CT26" s="99">
        <f t="shared" si="39"/>
        <v>0</v>
      </c>
      <c r="CU26" s="99"/>
      <c r="CV26" s="97">
        <f t="shared" si="9"/>
        <v>0</v>
      </c>
      <c r="CW26" s="99"/>
      <c r="CX26" s="99">
        <f t="shared" si="40"/>
        <v>0</v>
      </c>
      <c r="CY26" s="99"/>
      <c r="CZ26" s="97">
        <f t="shared" si="9"/>
        <v>0</v>
      </c>
      <c r="DA26" s="99"/>
      <c r="DB26" s="99">
        <f t="shared" si="41"/>
        <v>0</v>
      </c>
      <c r="DC26" s="99"/>
      <c r="DD26" s="97">
        <f t="shared" si="9"/>
        <v>0</v>
      </c>
      <c r="DE26" s="99"/>
      <c r="DF26" s="99">
        <f t="shared" si="42"/>
        <v>0</v>
      </c>
      <c r="DG26" s="99"/>
      <c r="DH26" s="97">
        <f t="shared" si="9"/>
        <v>0</v>
      </c>
      <c r="DI26" s="99"/>
      <c r="DJ26" s="99" t="e">
        <f t="shared" si="11"/>
        <v>#DIV/0!</v>
      </c>
      <c r="DK26" s="99"/>
      <c r="DL26" s="97">
        <f t="shared" si="9"/>
        <v>0</v>
      </c>
      <c r="DM26" s="99"/>
      <c r="DN26" s="99">
        <f t="shared" si="43"/>
        <v>0</v>
      </c>
      <c r="DO26" s="99"/>
      <c r="DP26" s="97">
        <f t="shared" si="9"/>
        <v>0</v>
      </c>
      <c r="DQ26" s="99"/>
      <c r="DR26" s="99">
        <f t="shared" si="44"/>
        <v>0</v>
      </c>
      <c r="DS26" s="99"/>
      <c r="DT26" s="97">
        <f t="shared" si="9"/>
        <v>0</v>
      </c>
      <c r="DU26" s="99"/>
      <c r="DV26" s="99" t="e">
        <f t="shared" si="12"/>
        <v>#DIV/0!</v>
      </c>
      <c r="DW26" s="99"/>
      <c r="DX26" s="97">
        <f t="shared" si="9"/>
        <v>0</v>
      </c>
      <c r="DY26" s="99"/>
      <c r="DZ26" s="99" t="e">
        <f t="shared" si="13"/>
        <v>#DIV/0!</v>
      </c>
      <c r="EA26" s="99"/>
      <c r="EB26" s="97">
        <f t="shared" si="16"/>
        <v>0</v>
      </c>
      <c r="EC26" s="99"/>
      <c r="ED26" s="99">
        <f t="shared" si="45"/>
        <v>0</v>
      </c>
      <c r="EE26" s="99"/>
      <c r="EF26" s="97">
        <f t="shared" si="16"/>
        <v>0</v>
      </c>
      <c r="EG26" s="99"/>
      <c r="EH26" s="99">
        <f t="shared" si="46"/>
        <v>0</v>
      </c>
      <c r="EI26" s="99"/>
      <c r="EJ26" s="97">
        <f t="shared" si="16"/>
        <v>0</v>
      </c>
      <c r="EK26" s="99"/>
      <c r="EL26" s="99">
        <f t="shared" si="47"/>
        <v>0</v>
      </c>
      <c r="EM26" s="99"/>
      <c r="EN26" s="97">
        <f t="shared" si="16"/>
        <v>0</v>
      </c>
      <c r="EO26" s="99"/>
      <c r="EP26" s="99">
        <f t="shared" si="48"/>
        <v>0</v>
      </c>
      <c r="EQ26" s="99"/>
      <c r="ER26" s="97">
        <f t="shared" si="16"/>
        <v>0</v>
      </c>
      <c r="ES26" s="99"/>
      <c r="ET26" s="99">
        <f t="shared" si="49"/>
        <v>0</v>
      </c>
      <c r="EU26" s="99"/>
      <c r="EV26" s="97">
        <f t="shared" si="16"/>
        <v>0</v>
      </c>
      <c r="EW26" s="99"/>
      <c r="EX26" s="99">
        <f t="shared" si="50"/>
        <v>0</v>
      </c>
      <c r="EY26" s="152">
        <f t="shared" si="51"/>
        <v>0</v>
      </c>
      <c r="EZ26" s="152">
        <f t="shared" si="17"/>
        <v>0</v>
      </c>
      <c r="FA26" s="152">
        <f t="shared" si="17"/>
        <v>0</v>
      </c>
      <c r="FB26" s="152">
        <f t="shared" si="52"/>
        <v>0</v>
      </c>
    </row>
    <row r="27" spans="1:160" s="153" customFormat="1" ht="15.75" x14ac:dyDescent="0.25">
      <c r="A27" s="164" t="s">
        <v>199</v>
      </c>
      <c r="B27" s="155"/>
      <c r="C27" s="156"/>
      <c r="D27" s="97">
        <f t="shared" si="1"/>
        <v>0</v>
      </c>
      <c r="E27" s="157"/>
      <c r="F27" s="99"/>
      <c r="G27" s="99"/>
      <c r="H27" s="97">
        <f t="shared" si="6"/>
        <v>0</v>
      </c>
      <c r="I27" s="99"/>
      <c r="J27" s="99">
        <f t="shared" si="18"/>
        <v>0</v>
      </c>
      <c r="K27" s="99"/>
      <c r="L27" s="97">
        <f t="shared" si="6"/>
        <v>0</v>
      </c>
      <c r="M27" s="99"/>
      <c r="N27" s="99"/>
      <c r="O27" s="99"/>
      <c r="P27" s="97">
        <f t="shared" si="6"/>
        <v>0</v>
      </c>
      <c r="Q27" s="99"/>
      <c r="R27" s="99">
        <f t="shared" si="19"/>
        <v>0</v>
      </c>
      <c r="S27" s="99"/>
      <c r="T27" s="97">
        <f t="shared" si="6"/>
        <v>0</v>
      </c>
      <c r="U27" s="99"/>
      <c r="V27" s="99">
        <f t="shared" si="20"/>
        <v>0</v>
      </c>
      <c r="W27" s="99"/>
      <c r="X27" s="97">
        <f t="shared" si="6"/>
        <v>0</v>
      </c>
      <c r="Y27" s="99"/>
      <c r="Z27" s="99">
        <f t="shared" si="21"/>
        <v>0</v>
      </c>
      <c r="AA27" s="99"/>
      <c r="AB27" s="97">
        <f t="shared" si="6"/>
        <v>0</v>
      </c>
      <c r="AC27" s="99"/>
      <c r="AD27" s="99">
        <f t="shared" si="22"/>
        <v>0</v>
      </c>
      <c r="AE27" s="99"/>
      <c r="AF27" s="97">
        <f t="shared" si="6"/>
        <v>0</v>
      </c>
      <c r="AG27" s="99"/>
      <c r="AH27" s="99">
        <f t="shared" si="23"/>
        <v>0</v>
      </c>
      <c r="AI27" s="99"/>
      <c r="AJ27" s="97">
        <f t="shared" si="6"/>
        <v>0</v>
      </c>
      <c r="AK27" s="99"/>
      <c r="AL27" s="99">
        <f t="shared" si="24"/>
        <v>0</v>
      </c>
      <c r="AM27" s="99"/>
      <c r="AN27" s="97">
        <f t="shared" si="6"/>
        <v>0</v>
      </c>
      <c r="AO27" s="99"/>
      <c r="AP27" s="99">
        <f t="shared" si="25"/>
        <v>0</v>
      </c>
      <c r="AQ27" s="99"/>
      <c r="AR27" s="97">
        <f t="shared" si="6"/>
        <v>0</v>
      </c>
      <c r="AS27" s="99"/>
      <c r="AT27" s="99">
        <f t="shared" si="26"/>
        <v>0</v>
      </c>
      <c r="AU27" s="99"/>
      <c r="AV27" s="97">
        <f t="shared" si="6"/>
        <v>0</v>
      </c>
      <c r="AW27" s="99"/>
      <c r="AX27" s="99">
        <f t="shared" si="27"/>
        <v>0</v>
      </c>
      <c r="AY27" s="99"/>
      <c r="AZ27" s="97">
        <f t="shared" si="6"/>
        <v>0</v>
      </c>
      <c r="BA27" s="99"/>
      <c r="BB27" s="99">
        <f t="shared" si="28"/>
        <v>0</v>
      </c>
      <c r="BC27" s="99"/>
      <c r="BD27" s="97">
        <f t="shared" si="6"/>
        <v>0</v>
      </c>
      <c r="BE27" s="99"/>
      <c r="BF27" s="99">
        <f t="shared" si="29"/>
        <v>0</v>
      </c>
      <c r="BG27" s="99"/>
      <c r="BH27" s="97">
        <f t="shared" si="6"/>
        <v>0</v>
      </c>
      <c r="BI27" s="99"/>
      <c r="BJ27" s="99">
        <f t="shared" si="30"/>
        <v>0</v>
      </c>
      <c r="BK27" s="99"/>
      <c r="BL27" s="97">
        <f t="shared" si="6"/>
        <v>0</v>
      </c>
      <c r="BM27" s="99"/>
      <c r="BN27" s="99">
        <f t="shared" si="31"/>
        <v>0</v>
      </c>
      <c r="BO27" s="99"/>
      <c r="BP27" s="97">
        <f t="shared" ref="BP27:DT44" si="135">ROUND(BO27/12*$A$7,0)</f>
        <v>0</v>
      </c>
      <c r="BQ27" s="99"/>
      <c r="BR27" s="99">
        <f t="shared" si="32"/>
        <v>0</v>
      </c>
      <c r="BS27" s="99"/>
      <c r="BT27" s="97">
        <f t="shared" si="135"/>
        <v>0</v>
      </c>
      <c r="BU27" s="99"/>
      <c r="BV27" s="99">
        <f t="shared" si="33"/>
        <v>0</v>
      </c>
      <c r="BW27" s="99"/>
      <c r="BX27" s="97">
        <f t="shared" si="135"/>
        <v>0</v>
      </c>
      <c r="BY27" s="99"/>
      <c r="BZ27" s="99">
        <f t="shared" si="34"/>
        <v>0</v>
      </c>
      <c r="CA27" s="99"/>
      <c r="CB27" s="97">
        <f t="shared" si="135"/>
        <v>0</v>
      </c>
      <c r="CC27" s="99"/>
      <c r="CD27" s="99">
        <f t="shared" si="35"/>
        <v>0</v>
      </c>
      <c r="CE27" s="99"/>
      <c r="CF27" s="97">
        <f t="shared" si="135"/>
        <v>0</v>
      </c>
      <c r="CG27" s="99"/>
      <c r="CH27" s="99">
        <f t="shared" si="36"/>
        <v>0</v>
      </c>
      <c r="CI27" s="99"/>
      <c r="CJ27" s="97">
        <f t="shared" si="135"/>
        <v>0</v>
      </c>
      <c r="CK27" s="99"/>
      <c r="CL27" s="99">
        <f t="shared" si="37"/>
        <v>0</v>
      </c>
      <c r="CM27" s="99"/>
      <c r="CN27" s="97">
        <f t="shared" si="135"/>
        <v>0</v>
      </c>
      <c r="CO27" s="99"/>
      <c r="CP27" s="99">
        <f t="shared" si="38"/>
        <v>0</v>
      </c>
      <c r="CQ27" s="99"/>
      <c r="CR27" s="97">
        <f t="shared" si="135"/>
        <v>0</v>
      </c>
      <c r="CS27" s="99"/>
      <c r="CT27" s="99">
        <f t="shared" si="39"/>
        <v>0</v>
      </c>
      <c r="CU27" s="99"/>
      <c r="CV27" s="97">
        <f t="shared" si="135"/>
        <v>0</v>
      </c>
      <c r="CW27" s="99"/>
      <c r="CX27" s="99">
        <f t="shared" si="40"/>
        <v>0</v>
      </c>
      <c r="CY27" s="99"/>
      <c r="CZ27" s="97">
        <f t="shared" si="135"/>
        <v>0</v>
      </c>
      <c r="DA27" s="99"/>
      <c r="DB27" s="99">
        <f t="shared" si="41"/>
        <v>0</v>
      </c>
      <c r="DC27" s="99"/>
      <c r="DD27" s="97">
        <f t="shared" si="135"/>
        <v>0</v>
      </c>
      <c r="DE27" s="99"/>
      <c r="DF27" s="99">
        <f t="shared" si="42"/>
        <v>0</v>
      </c>
      <c r="DG27" s="99"/>
      <c r="DH27" s="97">
        <f t="shared" si="135"/>
        <v>0</v>
      </c>
      <c r="DI27" s="99"/>
      <c r="DJ27" s="99"/>
      <c r="DK27" s="99"/>
      <c r="DL27" s="97">
        <f t="shared" si="135"/>
        <v>0</v>
      </c>
      <c r="DM27" s="99"/>
      <c r="DN27" s="99">
        <f t="shared" si="43"/>
        <v>0</v>
      </c>
      <c r="DO27" s="99"/>
      <c r="DP27" s="97">
        <f t="shared" si="135"/>
        <v>0</v>
      </c>
      <c r="DQ27" s="99"/>
      <c r="DR27" s="99">
        <f t="shared" si="44"/>
        <v>0</v>
      </c>
      <c r="DS27" s="99"/>
      <c r="DT27" s="97">
        <f t="shared" si="135"/>
        <v>0</v>
      </c>
      <c r="DU27" s="99"/>
      <c r="DV27" s="99"/>
      <c r="DW27" s="99"/>
      <c r="DX27" s="97">
        <f t="shared" si="9"/>
        <v>0</v>
      </c>
      <c r="DY27" s="99"/>
      <c r="DZ27" s="99"/>
      <c r="EA27" s="99"/>
      <c r="EB27" s="97">
        <f t="shared" si="16"/>
        <v>0</v>
      </c>
      <c r="EC27" s="99"/>
      <c r="ED27" s="99">
        <f t="shared" si="45"/>
        <v>0</v>
      </c>
      <c r="EE27" s="99"/>
      <c r="EF27" s="97">
        <f t="shared" si="16"/>
        <v>0</v>
      </c>
      <c r="EG27" s="99"/>
      <c r="EH27" s="99">
        <f t="shared" si="46"/>
        <v>0</v>
      </c>
      <c r="EI27" s="99"/>
      <c r="EJ27" s="97">
        <f t="shared" si="16"/>
        <v>0</v>
      </c>
      <c r="EK27" s="99"/>
      <c r="EL27" s="99">
        <f t="shared" si="47"/>
        <v>0</v>
      </c>
      <c r="EM27" s="99"/>
      <c r="EN27" s="97">
        <f t="shared" si="16"/>
        <v>0</v>
      </c>
      <c r="EO27" s="99"/>
      <c r="EP27" s="99">
        <f t="shared" si="48"/>
        <v>0</v>
      </c>
      <c r="EQ27" s="99"/>
      <c r="ER27" s="97">
        <f t="shared" si="16"/>
        <v>0</v>
      </c>
      <c r="ES27" s="99"/>
      <c r="ET27" s="99">
        <f t="shared" si="49"/>
        <v>0</v>
      </c>
      <c r="EU27" s="99"/>
      <c r="EV27" s="97">
        <f t="shared" si="16"/>
        <v>0</v>
      </c>
      <c r="EW27" s="99"/>
      <c r="EX27" s="99">
        <f t="shared" si="50"/>
        <v>0</v>
      </c>
      <c r="EY27" s="152">
        <f t="shared" si="51"/>
        <v>0</v>
      </c>
      <c r="EZ27" s="152">
        <f t="shared" si="17"/>
        <v>0</v>
      </c>
      <c r="FA27" s="152">
        <f t="shared" si="17"/>
        <v>0</v>
      </c>
      <c r="FB27" s="152">
        <f t="shared" si="52"/>
        <v>0</v>
      </c>
    </row>
    <row r="28" spans="1:160" s="153" customFormat="1" ht="47.25" x14ac:dyDescent="0.2">
      <c r="A28" s="154" t="s">
        <v>138</v>
      </c>
      <c r="B28" s="155" t="s">
        <v>3</v>
      </c>
      <c r="C28" s="156"/>
      <c r="D28" s="97">
        <f t="shared" ref="D28:D45" si="136">ROUND(C28/12*$A$7,0)</f>
        <v>0</v>
      </c>
      <c r="E28" s="157"/>
      <c r="F28" s="99" t="e">
        <f t="shared" si="3"/>
        <v>#DIV/0!</v>
      </c>
      <c r="G28" s="99"/>
      <c r="H28" s="97">
        <f t="shared" ref="H28:BP45" si="137">ROUND(G28/12*$A$7,0)</f>
        <v>0</v>
      </c>
      <c r="I28" s="99"/>
      <c r="J28" s="99">
        <f t="shared" si="18"/>
        <v>0</v>
      </c>
      <c r="K28" s="99"/>
      <c r="L28" s="97">
        <f t="shared" si="137"/>
        <v>0</v>
      </c>
      <c r="M28" s="99"/>
      <c r="N28" s="99" t="e">
        <f t="shared" ref="N28:N89" si="138">M28/L28*100</f>
        <v>#DIV/0!</v>
      </c>
      <c r="O28" s="99"/>
      <c r="P28" s="97">
        <f t="shared" si="137"/>
        <v>0</v>
      </c>
      <c r="Q28" s="99"/>
      <c r="R28" s="99">
        <f t="shared" si="19"/>
        <v>0</v>
      </c>
      <c r="S28" s="99"/>
      <c r="T28" s="97">
        <f t="shared" si="137"/>
        <v>0</v>
      </c>
      <c r="U28" s="99"/>
      <c r="V28" s="99">
        <f t="shared" si="20"/>
        <v>0</v>
      </c>
      <c r="W28" s="99"/>
      <c r="X28" s="97">
        <f t="shared" si="137"/>
        <v>0</v>
      </c>
      <c r="Y28" s="99"/>
      <c r="Z28" s="99">
        <f t="shared" si="21"/>
        <v>0</v>
      </c>
      <c r="AA28" s="99"/>
      <c r="AB28" s="97">
        <f t="shared" si="137"/>
        <v>0</v>
      </c>
      <c r="AC28" s="99"/>
      <c r="AD28" s="99">
        <f t="shared" si="22"/>
        <v>0</v>
      </c>
      <c r="AE28" s="99"/>
      <c r="AF28" s="97">
        <f t="shared" si="137"/>
        <v>0</v>
      </c>
      <c r="AG28" s="99"/>
      <c r="AH28" s="99">
        <f t="shared" si="23"/>
        <v>0</v>
      </c>
      <c r="AI28" s="99"/>
      <c r="AJ28" s="97">
        <f t="shared" si="137"/>
        <v>0</v>
      </c>
      <c r="AK28" s="99"/>
      <c r="AL28" s="99">
        <f t="shared" si="24"/>
        <v>0</v>
      </c>
      <c r="AM28" s="99"/>
      <c r="AN28" s="97">
        <f t="shared" si="137"/>
        <v>0</v>
      </c>
      <c r="AO28" s="99"/>
      <c r="AP28" s="99">
        <f t="shared" si="25"/>
        <v>0</v>
      </c>
      <c r="AQ28" s="99"/>
      <c r="AR28" s="97">
        <f t="shared" si="137"/>
        <v>0</v>
      </c>
      <c r="AS28" s="99"/>
      <c r="AT28" s="99">
        <f t="shared" si="26"/>
        <v>0</v>
      </c>
      <c r="AU28" s="99"/>
      <c r="AV28" s="97">
        <f t="shared" si="137"/>
        <v>0</v>
      </c>
      <c r="AW28" s="99"/>
      <c r="AX28" s="99">
        <f t="shared" si="27"/>
        <v>0</v>
      </c>
      <c r="AY28" s="99"/>
      <c r="AZ28" s="97">
        <f t="shared" si="137"/>
        <v>0</v>
      </c>
      <c r="BA28" s="99"/>
      <c r="BB28" s="99">
        <f t="shared" si="28"/>
        <v>0</v>
      </c>
      <c r="BC28" s="99"/>
      <c r="BD28" s="97">
        <f t="shared" si="137"/>
        <v>0</v>
      </c>
      <c r="BE28" s="99"/>
      <c r="BF28" s="99">
        <f t="shared" si="29"/>
        <v>0</v>
      </c>
      <c r="BG28" s="99"/>
      <c r="BH28" s="97">
        <f t="shared" si="137"/>
        <v>0</v>
      </c>
      <c r="BI28" s="99"/>
      <c r="BJ28" s="99">
        <f t="shared" si="30"/>
        <v>0</v>
      </c>
      <c r="BK28" s="99"/>
      <c r="BL28" s="97">
        <f t="shared" si="137"/>
        <v>0</v>
      </c>
      <c r="BM28" s="99"/>
      <c r="BN28" s="99">
        <f t="shared" si="31"/>
        <v>0</v>
      </c>
      <c r="BO28" s="99"/>
      <c r="BP28" s="97">
        <f t="shared" si="137"/>
        <v>0</v>
      </c>
      <c r="BQ28" s="99"/>
      <c r="BR28" s="99">
        <f t="shared" si="32"/>
        <v>0</v>
      </c>
      <c r="BS28" s="99"/>
      <c r="BT28" s="97">
        <f t="shared" si="135"/>
        <v>0</v>
      </c>
      <c r="BU28" s="99"/>
      <c r="BV28" s="99">
        <f t="shared" si="33"/>
        <v>0</v>
      </c>
      <c r="BW28" s="99"/>
      <c r="BX28" s="97">
        <f t="shared" si="135"/>
        <v>0</v>
      </c>
      <c r="BY28" s="99"/>
      <c r="BZ28" s="99">
        <f t="shared" si="34"/>
        <v>0</v>
      </c>
      <c r="CA28" s="99"/>
      <c r="CB28" s="97">
        <f t="shared" si="135"/>
        <v>0</v>
      </c>
      <c r="CC28" s="99"/>
      <c r="CD28" s="99">
        <f t="shared" si="35"/>
        <v>0</v>
      </c>
      <c r="CE28" s="99"/>
      <c r="CF28" s="97">
        <f t="shared" si="135"/>
        <v>0</v>
      </c>
      <c r="CG28" s="99"/>
      <c r="CH28" s="99">
        <f t="shared" si="36"/>
        <v>0</v>
      </c>
      <c r="CI28" s="99"/>
      <c r="CJ28" s="97">
        <f t="shared" si="135"/>
        <v>0</v>
      </c>
      <c r="CK28" s="99"/>
      <c r="CL28" s="99">
        <f t="shared" si="37"/>
        <v>0</v>
      </c>
      <c r="CM28" s="99"/>
      <c r="CN28" s="97">
        <f t="shared" si="135"/>
        <v>0</v>
      </c>
      <c r="CO28" s="99"/>
      <c r="CP28" s="99">
        <f t="shared" si="38"/>
        <v>0</v>
      </c>
      <c r="CQ28" s="99"/>
      <c r="CR28" s="97">
        <f t="shared" si="135"/>
        <v>0</v>
      </c>
      <c r="CS28" s="99"/>
      <c r="CT28" s="99">
        <f t="shared" si="39"/>
        <v>0</v>
      </c>
      <c r="CU28" s="99"/>
      <c r="CV28" s="97">
        <f t="shared" si="135"/>
        <v>0</v>
      </c>
      <c r="CW28" s="99"/>
      <c r="CX28" s="99">
        <f t="shared" si="40"/>
        <v>0</v>
      </c>
      <c r="CY28" s="99"/>
      <c r="CZ28" s="97">
        <f t="shared" si="135"/>
        <v>0</v>
      </c>
      <c r="DA28" s="99"/>
      <c r="DB28" s="99">
        <f t="shared" si="41"/>
        <v>0</v>
      </c>
      <c r="DC28" s="99"/>
      <c r="DD28" s="97">
        <f t="shared" si="135"/>
        <v>0</v>
      </c>
      <c r="DE28" s="99"/>
      <c r="DF28" s="99">
        <f t="shared" si="42"/>
        <v>0</v>
      </c>
      <c r="DG28" s="99"/>
      <c r="DH28" s="97">
        <f t="shared" si="135"/>
        <v>0</v>
      </c>
      <c r="DI28" s="99"/>
      <c r="DJ28" s="99" t="e">
        <f t="shared" ref="DJ28:DJ89" si="139">DI28/DH28*100</f>
        <v>#DIV/0!</v>
      </c>
      <c r="DK28" s="99"/>
      <c r="DL28" s="97">
        <f t="shared" si="135"/>
        <v>0</v>
      </c>
      <c r="DM28" s="99"/>
      <c r="DN28" s="99">
        <f t="shared" si="43"/>
        <v>0</v>
      </c>
      <c r="DO28" s="99"/>
      <c r="DP28" s="97">
        <f t="shared" si="135"/>
        <v>0</v>
      </c>
      <c r="DQ28" s="99"/>
      <c r="DR28" s="99">
        <f t="shared" si="44"/>
        <v>0</v>
      </c>
      <c r="DS28" s="99"/>
      <c r="DT28" s="97">
        <f t="shared" si="135"/>
        <v>0</v>
      </c>
      <c r="DU28" s="99"/>
      <c r="DV28" s="99" t="e">
        <f t="shared" ref="DV28:DV89" si="140">DU28/DT28*100</f>
        <v>#DIV/0!</v>
      </c>
      <c r="DW28" s="99"/>
      <c r="DX28" s="97">
        <f t="shared" ref="DX28:EV45" si="141">ROUND(DW28/12*$A$7,0)</f>
        <v>0</v>
      </c>
      <c r="DY28" s="99"/>
      <c r="DZ28" s="99" t="e">
        <f t="shared" ref="DZ28:DZ89" si="142">DY28/DX28*100</f>
        <v>#DIV/0!</v>
      </c>
      <c r="EA28" s="99"/>
      <c r="EB28" s="97">
        <f t="shared" si="141"/>
        <v>0</v>
      </c>
      <c r="EC28" s="99"/>
      <c r="ED28" s="99">
        <f t="shared" si="45"/>
        <v>0</v>
      </c>
      <c r="EE28" s="99"/>
      <c r="EF28" s="97">
        <f t="shared" si="141"/>
        <v>0</v>
      </c>
      <c r="EG28" s="99"/>
      <c r="EH28" s="99">
        <f t="shared" si="46"/>
        <v>0</v>
      </c>
      <c r="EI28" s="99"/>
      <c r="EJ28" s="97">
        <f t="shared" si="141"/>
        <v>0</v>
      </c>
      <c r="EK28" s="99"/>
      <c r="EL28" s="99">
        <f t="shared" si="47"/>
        <v>0</v>
      </c>
      <c r="EM28" s="99"/>
      <c r="EN28" s="97">
        <f t="shared" si="141"/>
        <v>0</v>
      </c>
      <c r="EO28" s="99"/>
      <c r="EP28" s="99">
        <f t="shared" si="48"/>
        <v>0</v>
      </c>
      <c r="EQ28" s="99"/>
      <c r="ER28" s="97">
        <f t="shared" si="141"/>
        <v>0</v>
      </c>
      <c r="ES28" s="99"/>
      <c r="ET28" s="99">
        <f t="shared" si="49"/>
        <v>0</v>
      </c>
      <c r="EU28" s="99"/>
      <c r="EV28" s="97">
        <f t="shared" si="141"/>
        <v>0</v>
      </c>
      <c r="EW28" s="99"/>
      <c r="EX28" s="99">
        <f t="shared" si="50"/>
        <v>0</v>
      </c>
      <c r="EY28" s="152">
        <f t="shared" si="51"/>
        <v>0</v>
      </c>
      <c r="EZ28" s="152">
        <f t="shared" si="17"/>
        <v>0</v>
      </c>
      <c r="FA28" s="152">
        <f t="shared" si="17"/>
        <v>0</v>
      </c>
      <c r="FB28" s="152">
        <f t="shared" si="52"/>
        <v>0</v>
      </c>
    </row>
    <row r="29" spans="1:160" s="153" customFormat="1" ht="31.5" x14ac:dyDescent="0.2">
      <c r="A29" s="154" t="s">
        <v>139</v>
      </c>
      <c r="B29" s="155" t="s">
        <v>3</v>
      </c>
      <c r="C29" s="156"/>
      <c r="D29" s="97">
        <f t="shared" si="136"/>
        <v>0</v>
      </c>
      <c r="E29" s="157"/>
      <c r="F29" s="99" t="e">
        <f t="shared" si="3"/>
        <v>#DIV/0!</v>
      </c>
      <c r="G29" s="99"/>
      <c r="H29" s="97">
        <f t="shared" si="137"/>
        <v>0</v>
      </c>
      <c r="I29" s="99"/>
      <c r="J29" s="99">
        <f t="shared" si="18"/>
        <v>0</v>
      </c>
      <c r="K29" s="99"/>
      <c r="L29" s="97">
        <f t="shared" si="137"/>
        <v>0</v>
      </c>
      <c r="M29" s="99"/>
      <c r="N29" s="99" t="e">
        <f t="shared" si="138"/>
        <v>#DIV/0!</v>
      </c>
      <c r="O29" s="99"/>
      <c r="P29" s="97">
        <f t="shared" si="137"/>
        <v>0</v>
      </c>
      <c r="Q29" s="99"/>
      <c r="R29" s="99">
        <f t="shared" si="19"/>
        <v>0</v>
      </c>
      <c r="S29" s="99"/>
      <c r="T29" s="97">
        <f t="shared" si="137"/>
        <v>0</v>
      </c>
      <c r="U29" s="99"/>
      <c r="V29" s="99">
        <f t="shared" si="20"/>
        <v>0</v>
      </c>
      <c r="W29" s="99"/>
      <c r="X29" s="97">
        <f t="shared" si="137"/>
        <v>0</v>
      </c>
      <c r="Y29" s="99"/>
      <c r="Z29" s="99">
        <f t="shared" si="21"/>
        <v>0</v>
      </c>
      <c r="AA29" s="99"/>
      <c r="AB29" s="97">
        <f t="shared" si="137"/>
        <v>0</v>
      </c>
      <c r="AC29" s="99"/>
      <c r="AD29" s="99">
        <f t="shared" si="22"/>
        <v>0</v>
      </c>
      <c r="AE29" s="99"/>
      <c r="AF29" s="97">
        <f t="shared" si="137"/>
        <v>0</v>
      </c>
      <c r="AG29" s="99"/>
      <c r="AH29" s="99">
        <f t="shared" si="23"/>
        <v>0</v>
      </c>
      <c r="AI29" s="99"/>
      <c r="AJ29" s="97">
        <f t="shared" si="137"/>
        <v>0</v>
      </c>
      <c r="AK29" s="99"/>
      <c r="AL29" s="99">
        <f t="shared" si="24"/>
        <v>0</v>
      </c>
      <c r="AM29" s="99"/>
      <c r="AN29" s="97">
        <f t="shared" si="137"/>
        <v>0</v>
      </c>
      <c r="AO29" s="99"/>
      <c r="AP29" s="99">
        <f t="shared" si="25"/>
        <v>0</v>
      </c>
      <c r="AQ29" s="99"/>
      <c r="AR29" s="97">
        <f t="shared" si="137"/>
        <v>0</v>
      </c>
      <c r="AS29" s="99"/>
      <c r="AT29" s="99">
        <f t="shared" si="26"/>
        <v>0</v>
      </c>
      <c r="AU29" s="99"/>
      <c r="AV29" s="97">
        <f t="shared" si="137"/>
        <v>0</v>
      </c>
      <c r="AW29" s="99"/>
      <c r="AX29" s="99">
        <f t="shared" si="27"/>
        <v>0</v>
      </c>
      <c r="AY29" s="99"/>
      <c r="AZ29" s="97">
        <f t="shared" si="137"/>
        <v>0</v>
      </c>
      <c r="BA29" s="99"/>
      <c r="BB29" s="99">
        <f t="shared" si="28"/>
        <v>0</v>
      </c>
      <c r="BC29" s="99"/>
      <c r="BD29" s="97">
        <f t="shared" si="137"/>
        <v>0</v>
      </c>
      <c r="BE29" s="99"/>
      <c r="BF29" s="99">
        <f t="shared" si="29"/>
        <v>0</v>
      </c>
      <c r="BG29" s="99"/>
      <c r="BH29" s="97">
        <f t="shared" si="137"/>
        <v>0</v>
      </c>
      <c r="BI29" s="99"/>
      <c r="BJ29" s="99">
        <f t="shared" si="30"/>
        <v>0</v>
      </c>
      <c r="BK29" s="99"/>
      <c r="BL29" s="97">
        <f t="shared" si="137"/>
        <v>0</v>
      </c>
      <c r="BM29" s="99"/>
      <c r="BN29" s="99">
        <f t="shared" si="31"/>
        <v>0</v>
      </c>
      <c r="BO29" s="99"/>
      <c r="BP29" s="97">
        <f t="shared" si="137"/>
        <v>0</v>
      </c>
      <c r="BQ29" s="99"/>
      <c r="BR29" s="99">
        <f t="shared" si="32"/>
        <v>0</v>
      </c>
      <c r="BS29" s="99"/>
      <c r="BT29" s="97">
        <f t="shared" si="135"/>
        <v>0</v>
      </c>
      <c r="BU29" s="99"/>
      <c r="BV29" s="99">
        <f t="shared" si="33"/>
        <v>0</v>
      </c>
      <c r="BW29" s="99"/>
      <c r="BX29" s="97">
        <f t="shared" si="135"/>
        <v>0</v>
      </c>
      <c r="BY29" s="99"/>
      <c r="BZ29" s="99">
        <f t="shared" si="34"/>
        <v>0</v>
      </c>
      <c r="CA29" s="99"/>
      <c r="CB29" s="97">
        <f t="shared" si="135"/>
        <v>0</v>
      </c>
      <c r="CC29" s="99"/>
      <c r="CD29" s="99">
        <f t="shared" si="35"/>
        <v>0</v>
      </c>
      <c r="CE29" s="99"/>
      <c r="CF29" s="97">
        <f t="shared" si="135"/>
        <v>0</v>
      </c>
      <c r="CG29" s="99"/>
      <c r="CH29" s="99">
        <f t="shared" si="36"/>
        <v>0</v>
      </c>
      <c r="CI29" s="99"/>
      <c r="CJ29" s="97">
        <f t="shared" si="135"/>
        <v>0</v>
      </c>
      <c r="CK29" s="99"/>
      <c r="CL29" s="99">
        <f t="shared" si="37"/>
        <v>0</v>
      </c>
      <c r="CM29" s="99"/>
      <c r="CN29" s="97">
        <f t="shared" si="135"/>
        <v>0</v>
      </c>
      <c r="CO29" s="99"/>
      <c r="CP29" s="99">
        <f t="shared" si="38"/>
        <v>0</v>
      </c>
      <c r="CQ29" s="99"/>
      <c r="CR29" s="97">
        <f t="shared" si="135"/>
        <v>0</v>
      </c>
      <c r="CS29" s="99"/>
      <c r="CT29" s="99">
        <f t="shared" si="39"/>
        <v>0</v>
      </c>
      <c r="CU29" s="99"/>
      <c r="CV29" s="97">
        <f t="shared" si="135"/>
        <v>0</v>
      </c>
      <c r="CW29" s="99"/>
      <c r="CX29" s="99">
        <f t="shared" si="40"/>
        <v>0</v>
      </c>
      <c r="CY29" s="99"/>
      <c r="CZ29" s="97">
        <f t="shared" si="135"/>
        <v>0</v>
      </c>
      <c r="DA29" s="99"/>
      <c r="DB29" s="99">
        <f t="shared" si="41"/>
        <v>0</v>
      </c>
      <c r="DC29" s="99"/>
      <c r="DD29" s="97">
        <f t="shared" si="135"/>
        <v>0</v>
      </c>
      <c r="DE29" s="99"/>
      <c r="DF29" s="99">
        <f t="shared" si="42"/>
        <v>0</v>
      </c>
      <c r="DG29" s="99"/>
      <c r="DH29" s="97">
        <f t="shared" si="135"/>
        <v>0</v>
      </c>
      <c r="DI29" s="99"/>
      <c r="DJ29" s="99" t="e">
        <f t="shared" si="139"/>
        <v>#DIV/0!</v>
      </c>
      <c r="DK29" s="99"/>
      <c r="DL29" s="97">
        <f t="shared" si="135"/>
        <v>0</v>
      </c>
      <c r="DM29" s="99"/>
      <c r="DN29" s="99">
        <f t="shared" si="43"/>
        <v>0</v>
      </c>
      <c r="DO29" s="99"/>
      <c r="DP29" s="97">
        <f t="shared" si="135"/>
        <v>0</v>
      </c>
      <c r="DQ29" s="99"/>
      <c r="DR29" s="99">
        <f t="shared" si="44"/>
        <v>0</v>
      </c>
      <c r="DS29" s="99"/>
      <c r="DT29" s="97">
        <f t="shared" si="135"/>
        <v>0</v>
      </c>
      <c r="DU29" s="99"/>
      <c r="DV29" s="99" t="e">
        <f t="shared" si="140"/>
        <v>#DIV/0!</v>
      </c>
      <c r="DW29" s="99"/>
      <c r="DX29" s="97">
        <f t="shared" si="141"/>
        <v>0</v>
      </c>
      <c r="DY29" s="99"/>
      <c r="DZ29" s="99" t="e">
        <f t="shared" si="142"/>
        <v>#DIV/0!</v>
      </c>
      <c r="EA29" s="99"/>
      <c r="EB29" s="97">
        <f t="shared" si="141"/>
        <v>0</v>
      </c>
      <c r="EC29" s="99"/>
      <c r="ED29" s="99">
        <f t="shared" si="45"/>
        <v>0</v>
      </c>
      <c r="EE29" s="99">
        <v>13000</v>
      </c>
      <c r="EF29" s="97">
        <f t="shared" si="141"/>
        <v>13000</v>
      </c>
      <c r="EG29" s="99">
        <v>24399</v>
      </c>
      <c r="EH29" s="99">
        <f t="shared" si="46"/>
        <v>187.68461538461537</v>
      </c>
      <c r="EI29" s="99"/>
      <c r="EJ29" s="97">
        <f t="shared" si="141"/>
        <v>0</v>
      </c>
      <c r="EK29" s="99"/>
      <c r="EL29" s="99">
        <f t="shared" si="47"/>
        <v>0</v>
      </c>
      <c r="EM29" s="99"/>
      <c r="EN29" s="97">
        <f t="shared" si="141"/>
        <v>0</v>
      </c>
      <c r="EO29" s="99"/>
      <c r="EP29" s="99">
        <f t="shared" si="48"/>
        <v>0</v>
      </c>
      <c r="EQ29" s="99"/>
      <c r="ER29" s="97">
        <f t="shared" si="141"/>
        <v>0</v>
      </c>
      <c r="ES29" s="99"/>
      <c r="ET29" s="99">
        <f t="shared" si="49"/>
        <v>0</v>
      </c>
      <c r="EU29" s="99"/>
      <c r="EV29" s="97">
        <f t="shared" si="141"/>
        <v>0</v>
      </c>
      <c r="EW29" s="99"/>
      <c r="EX29" s="99">
        <f t="shared" si="50"/>
        <v>0</v>
      </c>
      <c r="EY29" s="152">
        <f t="shared" si="51"/>
        <v>13000</v>
      </c>
      <c r="EZ29" s="152">
        <f t="shared" si="17"/>
        <v>13000</v>
      </c>
      <c r="FA29" s="152">
        <f t="shared" si="17"/>
        <v>24399</v>
      </c>
      <c r="FB29" s="152">
        <f t="shared" si="52"/>
        <v>187.68461538461537</v>
      </c>
    </row>
    <row r="30" spans="1:160" s="153" customFormat="1" ht="31.5" x14ac:dyDescent="0.2">
      <c r="A30" s="154" t="s">
        <v>140</v>
      </c>
      <c r="B30" s="155" t="s">
        <v>3</v>
      </c>
      <c r="C30" s="156"/>
      <c r="D30" s="97">
        <f t="shared" si="136"/>
        <v>0</v>
      </c>
      <c r="E30" s="157"/>
      <c r="F30" s="99" t="e">
        <f t="shared" si="3"/>
        <v>#DIV/0!</v>
      </c>
      <c r="G30" s="99"/>
      <c r="H30" s="97">
        <f t="shared" si="137"/>
        <v>0</v>
      </c>
      <c r="I30" s="99"/>
      <c r="J30" s="99">
        <f t="shared" si="18"/>
        <v>0</v>
      </c>
      <c r="K30" s="99"/>
      <c r="L30" s="97">
        <f t="shared" si="137"/>
        <v>0</v>
      </c>
      <c r="M30" s="99"/>
      <c r="N30" s="99" t="e">
        <f t="shared" si="138"/>
        <v>#DIV/0!</v>
      </c>
      <c r="O30" s="99"/>
      <c r="P30" s="97">
        <f t="shared" si="137"/>
        <v>0</v>
      </c>
      <c r="Q30" s="99"/>
      <c r="R30" s="99">
        <f t="shared" si="19"/>
        <v>0</v>
      </c>
      <c r="S30" s="99"/>
      <c r="T30" s="97">
        <f t="shared" si="137"/>
        <v>0</v>
      </c>
      <c r="U30" s="99"/>
      <c r="V30" s="99">
        <f t="shared" si="20"/>
        <v>0</v>
      </c>
      <c r="W30" s="99"/>
      <c r="X30" s="97">
        <f t="shared" si="137"/>
        <v>0</v>
      </c>
      <c r="Y30" s="99"/>
      <c r="Z30" s="99">
        <f t="shared" si="21"/>
        <v>0</v>
      </c>
      <c r="AA30" s="99"/>
      <c r="AB30" s="97">
        <f t="shared" si="137"/>
        <v>0</v>
      </c>
      <c r="AC30" s="99"/>
      <c r="AD30" s="99">
        <f t="shared" si="22"/>
        <v>0</v>
      </c>
      <c r="AE30" s="99"/>
      <c r="AF30" s="97">
        <f t="shared" si="137"/>
        <v>0</v>
      </c>
      <c r="AG30" s="99"/>
      <c r="AH30" s="99">
        <f t="shared" si="23"/>
        <v>0</v>
      </c>
      <c r="AI30" s="99"/>
      <c r="AJ30" s="97">
        <f t="shared" si="137"/>
        <v>0</v>
      </c>
      <c r="AK30" s="99"/>
      <c r="AL30" s="99">
        <f t="shared" si="24"/>
        <v>0</v>
      </c>
      <c r="AM30" s="99"/>
      <c r="AN30" s="97">
        <f t="shared" si="137"/>
        <v>0</v>
      </c>
      <c r="AO30" s="99"/>
      <c r="AP30" s="99">
        <f t="shared" si="25"/>
        <v>0</v>
      </c>
      <c r="AQ30" s="99"/>
      <c r="AR30" s="97">
        <f t="shared" si="137"/>
        <v>0</v>
      </c>
      <c r="AS30" s="99"/>
      <c r="AT30" s="99">
        <f t="shared" si="26"/>
        <v>0</v>
      </c>
      <c r="AU30" s="99"/>
      <c r="AV30" s="97">
        <f t="shared" si="137"/>
        <v>0</v>
      </c>
      <c r="AW30" s="99"/>
      <c r="AX30" s="99">
        <f t="shared" si="27"/>
        <v>0</v>
      </c>
      <c r="AY30" s="99"/>
      <c r="AZ30" s="97">
        <f t="shared" si="137"/>
        <v>0</v>
      </c>
      <c r="BA30" s="99"/>
      <c r="BB30" s="99">
        <f t="shared" si="28"/>
        <v>0</v>
      </c>
      <c r="BC30" s="99"/>
      <c r="BD30" s="97">
        <f t="shared" si="137"/>
        <v>0</v>
      </c>
      <c r="BE30" s="99"/>
      <c r="BF30" s="99">
        <f t="shared" si="29"/>
        <v>0</v>
      </c>
      <c r="BG30" s="99"/>
      <c r="BH30" s="97">
        <f t="shared" si="137"/>
        <v>0</v>
      </c>
      <c r="BI30" s="99"/>
      <c r="BJ30" s="99">
        <f t="shared" si="30"/>
        <v>0</v>
      </c>
      <c r="BK30" s="99"/>
      <c r="BL30" s="97">
        <f t="shared" si="137"/>
        <v>0</v>
      </c>
      <c r="BM30" s="99"/>
      <c r="BN30" s="99">
        <f t="shared" si="31"/>
        <v>0</v>
      </c>
      <c r="BO30" s="99"/>
      <c r="BP30" s="97">
        <f t="shared" si="137"/>
        <v>0</v>
      </c>
      <c r="BQ30" s="99"/>
      <c r="BR30" s="99">
        <f t="shared" si="32"/>
        <v>0</v>
      </c>
      <c r="BS30" s="99"/>
      <c r="BT30" s="97">
        <f t="shared" si="135"/>
        <v>0</v>
      </c>
      <c r="BU30" s="99"/>
      <c r="BV30" s="99">
        <f t="shared" si="33"/>
        <v>0</v>
      </c>
      <c r="BW30" s="99"/>
      <c r="BX30" s="97">
        <f t="shared" si="135"/>
        <v>0</v>
      </c>
      <c r="BY30" s="99"/>
      <c r="BZ30" s="99">
        <f t="shared" si="34"/>
        <v>0</v>
      </c>
      <c r="CA30" s="99"/>
      <c r="CB30" s="97">
        <f t="shared" si="135"/>
        <v>0</v>
      </c>
      <c r="CC30" s="99"/>
      <c r="CD30" s="99">
        <f t="shared" si="35"/>
        <v>0</v>
      </c>
      <c r="CE30" s="99"/>
      <c r="CF30" s="97">
        <f t="shared" si="135"/>
        <v>0</v>
      </c>
      <c r="CG30" s="99"/>
      <c r="CH30" s="99">
        <f t="shared" si="36"/>
        <v>0</v>
      </c>
      <c r="CI30" s="99"/>
      <c r="CJ30" s="97">
        <f t="shared" si="135"/>
        <v>0</v>
      </c>
      <c r="CK30" s="99"/>
      <c r="CL30" s="99">
        <f t="shared" si="37"/>
        <v>0</v>
      </c>
      <c r="CM30" s="99"/>
      <c r="CN30" s="97">
        <f t="shared" si="135"/>
        <v>0</v>
      </c>
      <c r="CO30" s="99"/>
      <c r="CP30" s="99">
        <f t="shared" si="38"/>
        <v>0</v>
      </c>
      <c r="CQ30" s="99"/>
      <c r="CR30" s="97">
        <f t="shared" si="135"/>
        <v>0</v>
      </c>
      <c r="CS30" s="99"/>
      <c r="CT30" s="99">
        <f t="shared" si="39"/>
        <v>0</v>
      </c>
      <c r="CU30" s="99"/>
      <c r="CV30" s="97">
        <f t="shared" si="135"/>
        <v>0</v>
      </c>
      <c r="CW30" s="99"/>
      <c r="CX30" s="99">
        <f t="shared" si="40"/>
        <v>0</v>
      </c>
      <c r="CY30" s="99"/>
      <c r="CZ30" s="97">
        <f t="shared" si="135"/>
        <v>0</v>
      </c>
      <c r="DA30" s="99"/>
      <c r="DB30" s="99">
        <f t="shared" si="41"/>
        <v>0</v>
      </c>
      <c r="DC30" s="99"/>
      <c r="DD30" s="97">
        <f t="shared" si="135"/>
        <v>0</v>
      </c>
      <c r="DE30" s="99"/>
      <c r="DF30" s="99">
        <f t="shared" si="42"/>
        <v>0</v>
      </c>
      <c r="DG30" s="99"/>
      <c r="DH30" s="97">
        <f t="shared" si="135"/>
        <v>0</v>
      </c>
      <c r="DI30" s="99"/>
      <c r="DJ30" s="99" t="e">
        <f t="shared" si="139"/>
        <v>#DIV/0!</v>
      </c>
      <c r="DK30" s="99"/>
      <c r="DL30" s="97">
        <f t="shared" si="135"/>
        <v>0</v>
      </c>
      <c r="DM30" s="99"/>
      <c r="DN30" s="99">
        <f t="shared" si="43"/>
        <v>0</v>
      </c>
      <c r="DO30" s="99"/>
      <c r="DP30" s="97">
        <f t="shared" si="135"/>
        <v>0</v>
      </c>
      <c r="DQ30" s="99"/>
      <c r="DR30" s="99">
        <f t="shared" si="44"/>
        <v>0</v>
      </c>
      <c r="DS30" s="99"/>
      <c r="DT30" s="97">
        <f t="shared" si="135"/>
        <v>0</v>
      </c>
      <c r="DU30" s="99"/>
      <c r="DV30" s="99" t="e">
        <f t="shared" si="140"/>
        <v>#DIV/0!</v>
      </c>
      <c r="DW30" s="99"/>
      <c r="DX30" s="97">
        <f t="shared" si="141"/>
        <v>0</v>
      </c>
      <c r="DY30" s="99"/>
      <c r="DZ30" s="99" t="e">
        <f t="shared" si="142"/>
        <v>#DIV/0!</v>
      </c>
      <c r="EA30" s="99"/>
      <c r="EB30" s="97">
        <f t="shared" si="141"/>
        <v>0</v>
      </c>
      <c r="EC30" s="99"/>
      <c r="ED30" s="99">
        <f t="shared" si="45"/>
        <v>0</v>
      </c>
      <c r="EE30" s="99"/>
      <c r="EF30" s="97">
        <f t="shared" si="141"/>
        <v>0</v>
      </c>
      <c r="EG30" s="99"/>
      <c r="EH30" s="99">
        <f t="shared" si="46"/>
        <v>0</v>
      </c>
      <c r="EI30" s="99"/>
      <c r="EJ30" s="97">
        <f t="shared" si="141"/>
        <v>0</v>
      </c>
      <c r="EK30" s="99"/>
      <c r="EL30" s="99">
        <f t="shared" si="47"/>
        <v>0</v>
      </c>
      <c r="EM30" s="99"/>
      <c r="EN30" s="97">
        <f t="shared" si="141"/>
        <v>0</v>
      </c>
      <c r="EO30" s="99"/>
      <c r="EP30" s="99">
        <f t="shared" si="48"/>
        <v>0</v>
      </c>
      <c r="EQ30" s="99"/>
      <c r="ER30" s="97">
        <f t="shared" si="141"/>
        <v>0</v>
      </c>
      <c r="ES30" s="99"/>
      <c r="ET30" s="99">
        <f t="shared" si="49"/>
        <v>0</v>
      </c>
      <c r="EU30" s="99"/>
      <c r="EV30" s="97">
        <f t="shared" si="141"/>
        <v>0</v>
      </c>
      <c r="EW30" s="99"/>
      <c r="EX30" s="99">
        <f t="shared" si="50"/>
        <v>0</v>
      </c>
      <c r="EY30" s="152">
        <f t="shared" si="51"/>
        <v>0</v>
      </c>
      <c r="EZ30" s="152">
        <f t="shared" si="17"/>
        <v>0</v>
      </c>
      <c r="FA30" s="152">
        <f t="shared" si="17"/>
        <v>0</v>
      </c>
      <c r="FB30" s="152">
        <f t="shared" si="52"/>
        <v>0</v>
      </c>
    </row>
    <row r="31" spans="1:160" ht="31.5" x14ac:dyDescent="0.2">
      <c r="A31" s="165" t="s">
        <v>141</v>
      </c>
      <c r="B31" s="160" t="s">
        <v>3</v>
      </c>
      <c r="C31" s="161">
        <f t="shared" ref="C31" si="143">C33+C41*2+C43+C48</f>
        <v>0</v>
      </c>
      <c r="D31" s="162">
        <f t="shared" si="136"/>
        <v>0</v>
      </c>
      <c r="E31" s="161">
        <f t="shared" ref="E31" si="144">E33+E41*2+E43+E48</f>
        <v>0</v>
      </c>
      <c r="F31" s="163" t="e">
        <f t="shared" si="3"/>
        <v>#DIV/0!</v>
      </c>
      <c r="G31" s="163">
        <f t="shared" ref="G31:BO31" si="145">G33+G41*2+G43+G48</f>
        <v>21323</v>
      </c>
      <c r="H31" s="163">
        <f t="shared" si="145"/>
        <v>21323</v>
      </c>
      <c r="I31" s="163">
        <f>I33+I41*2+I43+I48+I42</f>
        <v>20649</v>
      </c>
      <c r="J31" s="163">
        <f t="shared" si="18"/>
        <v>96.839093936125309</v>
      </c>
      <c r="K31" s="163">
        <f t="shared" si="145"/>
        <v>0</v>
      </c>
      <c r="L31" s="162">
        <f t="shared" si="137"/>
        <v>0</v>
      </c>
      <c r="M31" s="163">
        <f t="shared" ref="M31" si="146">M33+M41*2+M43+M48</f>
        <v>0</v>
      </c>
      <c r="N31" s="163" t="e">
        <f t="shared" si="138"/>
        <v>#DIV/0!</v>
      </c>
      <c r="O31" s="163">
        <f t="shared" si="145"/>
        <v>22594</v>
      </c>
      <c r="P31" s="163">
        <f t="shared" si="145"/>
        <v>22594</v>
      </c>
      <c r="Q31" s="163">
        <f>Q33+Q41*2+Q43+Q48+Q42</f>
        <v>22512</v>
      </c>
      <c r="R31" s="163">
        <f t="shared" si="19"/>
        <v>99.637071788970516</v>
      </c>
      <c r="S31" s="163">
        <f t="shared" si="145"/>
        <v>13350</v>
      </c>
      <c r="T31" s="163">
        <f t="shared" si="145"/>
        <v>13350</v>
      </c>
      <c r="U31" s="163">
        <f>U33+U41*2+U43+U48+U42</f>
        <v>12260</v>
      </c>
      <c r="V31" s="163">
        <f t="shared" si="20"/>
        <v>91.835205992509358</v>
      </c>
      <c r="W31" s="163">
        <f t="shared" si="145"/>
        <v>21138</v>
      </c>
      <c r="X31" s="163">
        <f t="shared" si="145"/>
        <v>21138</v>
      </c>
      <c r="Y31" s="163">
        <f>Y33+Y41*2+Y43+Y48+Y42</f>
        <v>19161</v>
      </c>
      <c r="Z31" s="163">
        <f t="shared" si="21"/>
        <v>90.647175702526255</v>
      </c>
      <c r="AA31" s="163">
        <f t="shared" si="145"/>
        <v>8668</v>
      </c>
      <c r="AB31" s="163">
        <f t="shared" si="145"/>
        <v>8668</v>
      </c>
      <c r="AC31" s="163">
        <f>AC33+AC41*2+AC43+AC48+AC42</f>
        <v>9375</v>
      </c>
      <c r="AD31" s="163">
        <f t="shared" si="22"/>
        <v>108.15643747115828</v>
      </c>
      <c r="AE31" s="163">
        <f t="shared" si="145"/>
        <v>6662.9524999999994</v>
      </c>
      <c r="AF31" s="163">
        <f t="shared" si="145"/>
        <v>6662.9524999999994</v>
      </c>
      <c r="AG31" s="163">
        <f>AG33+AG41*2+AG43+AG48+AG42</f>
        <v>6551</v>
      </c>
      <c r="AH31" s="163">
        <f t="shared" si="23"/>
        <v>98.319776405429877</v>
      </c>
      <c r="AI31" s="163">
        <f t="shared" si="145"/>
        <v>36155</v>
      </c>
      <c r="AJ31" s="163">
        <f t="shared" si="145"/>
        <v>36155</v>
      </c>
      <c r="AK31" s="163">
        <f>AK33+AK41*2+AK43+AK48+AK42</f>
        <v>31734</v>
      </c>
      <c r="AL31" s="163">
        <f t="shared" si="24"/>
        <v>87.772092380030415</v>
      </c>
      <c r="AM31" s="163">
        <f t="shared" si="145"/>
        <v>6672</v>
      </c>
      <c r="AN31" s="163">
        <f t="shared" si="145"/>
        <v>6672</v>
      </c>
      <c r="AO31" s="163">
        <f>AO33+AO41*2+AO43+AO48+AO42</f>
        <v>5983</v>
      </c>
      <c r="AP31" s="163">
        <f t="shared" si="25"/>
        <v>89.673261390887291</v>
      </c>
      <c r="AQ31" s="163">
        <f t="shared" si="145"/>
        <v>14189</v>
      </c>
      <c r="AR31" s="163">
        <f t="shared" si="145"/>
        <v>14189</v>
      </c>
      <c r="AS31" s="163">
        <f>AS33+AS41*2+AS43+AS48+AS42</f>
        <v>13056</v>
      </c>
      <c r="AT31" s="163">
        <f t="shared" si="26"/>
        <v>92.014941151596304</v>
      </c>
      <c r="AU31" s="163">
        <f t="shared" si="145"/>
        <v>1513</v>
      </c>
      <c r="AV31" s="163">
        <f t="shared" si="145"/>
        <v>1513</v>
      </c>
      <c r="AW31" s="163">
        <f>AW33+AW41+AW43+AW48</f>
        <v>1514</v>
      </c>
      <c r="AX31" s="163">
        <f t="shared" si="27"/>
        <v>100.06609385327165</v>
      </c>
      <c r="AY31" s="163">
        <f t="shared" si="145"/>
        <v>1452</v>
      </c>
      <c r="AZ31" s="163">
        <f t="shared" si="145"/>
        <v>1452</v>
      </c>
      <c r="BA31" s="163">
        <f>BA33+BA41+BA43+BA48</f>
        <v>1467</v>
      </c>
      <c r="BB31" s="163">
        <f t="shared" si="28"/>
        <v>101.03305785123966</v>
      </c>
      <c r="BC31" s="163">
        <f t="shared" si="145"/>
        <v>767</v>
      </c>
      <c r="BD31" s="163">
        <f t="shared" si="145"/>
        <v>767</v>
      </c>
      <c r="BE31" s="163">
        <f>BE33+BE41+BE43+BE48</f>
        <v>746</v>
      </c>
      <c r="BF31" s="163">
        <f t="shared" si="29"/>
        <v>97.26205997392438</v>
      </c>
      <c r="BG31" s="163">
        <f t="shared" si="145"/>
        <v>1705</v>
      </c>
      <c r="BH31" s="163">
        <f>BH33+BH41*2+BH43+BH48</f>
        <v>1705</v>
      </c>
      <c r="BI31" s="163">
        <f>BI33+BI41+BI43+BI48</f>
        <v>1696</v>
      </c>
      <c r="BJ31" s="163">
        <f t="shared" si="30"/>
        <v>99.47214076246334</v>
      </c>
      <c r="BK31" s="163">
        <f t="shared" si="145"/>
        <v>0</v>
      </c>
      <c r="BL31" s="162">
        <f t="shared" si="137"/>
        <v>0</v>
      </c>
      <c r="BM31" s="163">
        <f>BM33+BM41+BM43+BM48</f>
        <v>0</v>
      </c>
      <c r="BN31" s="163">
        <f t="shared" si="31"/>
        <v>0</v>
      </c>
      <c r="BO31" s="163">
        <f t="shared" si="145"/>
        <v>0</v>
      </c>
      <c r="BP31" s="162">
        <f t="shared" si="137"/>
        <v>0</v>
      </c>
      <c r="BQ31" s="163">
        <f>BQ33+BQ41+BQ43+BQ48</f>
        <v>0</v>
      </c>
      <c r="BR31" s="163">
        <f t="shared" si="32"/>
        <v>0</v>
      </c>
      <c r="BS31" s="163">
        <f t="shared" ref="BS31:DW31" si="147">BS33+BS41*2+BS43+BS48</f>
        <v>0</v>
      </c>
      <c r="BT31" s="162">
        <f t="shared" si="135"/>
        <v>0</v>
      </c>
      <c r="BU31" s="163">
        <f>BU33+BU41+BU43+BU48</f>
        <v>0</v>
      </c>
      <c r="BV31" s="163">
        <f t="shared" si="33"/>
        <v>0</v>
      </c>
      <c r="BW31" s="163">
        <f t="shared" si="147"/>
        <v>0</v>
      </c>
      <c r="BX31" s="162">
        <f t="shared" si="135"/>
        <v>0</v>
      </c>
      <c r="BY31" s="163">
        <f>BY33+BY41+BY43+BY48</f>
        <v>0</v>
      </c>
      <c r="BZ31" s="163">
        <f t="shared" si="34"/>
        <v>0</v>
      </c>
      <c r="CA31" s="163">
        <f t="shared" si="147"/>
        <v>0</v>
      </c>
      <c r="CB31" s="162">
        <f t="shared" si="135"/>
        <v>0</v>
      </c>
      <c r="CC31" s="163">
        <f>CC33+CC41+CC43+CC48</f>
        <v>0</v>
      </c>
      <c r="CD31" s="163">
        <f t="shared" si="35"/>
        <v>0</v>
      </c>
      <c r="CE31" s="163">
        <f t="shared" si="147"/>
        <v>0</v>
      </c>
      <c r="CF31" s="162">
        <f t="shared" si="135"/>
        <v>0</v>
      </c>
      <c r="CG31" s="163">
        <f>CG33+CG41+CG43+CG48</f>
        <v>0</v>
      </c>
      <c r="CH31" s="163">
        <f t="shared" si="36"/>
        <v>0</v>
      </c>
      <c r="CI31" s="163">
        <f t="shared" si="147"/>
        <v>0</v>
      </c>
      <c r="CJ31" s="162">
        <f t="shared" si="135"/>
        <v>0</v>
      </c>
      <c r="CK31" s="163">
        <f>CK33+CK41+CK43+CK48</f>
        <v>0</v>
      </c>
      <c r="CL31" s="163">
        <f t="shared" si="37"/>
        <v>0</v>
      </c>
      <c r="CM31" s="163">
        <f t="shared" si="147"/>
        <v>0</v>
      </c>
      <c r="CN31" s="162">
        <f t="shared" si="135"/>
        <v>0</v>
      </c>
      <c r="CO31" s="163">
        <f>CO33+CO41+CO43+CO48</f>
        <v>0</v>
      </c>
      <c r="CP31" s="163">
        <f t="shared" si="38"/>
        <v>0</v>
      </c>
      <c r="CQ31" s="163">
        <f t="shared" si="147"/>
        <v>0</v>
      </c>
      <c r="CR31" s="162">
        <f t="shared" si="135"/>
        <v>0</v>
      </c>
      <c r="CS31" s="163">
        <f>CS33+CS41+CS43+CS48</f>
        <v>0</v>
      </c>
      <c r="CT31" s="163">
        <f t="shared" si="39"/>
        <v>0</v>
      </c>
      <c r="CU31" s="163">
        <f t="shared" si="147"/>
        <v>0</v>
      </c>
      <c r="CV31" s="162">
        <f t="shared" si="135"/>
        <v>0</v>
      </c>
      <c r="CW31" s="163">
        <f>CW33+CW41+CW43+CW48</f>
        <v>0</v>
      </c>
      <c r="CX31" s="163">
        <f t="shared" si="40"/>
        <v>0</v>
      </c>
      <c r="CY31" s="163">
        <f t="shared" si="147"/>
        <v>533</v>
      </c>
      <c r="CZ31" s="163">
        <f t="shared" si="147"/>
        <v>533</v>
      </c>
      <c r="DA31" s="163">
        <f>DA33+DA41*2+DA43+DA48+DA42</f>
        <v>531</v>
      </c>
      <c r="DB31" s="163">
        <f t="shared" si="41"/>
        <v>99.62476547842401</v>
      </c>
      <c r="DC31" s="163">
        <f t="shared" si="147"/>
        <v>0</v>
      </c>
      <c r="DD31" s="162">
        <f t="shared" si="135"/>
        <v>0</v>
      </c>
      <c r="DE31" s="163">
        <f>DE33+DE41+DE43+DE48</f>
        <v>0</v>
      </c>
      <c r="DF31" s="163">
        <f t="shared" si="42"/>
        <v>0</v>
      </c>
      <c r="DG31" s="163">
        <f t="shared" si="147"/>
        <v>0</v>
      </c>
      <c r="DH31" s="162">
        <f t="shared" si="135"/>
        <v>0</v>
      </c>
      <c r="DI31" s="163">
        <f t="shared" ref="DI31:DY31" si="148">DI33+DI41*2+DI43+DI48</f>
        <v>0</v>
      </c>
      <c r="DJ31" s="163" t="e">
        <f t="shared" si="139"/>
        <v>#DIV/0!</v>
      </c>
      <c r="DK31" s="163">
        <f t="shared" si="147"/>
        <v>960</v>
      </c>
      <c r="DL31" s="163">
        <f t="shared" si="147"/>
        <v>960</v>
      </c>
      <c r="DM31" s="163">
        <f>DM33+DM41+DM43+DM48</f>
        <v>949</v>
      </c>
      <c r="DN31" s="163">
        <f t="shared" si="43"/>
        <v>98.854166666666671</v>
      </c>
      <c r="DO31" s="163">
        <f t="shared" si="147"/>
        <v>3272</v>
      </c>
      <c r="DP31" s="163">
        <f t="shared" si="147"/>
        <v>3272</v>
      </c>
      <c r="DQ31" s="163">
        <f>DQ33+DQ41+DQ43+DQ48</f>
        <v>3272</v>
      </c>
      <c r="DR31" s="163">
        <f t="shared" si="44"/>
        <v>100</v>
      </c>
      <c r="DS31" s="163">
        <f t="shared" si="147"/>
        <v>0</v>
      </c>
      <c r="DT31" s="162">
        <f t="shared" si="135"/>
        <v>0</v>
      </c>
      <c r="DU31" s="163">
        <f t="shared" si="148"/>
        <v>0</v>
      </c>
      <c r="DV31" s="163" t="e">
        <f t="shared" si="140"/>
        <v>#DIV/0!</v>
      </c>
      <c r="DW31" s="163">
        <f t="shared" si="147"/>
        <v>0</v>
      </c>
      <c r="DX31" s="162">
        <f t="shared" si="141"/>
        <v>0</v>
      </c>
      <c r="DY31" s="163">
        <f t="shared" si="148"/>
        <v>0</v>
      </c>
      <c r="DZ31" s="163" t="e">
        <f t="shared" si="142"/>
        <v>#DIV/0!</v>
      </c>
      <c r="EA31" s="163">
        <f t="shared" ref="EA31:EU31" si="149">EA33+EA41*2+EA43+EA48</f>
        <v>275</v>
      </c>
      <c r="EB31" s="163">
        <f t="shared" si="149"/>
        <v>275</v>
      </c>
      <c r="EC31" s="163">
        <f>EC33+EC41*2+EC43+EC48+EC42</f>
        <v>92</v>
      </c>
      <c r="ED31" s="163">
        <f t="shared" si="45"/>
        <v>33.454545454545453</v>
      </c>
      <c r="EE31" s="163">
        <f t="shared" si="149"/>
        <v>5086</v>
      </c>
      <c r="EF31" s="163">
        <f t="shared" si="149"/>
        <v>5086</v>
      </c>
      <c r="EG31" s="163">
        <f>EG33+EG41*2+EG43+EG48+EG42</f>
        <v>5712</v>
      </c>
      <c r="EH31" s="163">
        <f t="shared" si="46"/>
        <v>112.30829728666929</v>
      </c>
      <c r="EI31" s="163">
        <f t="shared" si="149"/>
        <v>440</v>
      </c>
      <c r="EJ31" s="163">
        <f t="shared" si="149"/>
        <v>440</v>
      </c>
      <c r="EK31" s="163">
        <f>EK33+EK41*2+EK43+EK48+EK42</f>
        <v>322</v>
      </c>
      <c r="EL31" s="163">
        <f t="shared" si="47"/>
        <v>73.181818181818187</v>
      </c>
      <c r="EM31" s="163">
        <f t="shared" si="149"/>
        <v>875</v>
      </c>
      <c r="EN31" s="163">
        <f t="shared" si="149"/>
        <v>875</v>
      </c>
      <c r="EO31" s="163">
        <f>EO33+EO41*2+EO43+EO48+EO42</f>
        <v>333</v>
      </c>
      <c r="EP31" s="163">
        <f t="shared" si="48"/>
        <v>38.057142857142857</v>
      </c>
      <c r="EQ31" s="163">
        <f t="shared" si="149"/>
        <v>0</v>
      </c>
      <c r="ER31" s="162">
        <f t="shared" si="141"/>
        <v>0</v>
      </c>
      <c r="ES31" s="163">
        <f>ES33+ES41+ES43+ES48</f>
        <v>0</v>
      </c>
      <c r="ET31" s="163">
        <f t="shared" si="49"/>
        <v>0</v>
      </c>
      <c r="EU31" s="163">
        <f t="shared" si="149"/>
        <v>0</v>
      </c>
      <c r="EV31" s="162">
        <f t="shared" si="141"/>
        <v>0</v>
      </c>
      <c r="EW31" s="163">
        <f>EW33+EW41+EW43+EW48</f>
        <v>0</v>
      </c>
      <c r="EX31" s="163">
        <f t="shared" si="50"/>
        <v>0</v>
      </c>
      <c r="EY31" s="152">
        <f t="shared" si="51"/>
        <v>167629.95250000001</v>
      </c>
      <c r="EZ31" s="152">
        <f t="shared" si="17"/>
        <v>167629.95250000001</v>
      </c>
      <c r="FA31" s="152">
        <f t="shared" si="17"/>
        <v>157915</v>
      </c>
      <c r="FB31" s="152">
        <f t="shared" si="52"/>
        <v>94.204524695549253</v>
      </c>
    </row>
    <row r="32" spans="1:160" ht="15.75" x14ac:dyDescent="0.2">
      <c r="A32" s="154" t="s">
        <v>132</v>
      </c>
      <c r="B32" s="166"/>
      <c r="C32" s="167"/>
      <c r="D32" s="97">
        <f t="shared" si="136"/>
        <v>0</v>
      </c>
      <c r="E32" s="168"/>
      <c r="F32" s="99" t="e">
        <f t="shared" si="3"/>
        <v>#DIV/0!</v>
      </c>
      <c r="G32" s="212"/>
      <c r="H32" s="97">
        <f t="shared" si="137"/>
        <v>0</v>
      </c>
      <c r="I32" s="212"/>
      <c r="J32" s="99">
        <f t="shared" si="18"/>
        <v>0</v>
      </c>
      <c r="K32" s="212"/>
      <c r="L32" s="97">
        <f t="shared" si="137"/>
        <v>0</v>
      </c>
      <c r="M32" s="212"/>
      <c r="N32" s="99" t="e">
        <f t="shared" si="138"/>
        <v>#DIV/0!</v>
      </c>
      <c r="O32" s="212"/>
      <c r="P32" s="97">
        <f t="shared" si="137"/>
        <v>0</v>
      </c>
      <c r="Q32" s="212"/>
      <c r="R32" s="99">
        <f t="shared" si="19"/>
        <v>0</v>
      </c>
      <c r="S32" s="212"/>
      <c r="T32" s="97">
        <f t="shared" si="137"/>
        <v>0</v>
      </c>
      <c r="U32" s="212"/>
      <c r="V32" s="99">
        <f t="shared" si="20"/>
        <v>0</v>
      </c>
      <c r="W32" s="212"/>
      <c r="X32" s="97">
        <f t="shared" si="137"/>
        <v>0</v>
      </c>
      <c r="Y32" s="212"/>
      <c r="Z32" s="99">
        <f t="shared" si="21"/>
        <v>0</v>
      </c>
      <c r="AA32" s="212"/>
      <c r="AB32" s="97"/>
      <c r="AC32" s="212"/>
      <c r="AD32" s="99">
        <f t="shared" si="22"/>
        <v>0</v>
      </c>
      <c r="AE32" s="212"/>
      <c r="AF32" s="97">
        <f t="shared" si="137"/>
        <v>0</v>
      </c>
      <c r="AG32" s="212"/>
      <c r="AH32" s="99">
        <f t="shared" si="23"/>
        <v>0</v>
      </c>
      <c r="AI32" s="212"/>
      <c r="AJ32" s="212"/>
      <c r="AK32" s="212"/>
      <c r="AL32" s="99">
        <f t="shared" si="24"/>
        <v>0</v>
      </c>
      <c r="AM32" s="212"/>
      <c r="AN32" s="97">
        <f t="shared" si="137"/>
        <v>0</v>
      </c>
      <c r="AO32" s="212"/>
      <c r="AP32" s="99">
        <f t="shared" si="25"/>
        <v>0</v>
      </c>
      <c r="AQ32" s="212"/>
      <c r="AR32" s="97">
        <f t="shared" si="137"/>
        <v>0</v>
      </c>
      <c r="AS32" s="212"/>
      <c r="AT32" s="99">
        <f t="shared" si="26"/>
        <v>0</v>
      </c>
      <c r="AU32" s="212"/>
      <c r="AV32" s="97">
        <f t="shared" si="137"/>
        <v>0</v>
      </c>
      <c r="AW32" s="212"/>
      <c r="AX32" s="99">
        <f t="shared" si="27"/>
        <v>0</v>
      </c>
      <c r="AY32" s="212"/>
      <c r="AZ32" s="97">
        <f t="shared" si="137"/>
        <v>0</v>
      </c>
      <c r="BA32" s="212"/>
      <c r="BB32" s="99">
        <f t="shared" si="28"/>
        <v>0</v>
      </c>
      <c r="BC32" s="212"/>
      <c r="BD32" s="97">
        <f t="shared" si="137"/>
        <v>0</v>
      </c>
      <c r="BE32" s="212"/>
      <c r="BF32" s="99">
        <f t="shared" si="29"/>
        <v>0</v>
      </c>
      <c r="BG32" s="212"/>
      <c r="BH32" s="97">
        <f t="shared" si="137"/>
        <v>0</v>
      </c>
      <c r="BI32" s="212"/>
      <c r="BJ32" s="99">
        <f t="shared" si="30"/>
        <v>0</v>
      </c>
      <c r="BK32" s="212"/>
      <c r="BL32" s="97">
        <f t="shared" si="137"/>
        <v>0</v>
      </c>
      <c r="BM32" s="212"/>
      <c r="BN32" s="99">
        <f t="shared" si="31"/>
        <v>0</v>
      </c>
      <c r="BO32" s="212"/>
      <c r="BP32" s="97">
        <f t="shared" si="137"/>
        <v>0</v>
      </c>
      <c r="BQ32" s="212"/>
      <c r="BR32" s="99">
        <f t="shared" si="32"/>
        <v>0</v>
      </c>
      <c r="BS32" s="212"/>
      <c r="BT32" s="97">
        <f t="shared" si="135"/>
        <v>0</v>
      </c>
      <c r="BU32" s="212"/>
      <c r="BV32" s="99">
        <f t="shared" si="33"/>
        <v>0</v>
      </c>
      <c r="BW32" s="212"/>
      <c r="BX32" s="97">
        <f t="shared" si="135"/>
        <v>0</v>
      </c>
      <c r="BY32" s="212"/>
      <c r="BZ32" s="99">
        <f t="shared" si="34"/>
        <v>0</v>
      </c>
      <c r="CA32" s="212"/>
      <c r="CB32" s="97">
        <f t="shared" si="135"/>
        <v>0</v>
      </c>
      <c r="CC32" s="212"/>
      <c r="CD32" s="99">
        <f t="shared" si="35"/>
        <v>0</v>
      </c>
      <c r="CE32" s="212"/>
      <c r="CF32" s="97">
        <f t="shared" si="135"/>
        <v>0</v>
      </c>
      <c r="CG32" s="212"/>
      <c r="CH32" s="99">
        <f t="shared" si="36"/>
        <v>0</v>
      </c>
      <c r="CI32" s="212"/>
      <c r="CJ32" s="97">
        <f t="shared" si="135"/>
        <v>0</v>
      </c>
      <c r="CK32" s="212"/>
      <c r="CL32" s="99">
        <f t="shared" si="37"/>
        <v>0</v>
      </c>
      <c r="CM32" s="212"/>
      <c r="CN32" s="97">
        <f t="shared" si="135"/>
        <v>0</v>
      </c>
      <c r="CO32" s="212"/>
      <c r="CP32" s="99">
        <f t="shared" si="38"/>
        <v>0</v>
      </c>
      <c r="CQ32" s="212"/>
      <c r="CR32" s="97">
        <f t="shared" si="135"/>
        <v>0</v>
      </c>
      <c r="CS32" s="212"/>
      <c r="CT32" s="99">
        <f t="shared" si="39"/>
        <v>0</v>
      </c>
      <c r="CU32" s="212"/>
      <c r="CV32" s="97">
        <f t="shared" si="135"/>
        <v>0</v>
      </c>
      <c r="CW32" s="212"/>
      <c r="CX32" s="99">
        <f t="shared" si="40"/>
        <v>0</v>
      </c>
      <c r="CY32" s="212"/>
      <c r="CZ32" s="97">
        <f t="shared" si="135"/>
        <v>0</v>
      </c>
      <c r="DA32" s="212"/>
      <c r="DB32" s="99">
        <f t="shared" si="41"/>
        <v>0</v>
      </c>
      <c r="DC32" s="212"/>
      <c r="DD32" s="97">
        <f t="shared" si="135"/>
        <v>0</v>
      </c>
      <c r="DE32" s="212"/>
      <c r="DF32" s="99">
        <f t="shared" si="42"/>
        <v>0</v>
      </c>
      <c r="DG32" s="212"/>
      <c r="DH32" s="97">
        <f t="shared" si="135"/>
        <v>0</v>
      </c>
      <c r="DI32" s="212"/>
      <c r="DJ32" s="99" t="e">
        <f t="shared" si="139"/>
        <v>#DIV/0!</v>
      </c>
      <c r="DK32" s="212"/>
      <c r="DL32" s="97">
        <f t="shared" si="135"/>
        <v>0</v>
      </c>
      <c r="DM32" s="212"/>
      <c r="DN32" s="99">
        <f t="shared" si="43"/>
        <v>0</v>
      </c>
      <c r="DO32" s="212"/>
      <c r="DP32" s="97">
        <f t="shared" si="135"/>
        <v>0</v>
      </c>
      <c r="DQ32" s="212"/>
      <c r="DR32" s="99">
        <f t="shared" si="44"/>
        <v>0</v>
      </c>
      <c r="DS32" s="212"/>
      <c r="DT32" s="97">
        <f t="shared" si="135"/>
        <v>0</v>
      </c>
      <c r="DU32" s="212"/>
      <c r="DV32" s="99" t="e">
        <f t="shared" si="140"/>
        <v>#DIV/0!</v>
      </c>
      <c r="DW32" s="212"/>
      <c r="DX32" s="97">
        <f t="shared" si="141"/>
        <v>0</v>
      </c>
      <c r="DY32" s="212"/>
      <c r="DZ32" s="99" t="e">
        <f t="shared" si="142"/>
        <v>#DIV/0!</v>
      </c>
      <c r="EA32" s="212"/>
      <c r="EB32" s="97">
        <f t="shared" si="141"/>
        <v>0</v>
      </c>
      <c r="EC32" s="212"/>
      <c r="ED32" s="99">
        <f t="shared" si="45"/>
        <v>0</v>
      </c>
      <c r="EE32" s="212"/>
      <c r="EF32" s="97">
        <f t="shared" si="141"/>
        <v>0</v>
      </c>
      <c r="EG32" s="212"/>
      <c r="EH32" s="99">
        <f t="shared" si="46"/>
        <v>0</v>
      </c>
      <c r="EI32" s="212"/>
      <c r="EJ32" s="97">
        <f t="shared" si="141"/>
        <v>0</v>
      </c>
      <c r="EK32" s="212"/>
      <c r="EL32" s="99">
        <f t="shared" si="47"/>
        <v>0</v>
      </c>
      <c r="EM32" s="212"/>
      <c r="EN32" s="97">
        <f t="shared" si="141"/>
        <v>0</v>
      </c>
      <c r="EO32" s="212"/>
      <c r="EP32" s="99">
        <f t="shared" si="48"/>
        <v>0</v>
      </c>
      <c r="EQ32" s="212"/>
      <c r="ER32" s="97">
        <f t="shared" si="141"/>
        <v>0</v>
      </c>
      <c r="ES32" s="212"/>
      <c r="ET32" s="99">
        <f t="shared" si="49"/>
        <v>0</v>
      </c>
      <c r="EU32" s="212"/>
      <c r="EV32" s="97">
        <f t="shared" si="141"/>
        <v>0</v>
      </c>
      <c r="EW32" s="212"/>
      <c r="EX32" s="99">
        <f t="shared" si="50"/>
        <v>0</v>
      </c>
      <c r="EY32" s="152">
        <f t="shared" si="51"/>
        <v>0</v>
      </c>
      <c r="EZ32" s="152">
        <f t="shared" si="17"/>
        <v>0</v>
      </c>
      <c r="FA32" s="152">
        <f t="shared" si="17"/>
        <v>0</v>
      </c>
      <c r="FB32" s="152">
        <f t="shared" si="52"/>
        <v>0</v>
      </c>
    </row>
    <row r="33" spans="1:158" s="260" customFormat="1" ht="31.5" x14ac:dyDescent="0.2">
      <c r="A33" s="254" t="s">
        <v>142</v>
      </c>
      <c r="B33" s="255" t="s">
        <v>3</v>
      </c>
      <c r="C33" s="256">
        <f t="shared" ref="C33" si="150">C34+C35+C36+C37+C38+C39*2</f>
        <v>0</v>
      </c>
      <c r="D33" s="228">
        <f t="shared" si="136"/>
        <v>0</v>
      </c>
      <c r="E33" s="257">
        <f t="shared" ref="E33" si="151">E34+E35+E36+E37+E38+E39*2</f>
        <v>0</v>
      </c>
      <c r="F33" s="258" t="e">
        <f t="shared" si="3"/>
        <v>#DIV/0!</v>
      </c>
      <c r="G33" s="258">
        <f t="shared" ref="G33:H33" si="152">G34+G35+G36+G37+G38+G39*2</f>
        <v>17423</v>
      </c>
      <c r="H33" s="258">
        <f t="shared" si="152"/>
        <v>17423</v>
      </c>
      <c r="I33" s="258">
        <f>I34+I35+I36+I37+I38+I39*2+I40</f>
        <v>15413</v>
      </c>
      <c r="J33" s="258">
        <f t="shared" si="18"/>
        <v>88.463525225276925</v>
      </c>
      <c r="K33" s="258">
        <f t="shared" ref="K33" si="153">K34+K35+K36+K37+K38+K39*2</f>
        <v>0</v>
      </c>
      <c r="L33" s="228">
        <f t="shared" si="137"/>
        <v>0</v>
      </c>
      <c r="M33" s="258">
        <f t="shared" ref="M33" si="154">M34+M35+M36+M37+M38+M39*2</f>
        <v>0</v>
      </c>
      <c r="N33" s="258" t="e">
        <f t="shared" si="138"/>
        <v>#DIV/0!</v>
      </c>
      <c r="O33" s="258">
        <f t="shared" ref="O33:P33" si="155">O34+O35+O36+O37+O38+O39*2</f>
        <v>18594</v>
      </c>
      <c r="P33" s="258">
        <f t="shared" si="155"/>
        <v>18594</v>
      </c>
      <c r="Q33" s="258">
        <f>Q34+Q35+Q36+Q37+Q38+Q39*2+Q40</f>
        <v>16661</v>
      </c>
      <c r="R33" s="258">
        <f t="shared" si="19"/>
        <v>89.604173389265355</v>
      </c>
      <c r="S33" s="258">
        <f t="shared" ref="S33:T33" si="156">S34+S35+S36+S37+S38+S39*2</f>
        <v>9750</v>
      </c>
      <c r="T33" s="258">
        <f t="shared" si="156"/>
        <v>9750</v>
      </c>
      <c r="U33" s="258">
        <f>U34+U35+U36+U37+U38+U39*2+U40</f>
        <v>9103</v>
      </c>
      <c r="V33" s="258">
        <f t="shared" si="20"/>
        <v>93.364102564102566</v>
      </c>
      <c r="W33" s="258">
        <f t="shared" ref="W33:X33" si="157">W34+W35+W36+W37+W38+W39*2</f>
        <v>14138</v>
      </c>
      <c r="X33" s="258">
        <f t="shared" si="157"/>
        <v>14138</v>
      </c>
      <c r="Y33" s="258">
        <f>Y34+Y35+Y36+Y37+Y38+Y39*2+Y40</f>
        <v>13700</v>
      </c>
      <c r="Z33" s="258">
        <f t="shared" si="21"/>
        <v>96.901966331871549</v>
      </c>
      <c r="AA33" s="258">
        <f t="shared" ref="AA33" si="158">AA34+AA35+AA36+AA37+AA38+AA39*2</f>
        <v>6180</v>
      </c>
      <c r="AB33" s="258">
        <v>6180</v>
      </c>
      <c r="AC33" s="258">
        <f>AC34+AC35+AC36+AC37+AC38+AC39*2+AC40</f>
        <v>5559</v>
      </c>
      <c r="AD33" s="258">
        <f t="shared" si="22"/>
        <v>89.951456310679617</v>
      </c>
      <c r="AE33" s="258">
        <f t="shared" ref="AE33:AF33" si="159">AE34+AE35+AE36+AE37+AE38+AE39*2</f>
        <v>4511.9524999999994</v>
      </c>
      <c r="AF33" s="258">
        <f t="shared" si="159"/>
        <v>4511.9524999999994</v>
      </c>
      <c r="AG33" s="258">
        <f>AG34+AG35+AG36+AG37+AG38+AG39*2+AG40</f>
        <v>3955</v>
      </c>
      <c r="AH33" s="258">
        <f t="shared" si="23"/>
        <v>87.656064641637983</v>
      </c>
      <c r="AI33" s="258">
        <f t="shared" ref="AI33:AJ33" si="160">AI34+AI35+AI36+AI37+AI38+AI39*2</f>
        <v>26155</v>
      </c>
      <c r="AJ33" s="258">
        <f t="shared" si="160"/>
        <v>26155</v>
      </c>
      <c r="AK33" s="258">
        <f>AK34+AK35+AK36+AK37+AK38+AK39*2+AK40</f>
        <v>23516</v>
      </c>
      <c r="AL33" s="258">
        <f t="shared" si="24"/>
        <v>89.910151022748991</v>
      </c>
      <c r="AM33" s="258">
        <f t="shared" ref="AM33:AN33" si="161">AM34+AM35+AM36+AM37+AM38+AM39*2</f>
        <v>4268</v>
      </c>
      <c r="AN33" s="258">
        <f t="shared" si="161"/>
        <v>4268</v>
      </c>
      <c r="AO33" s="258">
        <f>AO34+AO35+AO36+AO37+AO38+AO39*2+AO40</f>
        <v>4077</v>
      </c>
      <c r="AP33" s="258">
        <f t="shared" si="25"/>
        <v>95.524835988753509</v>
      </c>
      <c r="AQ33" s="258">
        <f t="shared" ref="AQ33:AR33" si="162">AQ34+AQ35+AQ36+AQ37+AQ38+AQ39*2</f>
        <v>10739</v>
      </c>
      <c r="AR33" s="258">
        <f t="shared" si="162"/>
        <v>10739</v>
      </c>
      <c r="AS33" s="258">
        <f>AS34+AS35+AS36+AS37+AS38+AS39*2+AS40</f>
        <v>9831</v>
      </c>
      <c r="AT33" s="258">
        <f t="shared" si="26"/>
        <v>91.544836576962467</v>
      </c>
      <c r="AU33" s="258">
        <f t="shared" ref="AU33" si="163">AU34+AU35+AU36+AU37+AU38+AU39*2</f>
        <v>0</v>
      </c>
      <c r="AV33" s="228">
        <f t="shared" si="137"/>
        <v>0</v>
      </c>
      <c r="AW33" s="258">
        <f>AW34+AW35+AW36+AW37+AW38+AW39</f>
        <v>0</v>
      </c>
      <c r="AX33" s="258">
        <f t="shared" si="27"/>
        <v>0</v>
      </c>
      <c r="AY33" s="258">
        <f t="shared" ref="AY33" si="164">AY34+AY35+AY36+AY37+AY38+AY39*2</f>
        <v>0</v>
      </c>
      <c r="AZ33" s="228">
        <f t="shared" si="137"/>
        <v>0</v>
      </c>
      <c r="BA33" s="258">
        <f>BA34+BA35+BA36+BA37+BA38+BA39</f>
        <v>0</v>
      </c>
      <c r="BB33" s="258">
        <f t="shared" si="28"/>
        <v>0</v>
      </c>
      <c r="BC33" s="258">
        <f t="shared" ref="BC33" si="165">BC34+BC35+BC36+BC37+BC38+BC39*2</f>
        <v>0</v>
      </c>
      <c r="BD33" s="228">
        <f t="shared" si="137"/>
        <v>0</v>
      </c>
      <c r="BE33" s="258">
        <f>BE34+BE35+BE36+BE37+BE38+BE39</f>
        <v>0</v>
      </c>
      <c r="BF33" s="258">
        <f t="shared" si="29"/>
        <v>0</v>
      </c>
      <c r="BG33" s="258">
        <f t="shared" ref="BG33" si="166">BG34+BG35+BG36+BG37+BG38+BG39*2</f>
        <v>0</v>
      </c>
      <c r="BH33" s="228">
        <f t="shared" si="137"/>
        <v>0</v>
      </c>
      <c r="BI33" s="258">
        <f>BI34+BI35+BI36+BI37+BI38+BI39</f>
        <v>0</v>
      </c>
      <c r="BJ33" s="258">
        <f t="shared" si="30"/>
        <v>0</v>
      </c>
      <c r="BK33" s="258">
        <f t="shared" ref="BK33" si="167">BK34+BK35+BK36+BK37+BK38+BK39*2</f>
        <v>0</v>
      </c>
      <c r="BL33" s="228">
        <f t="shared" si="137"/>
        <v>0</v>
      </c>
      <c r="BM33" s="258">
        <f>BM34+BM35+BM36+BM37+BM38+BM39</f>
        <v>0</v>
      </c>
      <c r="BN33" s="258">
        <f t="shared" si="31"/>
        <v>0</v>
      </c>
      <c r="BO33" s="258">
        <f t="shared" ref="BO33" si="168">BO34+BO35+BO36+BO37+BO38+BO39*2</f>
        <v>0</v>
      </c>
      <c r="BP33" s="228">
        <f t="shared" si="137"/>
        <v>0</v>
      </c>
      <c r="BQ33" s="258">
        <f>BQ34+BQ35+BQ36+BQ37+BQ38+BQ39</f>
        <v>0</v>
      </c>
      <c r="BR33" s="258">
        <f t="shared" si="32"/>
        <v>0</v>
      </c>
      <c r="BS33" s="258">
        <f t="shared" ref="BS33" si="169">BS34+BS35+BS36+BS37+BS38+BS39*2</f>
        <v>0</v>
      </c>
      <c r="BT33" s="228">
        <f t="shared" si="135"/>
        <v>0</v>
      </c>
      <c r="BU33" s="258">
        <f>BU34+BU35+BU36+BU37+BU38+BU39</f>
        <v>0</v>
      </c>
      <c r="BV33" s="258">
        <f t="shared" si="33"/>
        <v>0</v>
      </c>
      <c r="BW33" s="258">
        <f t="shared" ref="BW33" si="170">BW34+BW35+BW36+BW37+BW38+BW39*2</f>
        <v>0</v>
      </c>
      <c r="BX33" s="228">
        <f t="shared" si="135"/>
        <v>0</v>
      </c>
      <c r="BY33" s="258">
        <f>BY34+BY35+BY36+BY37+BY38+BY39</f>
        <v>0</v>
      </c>
      <c r="BZ33" s="258">
        <f t="shared" si="34"/>
        <v>0</v>
      </c>
      <c r="CA33" s="258">
        <f t="shared" ref="CA33" si="171">CA34+CA35+CA36+CA37+CA38+CA39*2</f>
        <v>0</v>
      </c>
      <c r="CB33" s="228">
        <f t="shared" si="135"/>
        <v>0</v>
      </c>
      <c r="CC33" s="258">
        <f>CC34+CC35+CC36+CC37+CC38+CC39</f>
        <v>0</v>
      </c>
      <c r="CD33" s="258">
        <f t="shared" si="35"/>
        <v>0</v>
      </c>
      <c r="CE33" s="258">
        <f t="shared" ref="CE33" si="172">CE34+CE35+CE36+CE37+CE38+CE39*2</f>
        <v>0</v>
      </c>
      <c r="CF33" s="228">
        <f t="shared" si="135"/>
        <v>0</v>
      </c>
      <c r="CG33" s="258">
        <f>CG34+CG35+CG36+CG37+CG38+CG39</f>
        <v>0</v>
      </c>
      <c r="CH33" s="258">
        <f t="shared" si="36"/>
        <v>0</v>
      </c>
      <c r="CI33" s="258">
        <f t="shared" ref="CI33" si="173">CI34+CI35+CI36+CI37+CI38+CI39*2</f>
        <v>0</v>
      </c>
      <c r="CJ33" s="228">
        <f t="shared" si="135"/>
        <v>0</v>
      </c>
      <c r="CK33" s="258">
        <f>CK34+CK35+CK36+CK37+CK38+CK39</f>
        <v>0</v>
      </c>
      <c r="CL33" s="258">
        <f t="shared" si="37"/>
        <v>0</v>
      </c>
      <c r="CM33" s="258">
        <f t="shared" ref="CM33" si="174">CM34+CM35+CM36+CM37+CM38+CM39*2</f>
        <v>0</v>
      </c>
      <c r="CN33" s="228">
        <f t="shared" si="135"/>
        <v>0</v>
      </c>
      <c r="CO33" s="258">
        <f>CO34+CO35+CO36+CO37+CO38+CO39</f>
        <v>0</v>
      </c>
      <c r="CP33" s="258">
        <f t="shared" si="38"/>
        <v>0</v>
      </c>
      <c r="CQ33" s="258">
        <f t="shared" ref="CQ33" si="175">CQ34+CQ35+CQ36+CQ37+CQ38+CQ39*2</f>
        <v>0</v>
      </c>
      <c r="CR33" s="228">
        <f t="shared" si="135"/>
        <v>0</v>
      </c>
      <c r="CS33" s="258">
        <f>CS34+CS35+CS36+CS37+CS38+CS39</f>
        <v>0</v>
      </c>
      <c r="CT33" s="258">
        <f t="shared" si="39"/>
        <v>0</v>
      </c>
      <c r="CU33" s="258">
        <f t="shared" ref="CU33" si="176">CU34+CU35+CU36+CU37+CU38+CU39*2</f>
        <v>0</v>
      </c>
      <c r="CV33" s="228">
        <f t="shared" si="135"/>
        <v>0</v>
      </c>
      <c r="CW33" s="258">
        <f>CW34+CW35+CW36+CW37+CW38+CW39</f>
        <v>0</v>
      </c>
      <c r="CX33" s="258">
        <f t="shared" si="40"/>
        <v>0</v>
      </c>
      <c r="CY33" s="258">
        <f t="shared" ref="CY33:CZ33" si="177">CY34+CY35+CY36+CY37+CY38+CY39*2</f>
        <v>433</v>
      </c>
      <c r="CZ33" s="258">
        <f t="shared" si="177"/>
        <v>433</v>
      </c>
      <c r="DA33" s="258">
        <f>DA34+DA35+DA36+DA37+DA38+DA39*2+DA40</f>
        <v>407</v>
      </c>
      <c r="DB33" s="258">
        <f t="shared" si="41"/>
        <v>93.995381062355648</v>
      </c>
      <c r="DC33" s="258">
        <f t="shared" ref="DC33" si="178">DC34+DC35+DC36+DC37+DC38+DC39*2</f>
        <v>0</v>
      </c>
      <c r="DD33" s="228">
        <f t="shared" si="135"/>
        <v>0</v>
      </c>
      <c r="DE33" s="258">
        <f>DE34+DE35+DE36+DE37+DE38+DE39</f>
        <v>0</v>
      </c>
      <c r="DF33" s="258">
        <f t="shared" si="42"/>
        <v>0</v>
      </c>
      <c r="DG33" s="258">
        <f t="shared" ref="DG33" si="179">DG34+DG35+DG36+DG37+DG38+DG39*2</f>
        <v>0</v>
      </c>
      <c r="DH33" s="228">
        <f t="shared" si="135"/>
        <v>0</v>
      </c>
      <c r="DI33" s="258">
        <f t="shared" ref="DI33" si="180">DI34+DI35+DI36+DI37+DI38+DI39*2</f>
        <v>0</v>
      </c>
      <c r="DJ33" s="258" t="e">
        <f t="shared" si="139"/>
        <v>#DIV/0!</v>
      </c>
      <c r="DK33" s="258">
        <f t="shared" ref="DK33" si="181">DK34+DK35+DK36+DK37+DK38+DK39*2</f>
        <v>0</v>
      </c>
      <c r="DL33" s="228">
        <f t="shared" si="135"/>
        <v>0</v>
      </c>
      <c r="DM33" s="258">
        <f>DM34+DM35+DM36+DM37+DM38+DM39</f>
        <v>0</v>
      </c>
      <c r="DN33" s="258">
        <f t="shared" si="43"/>
        <v>0</v>
      </c>
      <c r="DO33" s="258">
        <f t="shared" ref="DO33" si="182">DO34+DO35+DO36+DO37+DO38+DO39*2</f>
        <v>0</v>
      </c>
      <c r="DP33" s="228">
        <f t="shared" si="135"/>
        <v>0</v>
      </c>
      <c r="DQ33" s="258">
        <f>DQ34+DQ35+DQ36+DQ37+DQ38+DQ39</f>
        <v>0</v>
      </c>
      <c r="DR33" s="258">
        <f t="shared" si="44"/>
        <v>0</v>
      </c>
      <c r="DS33" s="258">
        <f t="shared" ref="DS33" si="183">DS34+DS35+DS36+DS37+DS38+DS39*2</f>
        <v>0</v>
      </c>
      <c r="DT33" s="228">
        <f t="shared" si="135"/>
        <v>0</v>
      </c>
      <c r="DU33" s="258">
        <f t="shared" ref="DU33" si="184">DU34+DU35+DU36+DU37+DU38+DU39*2</f>
        <v>0</v>
      </c>
      <c r="DV33" s="258" t="e">
        <f t="shared" si="140"/>
        <v>#DIV/0!</v>
      </c>
      <c r="DW33" s="258">
        <f t="shared" ref="DW33" si="185">DW34+DW35+DW36+DW37+DW38+DW39*2</f>
        <v>0</v>
      </c>
      <c r="DX33" s="228">
        <f t="shared" si="141"/>
        <v>0</v>
      </c>
      <c r="DY33" s="258">
        <f t="shared" ref="DY33" si="186">DY34+DY35+DY36+DY37+DY38+DY39*2</f>
        <v>0</v>
      </c>
      <c r="DZ33" s="258" t="e">
        <f t="shared" si="142"/>
        <v>#DIV/0!</v>
      </c>
      <c r="EA33" s="258">
        <f t="shared" ref="EA33:EB33" si="187">EA34+EA35+EA36+EA37+EA38+EA39*2</f>
        <v>191</v>
      </c>
      <c r="EB33" s="258">
        <f t="shared" si="187"/>
        <v>191</v>
      </c>
      <c r="EC33" s="258">
        <f>EC34+EC35+EC36+EC37+EC38+EC39*2+EC40</f>
        <v>92</v>
      </c>
      <c r="ED33" s="258">
        <f t="shared" si="45"/>
        <v>48.167539267015705</v>
      </c>
      <c r="EE33" s="258">
        <f t="shared" ref="EE33:EF33" si="188">EE34+EE35+EE36+EE37+EE38+EE39*2</f>
        <v>4242</v>
      </c>
      <c r="EF33" s="258">
        <f t="shared" si="188"/>
        <v>4242</v>
      </c>
      <c r="EG33" s="258">
        <f>EG34+EG35+EG36+EG37+EG38+EG39*2+EG40</f>
        <v>4175</v>
      </c>
      <c r="EH33" s="258">
        <f t="shared" si="46"/>
        <v>98.420556341348416</v>
      </c>
      <c r="EI33" s="258">
        <f t="shared" ref="EI33:EJ33" si="189">EI34+EI35+EI36+EI37+EI38+EI39*2</f>
        <v>340</v>
      </c>
      <c r="EJ33" s="258">
        <f t="shared" si="189"/>
        <v>340</v>
      </c>
      <c r="EK33" s="258">
        <f>EK34+EK35+EK36+EK37+EK38+EK39*2+EK40</f>
        <v>304</v>
      </c>
      <c r="EL33" s="258">
        <f t="shared" si="47"/>
        <v>89.411764705882362</v>
      </c>
      <c r="EM33" s="258">
        <f t="shared" ref="EM33:EN33" si="190">EM34+EM35+EM36+EM37+EM38+EM39*2</f>
        <v>675</v>
      </c>
      <c r="EN33" s="258">
        <f t="shared" si="190"/>
        <v>675</v>
      </c>
      <c r="EO33" s="258">
        <f>EO34+EO35+EO36+EO37+EO38+EO39*2+EO40</f>
        <v>239</v>
      </c>
      <c r="EP33" s="258">
        <f t="shared" si="48"/>
        <v>35.407407407407412</v>
      </c>
      <c r="EQ33" s="258">
        <f t="shared" ref="EQ33" si="191">EQ34+EQ35+EQ36+EQ37+EQ38+EQ39*2</f>
        <v>0</v>
      </c>
      <c r="ER33" s="228">
        <f t="shared" si="141"/>
        <v>0</v>
      </c>
      <c r="ES33" s="258">
        <f>ES34+ES35+ES36+ES37+ES38+ES39</f>
        <v>0</v>
      </c>
      <c r="ET33" s="258">
        <f t="shared" si="49"/>
        <v>0</v>
      </c>
      <c r="EU33" s="258">
        <f t="shared" ref="EU33" si="192">EU34+EU35+EU36+EU37+EU38+EU39*2</f>
        <v>0</v>
      </c>
      <c r="EV33" s="228">
        <f t="shared" si="141"/>
        <v>0</v>
      </c>
      <c r="EW33" s="258">
        <f>EW34+EW35+EW36+EW37+EW38+EW39</f>
        <v>0</v>
      </c>
      <c r="EX33" s="258">
        <f t="shared" si="50"/>
        <v>0</v>
      </c>
      <c r="EY33" s="259">
        <f t="shared" si="51"/>
        <v>117639.9525</v>
      </c>
      <c r="EZ33" s="259">
        <f t="shared" si="17"/>
        <v>117639.9525</v>
      </c>
      <c r="FA33" s="259">
        <f t="shared" si="17"/>
        <v>107032</v>
      </c>
      <c r="FB33" s="152">
        <f t="shared" si="52"/>
        <v>90.982695696005152</v>
      </c>
    </row>
    <row r="34" spans="1:158" ht="15.75" x14ac:dyDescent="0.2">
      <c r="A34" s="169" t="s">
        <v>143</v>
      </c>
      <c r="B34" s="170" t="s">
        <v>339</v>
      </c>
      <c r="C34" s="171"/>
      <c r="D34" s="97">
        <f t="shared" si="136"/>
        <v>0</v>
      </c>
      <c r="E34" s="172"/>
      <c r="F34" s="99" t="e">
        <f t="shared" si="3"/>
        <v>#DIV/0!</v>
      </c>
      <c r="G34" s="213">
        <v>2616</v>
      </c>
      <c r="H34" s="97">
        <v>2616</v>
      </c>
      <c r="I34" s="213">
        <v>2768</v>
      </c>
      <c r="J34" s="99">
        <f t="shared" si="18"/>
        <v>105.81039755351682</v>
      </c>
      <c r="K34" s="213"/>
      <c r="L34" s="97">
        <f t="shared" si="137"/>
        <v>0</v>
      </c>
      <c r="M34" s="213"/>
      <c r="N34" s="99" t="e">
        <f t="shared" si="138"/>
        <v>#DIV/0!</v>
      </c>
      <c r="O34" s="213">
        <v>1100</v>
      </c>
      <c r="P34" s="195">
        <v>1100</v>
      </c>
      <c r="Q34" s="213">
        <v>1687</v>
      </c>
      <c r="R34" s="99">
        <f t="shared" si="19"/>
        <v>153.36363636363637</v>
      </c>
      <c r="S34" s="213">
        <v>1125</v>
      </c>
      <c r="T34" s="97">
        <v>1125</v>
      </c>
      <c r="U34" s="213">
        <v>1405</v>
      </c>
      <c r="V34" s="99">
        <f t="shared" si="20"/>
        <v>124.8888888888889</v>
      </c>
      <c r="W34" s="213">
        <v>1897</v>
      </c>
      <c r="X34" s="97">
        <v>1897</v>
      </c>
      <c r="Y34" s="213">
        <v>1885</v>
      </c>
      <c r="Z34" s="99">
        <f t="shared" si="21"/>
        <v>99.367422245651028</v>
      </c>
      <c r="AA34" s="213">
        <v>890</v>
      </c>
      <c r="AB34" s="97">
        <v>890</v>
      </c>
      <c r="AC34" s="213">
        <v>693</v>
      </c>
      <c r="AD34" s="99">
        <f t="shared" si="22"/>
        <v>77.86516853932585</v>
      </c>
      <c r="AE34" s="213">
        <v>450.74250000000001</v>
      </c>
      <c r="AF34" s="97">
        <v>450.74250000000001</v>
      </c>
      <c r="AG34" s="213">
        <v>449</v>
      </c>
      <c r="AH34" s="99">
        <f t="shared" si="23"/>
        <v>99.61341564196853</v>
      </c>
      <c r="AI34" s="213">
        <v>3050</v>
      </c>
      <c r="AJ34" s="213">
        <v>3050</v>
      </c>
      <c r="AK34" s="213">
        <v>2628</v>
      </c>
      <c r="AL34" s="99">
        <f t="shared" si="24"/>
        <v>86.163934426229503</v>
      </c>
      <c r="AM34" s="213">
        <v>682</v>
      </c>
      <c r="AN34" s="97">
        <v>682</v>
      </c>
      <c r="AO34" s="213">
        <v>696</v>
      </c>
      <c r="AP34" s="99">
        <f t="shared" si="25"/>
        <v>102.05278592375366</v>
      </c>
      <c r="AQ34" s="213">
        <v>1200</v>
      </c>
      <c r="AR34" s="97">
        <v>1200</v>
      </c>
      <c r="AS34" s="213">
        <v>1170</v>
      </c>
      <c r="AT34" s="99">
        <f t="shared" si="26"/>
        <v>97.5</v>
      </c>
      <c r="AU34" s="213"/>
      <c r="AV34" s="97">
        <f t="shared" si="137"/>
        <v>0</v>
      </c>
      <c r="AW34" s="213"/>
      <c r="AX34" s="99">
        <f t="shared" si="27"/>
        <v>0</v>
      </c>
      <c r="AY34" s="213"/>
      <c r="AZ34" s="97">
        <f t="shared" si="137"/>
        <v>0</v>
      </c>
      <c r="BA34" s="213"/>
      <c r="BB34" s="99">
        <f t="shared" si="28"/>
        <v>0</v>
      </c>
      <c r="BC34" s="213"/>
      <c r="BD34" s="97">
        <f t="shared" si="137"/>
        <v>0</v>
      </c>
      <c r="BE34" s="213"/>
      <c r="BF34" s="99">
        <f t="shared" si="29"/>
        <v>0</v>
      </c>
      <c r="BG34" s="213"/>
      <c r="BH34" s="97">
        <f t="shared" si="137"/>
        <v>0</v>
      </c>
      <c r="BI34" s="213"/>
      <c r="BJ34" s="99">
        <f t="shared" si="30"/>
        <v>0</v>
      </c>
      <c r="BK34" s="213"/>
      <c r="BL34" s="97">
        <f t="shared" si="137"/>
        <v>0</v>
      </c>
      <c r="BM34" s="213"/>
      <c r="BN34" s="99">
        <f t="shared" si="31"/>
        <v>0</v>
      </c>
      <c r="BO34" s="213"/>
      <c r="BP34" s="97">
        <f t="shared" si="137"/>
        <v>0</v>
      </c>
      <c r="BQ34" s="213"/>
      <c r="BR34" s="99">
        <f t="shared" si="32"/>
        <v>0</v>
      </c>
      <c r="BS34" s="213"/>
      <c r="BT34" s="97">
        <f t="shared" si="135"/>
        <v>0</v>
      </c>
      <c r="BU34" s="213"/>
      <c r="BV34" s="99">
        <f t="shared" si="33"/>
        <v>0</v>
      </c>
      <c r="BW34" s="213"/>
      <c r="BX34" s="97">
        <f t="shared" si="135"/>
        <v>0</v>
      </c>
      <c r="BY34" s="213"/>
      <c r="BZ34" s="99">
        <f t="shared" si="34"/>
        <v>0</v>
      </c>
      <c r="CA34" s="213"/>
      <c r="CB34" s="97">
        <f t="shared" si="135"/>
        <v>0</v>
      </c>
      <c r="CC34" s="213"/>
      <c r="CD34" s="99">
        <f t="shared" si="35"/>
        <v>0</v>
      </c>
      <c r="CE34" s="213"/>
      <c r="CF34" s="97">
        <f t="shared" si="135"/>
        <v>0</v>
      </c>
      <c r="CG34" s="213"/>
      <c r="CH34" s="99">
        <f t="shared" si="36"/>
        <v>0</v>
      </c>
      <c r="CI34" s="213"/>
      <c r="CJ34" s="97">
        <f t="shared" si="135"/>
        <v>0</v>
      </c>
      <c r="CK34" s="213"/>
      <c r="CL34" s="99">
        <f t="shared" si="37"/>
        <v>0</v>
      </c>
      <c r="CM34" s="213"/>
      <c r="CN34" s="97">
        <f t="shared" si="135"/>
        <v>0</v>
      </c>
      <c r="CO34" s="213"/>
      <c r="CP34" s="99">
        <f t="shared" si="38"/>
        <v>0</v>
      </c>
      <c r="CQ34" s="213"/>
      <c r="CR34" s="97">
        <f t="shared" si="135"/>
        <v>0</v>
      </c>
      <c r="CS34" s="213"/>
      <c r="CT34" s="99">
        <f t="shared" si="39"/>
        <v>0</v>
      </c>
      <c r="CU34" s="213"/>
      <c r="CV34" s="97">
        <f t="shared" si="135"/>
        <v>0</v>
      </c>
      <c r="CW34" s="213"/>
      <c r="CX34" s="99">
        <f t="shared" si="40"/>
        <v>0</v>
      </c>
      <c r="CY34" s="213">
        <v>175</v>
      </c>
      <c r="CZ34" s="97">
        <v>175</v>
      </c>
      <c r="DA34" s="213">
        <v>304</v>
      </c>
      <c r="DB34" s="99">
        <f t="shared" si="41"/>
        <v>173.71428571428572</v>
      </c>
      <c r="DC34" s="213"/>
      <c r="DD34" s="97">
        <f t="shared" si="135"/>
        <v>0</v>
      </c>
      <c r="DE34" s="213"/>
      <c r="DF34" s="99">
        <f t="shared" si="42"/>
        <v>0</v>
      </c>
      <c r="DG34" s="213"/>
      <c r="DH34" s="97">
        <f t="shared" si="135"/>
        <v>0</v>
      </c>
      <c r="DI34" s="213"/>
      <c r="DJ34" s="99" t="e">
        <f t="shared" si="139"/>
        <v>#DIV/0!</v>
      </c>
      <c r="DK34" s="213"/>
      <c r="DL34" s="97">
        <f t="shared" si="135"/>
        <v>0</v>
      </c>
      <c r="DM34" s="213"/>
      <c r="DN34" s="99">
        <f t="shared" si="43"/>
        <v>0</v>
      </c>
      <c r="DO34" s="213"/>
      <c r="DP34" s="97">
        <f t="shared" si="135"/>
        <v>0</v>
      </c>
      <c r="DQ34" s="213"/>
      <c r="DR34" s="99">
        <f t="shared" si="44"/>
        <v>0</v>
      </c>
      <c r="DS34" s="213"/>
      <c r="DT34" s="97">
        <f t="shared" si="135"/>
        <v>0</v>
      </c>
      <c r="DU34" s="213"/>
      <c r="DV34" s="99" t="e">
        <f t="shared" si="140"/>
        <v>#DIV/0!</v>
      </c>
      <c r="DW34" s="213"/>
      <c r="DX34" s="97">
        <f t="shared" si="141"/>
        <v>0</v>
      </c>
      <c r="DY34" s="213"/>
      <c r="DZ34" s="99" t="e">
        <f t="shared" si="142"/>
        <v>#DIV/0!</v>
      </c>
      <c r="EA34" s="213">
        <v>29</v>
      </c>
      <c r="EB34" s="97">
        <v>29</v>
      </c>
      <c r="EC34" s="213">
        <v>28</v>
      </c>
      <c r="ED34" s="99">
        <f t="shared" si="45"/>
        <v>96.551724137931032</v>
      </c>
      <c r="EE34" s="213">
        <v>746</v>
      </c>
      <c r="EF34" s="97">
        <v>746</v>
      </c>
      <c r="EG34" s="213">
        <v>1660</v>
      </c>
      <c r="EH34" s="99">
        <f t="shared" si="46"/>
        <v>222.5201072386059</v>
      </c>
      <c r="EI34" s="213">
        <v>50</v>
      </c>
      <c r="EJ34" s="97">
        <v>50</v>
      </c>
      <c r="EK34" s="213">
        <v>96</v>
      </c>
      <c r="EL34" s="99">
        <f t="shared" si="47"/>
        <v>192</v>
      </c>
      <c r="EM34" s="213">
        <v>0</v>
      </c>
      <c r="EN34" s="97">
        <v>0</v>
      </c>
      <c r="EO34" s="213">
        <v>1</v>
      </c>
      <c r="EP34" s="99">
        <f t="shared" si="48"/>
        <v>0</v>
      </c>
      <c r="EQ34" s="213"/>
      <c r="ER34" s="97">
        <f t="shared" si="141"/>
        <v>0</v>
      </c>
      <c r="ES34" s="213"/>
      <c r="ET34" s="99">
        <f t="shared" si="49"/>
        <v>0</v>
      </c>
      <c r="EU34" s="213"/>
      <c r="EV34" s="97">
        <f t="shared" si="141"/>
        <v>0</v>
      </c>
      <c r="EW34" s="213"/>
      <c r="EX34" s="99">
        <f t="shared" si="50"/>
        <v>0</v>
      </c>
      <c r="EY34" s="152">
        <f t="shared" si="51"/>
        <v>14010.7425</v>
      </c>
      <c r="EZ34" s="152">
        <f t="shared" si="17"/>
        <v>14010.7425</v>
      </c>
      <c r="FA34" s="152">
        <f t="shared" si="17"/>
        <v>15470</v>
      </c>
      <c r="FB34" s="152">
        <f t="shared" si="52"/>
        <v>110.41527599268919</v>
      </c>
    </row>
    <row r="35" spans="1:158" ht="15.75" x14ac:dyDescent="0.2">
      <c r="A35" s="169" t="s">
        <v>144</v>
      </c>
      <c r="B35" s="170" t="s">
        <v>339</v>
      </c>
      <c r="C35" s="96"/>
      <c r="D35" s="97">
        <f t="shared" si="136"/>
        <v>0</v>
      </c>
      <c r="E35" s="98"/>
      <c r="F35" s="99" t="e">
        <f t="shared" si="3"/>
        <v>#DIV/0!</v>
      </c>
      <c r="G35" s="214">
        <v>2999</v>
      </c>
      <c r="H35" s="97">
        <v>2999</v>
      </c>
      <c r="I35" s="214">
        <v>3307</v>
      </c>
      <c r="J35" s="99">
        <f t="shared" si="18"/>
        <v>110.27009003001001</v>
      </c>
      <c r="K35" s="214"/>
      <c r="L35" s="97">
        <f t="shared" si="137"/>
        <v>0</v>
      </c>
      <c r="M35" s="214"/>
      <c r="N35" s="99" t="e">
        <f t="shared" si="138"/>
        <v>#DIV/0!</v>
      </c>
      <c r="O35" s="214">
        <v>1787</v>
      </c>
      <c r="P35" s="195">
        <v>1787</v>
      </c>
      <c r="Q35" s="214">
        <v>2448</v>
      </c>
      <c r="R35" s="99">
        <f t="shared" si="19"/>
        <v>136.98936765528819</v>
      </c>
      <c r="S35" s="214">
        <v>1325</v>
      </c>
      <c r="T35" s="97">
        <v>1325</v>
      </c>
      <c r="U35" s="214">
        <v>1533</v>
      </c>
      <c r="V35" s="99">
        <f t="shared" si="20"/>
        <v>115.69811320754717</v>
      </c>
      <c r="W35" s="214">
        <v>2365</v>
      </c>
      <c r="X35" s="97">
        <v>2365</v>
      </c>
      <c r="Y35" s="214">
        <v>2682</v>
      </c>
      <c r="Z35" s="99">
        <f t="shared" si="21"/>
        <v>113.40380549682875</v>
      </c>
      <c r="AA35" s="214">
        <v>1090</v>
      </c>
      <c r="AB35" s="97">
        <v>1090</v>
      </c>
      <c r="AC35" s="214">
        <v>1219</v>
      </c>
      <c r="AD35" s="99">
        <f t="shared" si="22"/>
        <v>111.8348623853211</v>
      </c>
      <c r="AE35" s="214">
        <v>636.42149999999992</v>
      </c>
      <c r="AF35" s="97">
        <v>636.42149999999992</v>
      </c>
      <c r="AG35" s="214">
        <v>696</v>
      </c>
      <c r="AH35" s="99">
        <f t="shared" si="23"/>
        <v>109.36148448787479</v>
      </c>
      <c r="AI35" s="214">
        <v>3700</v>
      </c>
      <c r="AJ35" s="214">
        <v>3700</v>
      </c>
      <c r="AK35" s="214">
        <v>4131</v>
      </c>
      <c r="AL35" s="99">
        <f t="shared" si="24"/>
        <v>111.64864864864865</v>
      </c>
      <c r="AM35" s="214">
        <v>710</v>
      </c>
      <c r="AN35" s="97">
        <v>710</v>
      </c>
      <c r="AO35" s="214">
        <v>753</v>
      </c>
      <c r="AP35" s="99">
        <f t="shared" si="25"/>
        <v>106.05633802816901</v>
      </c>
      <c r="AQ35" s="214">
        <v>1954</v>
      </c>
      <c r="AR35" s="97">
        <v>1954</v>
      </c>
      <c r="AS35" s="214">
        <v>1602</v>
      </c>
      <c r="AT35" s="99">
        <f t="shared" si="26"/>
        <v>81.985670419651996</v>
      </c>
      <c r="AU35" s="214"/>
      <c r="AV35" s="97">
        <f t="shared" si="137"/>
        <v>0</v>
      </c>
      <c r="AW35" s="214"/>
      <c r="AX35" s="99">
        <f t="shared" si="27"/>
        <v>0</v>
      </c>
      <c r="AY35" s="214"/>
      <c r="AZ35" s="97">
        <f t="shared" si="137"/>
        <v>0</v>
      </c>
      <c r="BA35" s="214"/>
      <c r="BB35" s="99">
        <f t="shared" si="28"/>
        <v>0</v>
      </c>
      <c r="BC35" s="214"/>
      <c r="BD35" s="97">
        <f t="shared" si="137"/>
        <v>0</v>
      </c>
      <c r="BE35" s="214"/>
      <c r="BF35" s="99">
        <f t="shared" si="29"/>
        <v>0</v>
      </c>
      <c r="BG35" s="214"/>
      <c r="BH35" s="97">
        <f t="shared" si="137"/>
        <v>0</v>
      </c>
      <c r="BI35" s="214"/>
      <c r="BJ35" s="99">
        <f t="shared" si="30"/>
        <v>0</v>
      </c>
      <c r="BK35" s="214"/>
      <c r="BL35" s="97">
        <f t="shared" si="137"/>
        <v>0</v>
      </c>
      <c r="BM35" s="214"/>
      <c r="BN35" s="99">
        <f t="shared" si="31"/>
        <v>0</v>
      </c>
      <c r="BO35" s="214"/>
      <c r="BP35" s="97">
        <f t="shared" si="137"/>
        <v>0</v>
      </c>
      <c r="BQ35" s="214"/>
      <c r="BR35" s="99">
        <f t="shared" si="32"/>
        <v>0</v>
      </c>
      <c r="BS35" s="214"/>
      <c r="BT35" s="97">
        <f t="shared" si="135"/>
        <v>0</v>
      </c>
      <c r="BU35" s="214"/>
      <c r="BV35" s="99">
        <f t="shared" si="33"/>
        <v>0</v>
      </c>
      <c r="BW35" s="214"/>
      <c r="BX35" s="97">
        <f t="shared" si="135"/>
        <v>0</v>
      </c>
      <c r="BY35" s="214"/>
      <c r="BZ35" s="99">
        <f t="shared" si="34"/>
        <v>0</v>
      </c>
      <c r="CA35" s="214"/>
      <c r="CB35" s="97">
        <f t="shared" si="135"/>
        <v>0</v>
      </c>
      <c r="CC35" s="214"/>
      <c r="CD35" s="99">
        <f t="shared" si="35"/>
        <v>0</v>
      </c>
      <c r="CE35" s="214"/>
      <c r="CF35" s="97">
        <f t="shared" si="135"/>
        <v>0</v>
      </c>
      <c r="CG35" s="214"/>
      <c r="CH35" s="99">
        <f t="shared" si="36"/>
        <v>0</v>
      </c>
      <c r="CI35" s="214"/>
      <c r="CJ35" s="97">
        <f t="shared" si="135"/>
        <v>0</v>
      </c>
      <c r="CK35" s="214"/>
      <c r="CL35" s="99">
        <f t="shared" si="37"/>
        <v>0</v>
      </c>
      <c r="CM35" s="214"/>
      <c r="CN35" s="97">
        <f t="shared" si="135"/>
        <v>0</v>
      </c>
      <c r="CO35" s="214"/>
      <c r="CP35" s="99">
        <f t="shared" si="38"/>
        <v>0</v>
      </c>
      <c r="CQ35" s="214"/>
      <c r="CR35" s="97">
        <f t="shared" si="135"/>
        <v>0</v>
      </c>
      <c r="CS35" s="214"/>
      <c r="CT35" s="99">
        <f t="shared" si="39"/>
        <v>0</v>
      </c>
      <c r="CU35" s="214"/>
      <c r="CV35" s="97">
        <f t="shared" si="135"/>
        <v>0</v>
      </c>
      <c r="CW35" s="214"/>
      <c r="CX35" s="99">
        <f t="shared" si="40"/>
        <v>0</v>
      </c>
      <c r="CY35" s="214">
        <v>79</v>
      </c>
      <c r="CZ35" s="97">
        <v>79</v>
      </c>
      <c r="DA35" s="214">
        <v>69</v>
      </c>
      <c r="DB35" s="99">
        <f t="shared" si="41"/>
        <v>87.341772151898738</v>
      </c>
      <c r="DC35" s="214"/>
      <c r="DD35" s="97">
        <f t="shared" si="135"/>
        <v>0</v>
      </c>
      <c r="DE35" s="214"/>
      <c r="DF35" s="99">
        <f t="shared" si="42"/>
        <v>0</v>
      </c>
      <c r="DG35" s="214"/>
      <c r="DH35" s="97">
        <f t="shared" si="135"/>
        <v>0</v>
      </c>
      <c r="DI35" s="214"/>
      <c r="DJ35" s="99" t="e">
        <f t="shared" si="139"/>
        <v>#DIV/0!</v>
      </c>
      <c r="DK35" s="214"/>
      <c r="DL35" s="97">
        <f t="shared" si="135"/>
        <v>0</v>
      </c>
      <c r="DM35" s="214"/>
      <c r="DN35" s="99">
        <f t="shared" si="43"/>
        <v>0</v>
      </c>
      <c r="DO35" s="214"/>
      <c r="DP35" s="97">
        <f t="shared" si="135"/>
        <v>0</v>
      </c>
      <c r="DQ35" s="214"/>
      <c r="DR35" s="99">
        <f t="shared" si="44"/>
        <v>0</v>
      </c>
      <c r="DS35" s="214"/>
      <c r="DT35" s="97">
        <f t="shared" si="135"/>
        <v>0</v>
      </c>
      <c r="DU35" s="214"/>
      <c r="DV35" s="99" t="e">
        <f t="shared" si="140"/>
        <v>#DIV/0!</v>
      </c>
      <c r="DW35" s="214"/>
      <c r="DX35" s="97">
        <f t="shared" si="141"/>
        <v>0</v>
      </c>
      <c r="DY35" s="214"/>
      <c r="DZ35" s="99" t="e">
        <f t="shared" si="142"/>
        <v>#DIV/0!</v>
      </c>
      <c r="EA35" s="214">
        <v>28</v>
      </c>
      <c r="EB35" s="97">
        <v>28</v>
      </c>
      <c r="EC35" s="214">
        <v>9</v>
      </c>
      <c r="ED35" s="99">
        <f t="shared" si="45"/>
        <v>32.142857142857146</v>
      </c>
      <c r="EE35" s="214">
        <v>706</v>
      </c>
      <c r="EF35" s="97">
        <v>706</v>
      </c>
      <c r="EG35" s="214">
        <v>804</v>
      </c>
      <c r="EH35" s="99">
        <f t="shared" si="46"/>
        <v>113.88101983002832</v>
      </c>
      <c r="EI35" s="214">
        <v>145</v>
      </c>
      <c r="EJ35" s="97">
        <v>145</v>
      </c>
      <c r="EK35" s="214">
        <v>194</v>
      </c>
      <c r="EL35" s="99">
        <f t="shared" si="47"/>
        <v>133.79310344827587</v>
      </c>
      <c r="EM35" s="214">
        <v>65</v>
      </c>
      <c r="EN35" s="97">
        <v>65</v>
      </c>
      <c r="EO35" s="214">
        <v>9</v>
      </c>
      <c r="EP35" s="99">
        <f t="shared" si="48"/>
        <v>13.846153846153847</v>
      </c>
      <c r="EQ35" s="214"/>
      <c r="ER35" s="97">
        <f t="shared" si="141"/>
        <v>0</v>
      </c>
      <c r="ES35" s="214"/>
      <c r="ET35" s="99">
        <f t="shared" si="49"/>
        <v>0</v>
      </c>
      <c r="EU35" s="214"/>
      <c r="EV35" s="97">
        <f t="shared" si="141"/>
        <v>0</v>
      </c>
      <c r="EW35" s="214"/>
      <c r="EX35" s="99">
        <f t="shared" si="50"/>
        <v>0</v>
      </c>
      <c r="EY35" s="152">
        <f t="shared" si="51"/>
        <v>17589.4215</v>
      </c>
      <c r="EZ35" s="152">
        <f t="shared" si="17"/>
        <v>17589.4215</v>
      </c>
      <c r="FA35" s="152">
        <f t="shared" si="17"/>
        <v>19456</v>
      </c>
      <c r="FB35" s="152">
        <f t="shared" si="52"/>
        <v>110.61193797647068</v>
      </c>
    </row>
    <row r="36" spans="1:158" ht="15.75" x14ac:dyDescent="0.2">
      <c r="A36" s="169" t="s">
        <v>145</v>
      </c>
      <c r="B36" s="170" t="s">
        <v>339</v>
      </c>
      <c r="C36" s="96"/>
      <c r="D36" s="97">
        <f t="shared" si="136"/>
        <v>0</v>
      </c>
      <c r="E36" s="98"/>
      <c r="F36" s="99" t="e">
        <f t="shared" si="3"/>
        <v>#DIV/0!</v>
      </c>
      <c r="G36" s="214">
        <v>667</v>
      </c>
      <c r="H36" s="97">
        <v>667</v>
      </c>
      <c r="I36" s="214">
        <v>471</v>
      </c>
      <c r="J36" s="99">
        <f t="shared" si="18"/>
        <v>70.61469265367316</v>
      </c>
      <c r="K36" s="214"/>
      <c r="L36" s="97">
        <f t="shared" si="137"/>
        <v>0</v>
      </c>
      <c r="M36" s="214"/>
      <c r="N36" s="99" t="e">
        <f t="shared" si="138"/>
        <v>#DIV/0!</v>
      </c>
      <c r="O36" s="214">
        <v>347</v>
      </c>
      <c r="P36" s="195">
        <v>347</v>
      </c>
      <c r="Q36" s="214">
        <v>446</v>
      </c>
      <c r="R36" s="99">
        <f t="shared" si="19"/>
        <v>128.53025936599423</v>
      </c>
      <c r="S36" s="214">
        <v>600</v>
      </c>
      <c r="T36" s="97">
        <v>600</v>
      </c>
      <c r="U36" s="214">
        <v>372</v>
      </c>
      <c r="V36" s="99">
        <f t="shared" si="20"/>
        <v>62</v>
      </c>
      <c r="W36" s="214">
        <v>984</v>
      </c>
      <c r="X36" s="97">
        <v>984</v>
      </c>
      <c r="Y36" s="214">
        <v>409</v>
      </c>
      <c r="Z36" s="99">
        <f t="shared" si="21"/>
        <v>41.565040650406502</v>
      </c>
      <c r="AA36" s="214">
        <v>400</v>
      </c>
      <c r="AB36" s="97">
        <v>400</v>
      </c>
      <c r="AC36" s="214">
        <v>156</v>
      </c>
      <c r="AD36" s="99">
        <f t="shared" si="22"/>
        <v>39</v>
      </c>
      <c r="AE36" s="214">
        <v>98</v>
      </c>
      <c r="AF36" s="97">
        <v>98</v>
      </c>
      <c r="AG36" s="214">
        <v>111</v>
      </c>
      <c r="AH36" s="99">
        <f t="shared" si="23"/>
        <v>113.26530612244898</v>
      </c>
      <c r="AI36" s="214">
        <v>900</v>
      </c>
      <c r="AJ36" s="214">
        <v>900</v>
      </c>
      <c r="AK36" s="214">
        <v>1062</v>
      </c>
      <c r="AL36" s="99">
        <f t="shared" si="24"/>
        <v>118</v>
      </c>
      <c r="AM36" s="214">
        <v>200</v>
      </c>
      <c r="AN36" s="97">
        <v>200</v>
      </c>
      <c r="AO36" s="214">
        <v>175</v>
      </c>
      <c r="AP36" s="99">
        <f t="shared" si="25"/>
        <v>87.5</v>
      </c>
      <c r="AQ36" s="214">
        <v>299</v>
      </c>
      <c r="AR36" s="97">
        <v>299</v>
      </c>
      <c r="AS36" s="214">
        <v>236</v>
      </c>
      <c r="AT36" s="99">
        <f t="shared" si="26"/>
        <v>78.929765886287626</v>
      </c>
      <c r="AU36" s="214"/>
      <c r="AV36" s="97">
        <f t="shared" si="137"/>
        <v>0</v>
      </c>
      <c r="AW36" s="214"/>
      <c r="AX36" s="99">
        <f t="shared" si="27"/>
        <v>0</v>
      </c>
      <c r="AY36" s="214"/>
      <c r="AZ36" s="97">
        <f t="shared" si="137"/>
        <v>0</v>
      </c>
      <c r="BA36" s="214"/>
      <c r="BB36" s="99">
        <f t="shared" si="28"/>
        <v>0</v>
      </c>
      <c r="BC36" s="214"/>
      <c r="BD36" s="97">
        <f t="shared" si="137"/>
        <v>0</v>
      </c>
      <c r="BE36" s="214"/>
      <c r="BF36" s="99">
        <f t="shared" si="29"/>
        <v>0</v>
      </c>
      <c r="BG36" s="214"/>
      <c r="BH36" s="97">
        <f t="shared" si="137"/>
        <v>0</v>
      </c>
      <c r="BI36" s="214"/>
      <c r="BJ36" s="99">
        <f t="shared" si="30"/>
        <v>0</v>
      </c>
      <c r="BK36" s="214"/>
      <c r="BL36" s="97">
        <f t="shared" si="137"/>
        <v>0</v>
      </c>
      <c r="BM36" s="214"/>
      <c r="BN36" s="99">
        <f t="shared" si="31"/>
        <v>0</v>
      </c>
      <c r="BO36" s="214"/>
      <c r="BP36" s="97">
        <f t="shared" si="137"/>
        <v>0</v>
      </c>
      <c r="BQ36" s="214"/>
      <c r="BR36" s="99">
        <f t="shared" si="32"/>
        <v>0</v>
      </c>
      <c r="BS36" s="214"/>
      <c r="BT36" s="97">
        <f t="shared" si="135"/>
        <v>0</v>
      </c>
      <c r="BU36" s="214"/>
      <c r="BV36" s="99">
        <f t="shared" si="33"/>
        <v>0</v>
      </c>
      <c r="BW36" s="214"/>
      <c r="BX36" s="97">
        <f t="shared" si="135"/>
        <v>0</v>
      </c>
      <c r="BY36" s="214"/>
      <c r="BZ36" s="99">
        <f t="shared" si="34"/>
        <v>0</v>
      </c>
      <c r="CA36" s="214"/>
      <c r="CB36" s="97">
        <f t="shared" si="135"/>
        <v>0</v>
      </c>
      <c r="CC36" s="214"/>
      <c r="CD36" s="99">
        <f t="shared" si="35"/>
        <v>0</v>
      </c>
      <c r="CE36" s="214"/>
      <c r="CF36" s="97">
        <f t="shared" si="135"/>
        <v>0</v>
      </c>
      <c r="CG36" s="214"/>
      <c r="CH36" s="99">
        <f t="shared" si="36"/>
        <v>0</v>
      </c>
      <c r="CI36" s="214"/>
      <c r="CJ36" s="97">
        <f t="shared" si="135"/>
        <v>0</v>
      </c>
      <c r="CK36" s="214"/>
      <c r="CL36" s="99">
        <f t="shared" si="37"/>
        <v>0</v>
      </c>
      <c r="CM36" s="214"/>
      <c r="CN36" s="97">
        <f t="shared" si="135"/>
        <v>0</v>
      </c>
      <c r="CO36" s="214"/>
      <c r="CP36" s="99">
        <f t="shared" si="38"/>
        <v>0</v>
      </c>
      <c r="CQ36" s="214"/>
      <c r="CR36" s="97">
        <f t="shared" si="135"/>
        <v>0</v>
      </c>
      <c r="CS36" s="214"/>
      <c r="CT36" s="99">
        <f t="shared" si="39"/>
        <v>0</v>
      </c>
      <c r="CU36" s="214"/>
      <c r="CV36" s="97">
        <f t="shared" si="135"/>
        <v>0</v>
      </c>
      <c r="CW36" s="214"/>
      <c r="CX36" s="99">
        <f t="shared" si="40"/>
        <v>0</v>
      </c>
      <c r="CY36" s="214">
        <v>52</v>
      </c>
      <c r="CZ36" s="97">
        <v>52</v>
      </c>
      <c r="DA36" s="214">
        <v>24</v>
      </c>
      <c r="DB36" s="99">
        <f t="shared" si="41"/>
        <v>46.153846153846153</v>
      </c>
      <c r="DC36" s="214"/>
      <c r="DD36" s="97">
        <f t="shared" si="135"/>
        <v>0</v>
      </c>
      <c r="DE36" s="214"/>
      <c r="DF36" s="99">
        <f t="shared" si="42"/>
        <v>0</v>
      </c>
      <c r="DG36" s="214"/>
      <c r="DH36" s="97">
        <f t="shared" si="135"/>
        <v>0</v>
      </c>
      <c r="DI36" s="214"/>
      <c r="DJ36" s="99" t="e">
        <f t="shared" si="139"/>
        <v>#DIV/0!</v>
      </c>
      <c r="DK36" s="214"/>
      <c r="DL36" s="97">
        <f t="shared" si="135"/>
        <v>0</v>
      </c>
      <c r="DM36" s="214"/>
      <c r="DN36" s="99">
        <f t="shared" si="43"/>
        <v>0</v>
      </c>
      <c r="DO36" s="214"/>
      <c r="DP36" s="97">
        <f t="shared" si="135"/>
        <v>0</v>
      </c>
      <c r="DQ36" s="214"/>
      <c r="DR36" s="99">
        <f t="shared" si="44"/>
        <v>0</v>
      </c>
      <c r="DS36" s="214"/>
      <c r="DT36" s="97">
        <f t="shared" si="135"/>
        <v>0</v>
      </c>
      <c r="DU36" s="214"/>
      <c r="DV36" s="99" t="e">
        <f t="shared" si="140"/>
        <v>#DIV/0!</v>
      </c>
      <c r="DW36" s="214"/>
      <c r="DX36" s="97">
        <f t="shared" si="141"/>
        <v>0</v>
      </c>
      <c r="DY36" s="214"/>
      <c r="DZ36" s="99" t="e">
        <f t="shared" si="142"/>
        <v>#DIV/0!</v>
      </c>
      <c r="EA36" s="214">
        <v>34</v>
      </c>
      <c r="EB36" s="97">
        <v>34</v>
      </c>
      <c r="EC36" s="214">
        <v>4</v>
      </c>
      <c r="ED36" s="99">
        <f t="shared" si="45"/>
        <v>11.76470588235294</v>
      </c>
      <c r="EE36" s="214">
        <v>485</v>
      </c>
      <c r="EF36" s="97">
        <v>485</v>
      </c>
      <c r="EG36" s="214">
        <v>292</v>
      </c>
      <c r="EH36" s="99">
        <f t="shared" si="46"/>
        <v>60.206185567010309</v>
      </c>
      <c r="EI36" s="214">
        <v>20</v>
      </c>
      <c r="EJ36" s="97">
        <v>20</v>
      </c>
      <c r="EK36" s="214">
        <v>0</v>
      </c>
      <c r="EL36" s="99">
        <f t="shared" si="47"/>
        <v>0</v>
      </c>
      <c r="EM36" s="214">
        <v>65</v>
      </c>
      <c r="EN36" s="97">
        <v>65</v>
      </c>
      <c r="EO36" s="214">
        <v>15</v>
      </c>
      <c r="EP36" s="99">
        <f t="shared" si="48"/>
        <v>23.076923076923077</v>
      </c>
      <c r="EQ36" s="214"/>
      <c r="ER36" s="97">
        <f t="shared" si="141"/>
        <v>0</v>
      </c>
      <c r="ES36" s="214"/>
      <c r="ET36" s="99">
        <f t="shared" si="49"/>
        <v>0</v>
      </c>
      <c r="EU36" s="214"/>
      <c r="EV36" s="97">
        <f t="shared" si="141"/>
        <v>0</v>
      </c>
      <c r="EW36" s="214"/>
      <c r="EX36" s="99">
        <f t="shared" si="50"/>
        <v>0</v>
      </c>
      <c r="EY36" s="152">
        <f t="shared" si="51"/>
        <v>5151</v>
      </c>
      <c r="EZ36" s="152">
        <f t="shared" si="17"/>
        <v>5151</v>
      </c>
      <c r="FA36" s="152">
        <f t="shared" si="17"/>
        <v>3773</v>
      </c>
      <c r="FB36" s="152">
        <f t="shared" si="52"/>
        <v>73.247913026596777</v>
      </c>
    </row>
    <row r="37" spans="1:158" ht="15.75" x14ac:dyDescent="0.2">
      <c r="A37" s="169" t="s">
        <v>146</v>
      </c>
      <c r="B37" s="170" t="s">
        <v>339</v>
      </c>
      <c r="C37" s="96"/>
      <c r="D37" s="97">
        <f t="shared" si="136"/>
        <v>0</v>
      </c>
      <c r="E37" s="98"/>
      <c r="F37" s="99" t="e">
        <f t="shared" si="3"/>
        <v>#DIV/0!</v>
      </c>
      <c r="G37" s="214">
        <v>770</v>
      </c>
      <c r="H37" s="97">
        <v>770</v>
      </c>
      <c r="I37" s="214">
        <v>632</v>
      </c>
      <c r="J37" s="99">
        <f t="shared" si="18"/>
        <v>82.077922077922082</v>
      </c>
      <c r="K37" s="214"/>
      <c r="L37" s="97">
        <f t="shared" si="137"/>
        <v>0</v>
      </c>
      <c r="M37" s="214"/>
      <c r="N37" s="99" t="e">
        <f t="shared" si="138"/>
        <v>#DIV/0!</v>
      </c>
      <c r="O37" s="214">
        <v>961</v>
      </c>
      <c r="P37" s="195">
        <v>961</v>
      </c>
      <c r="Q37" s="214">
        <v>730</v>
      </c>
      <c r="R37" s="99">
        <f t="shared" si="19"/>
        <v>75.962539021852237</v>
      </c>
      <c r="S37" s="214">
        <v>600</v>
      </c>
      <c r="T37" s="97">
        <v>600</v>
      </c>
      <c r="U37" s="214">
        <v>470</v>
      </c>
      <c r="V37" s="99">
        <f t="shared" si="20"/>
        <v>78.333333333333329</v>
      </c>
      <c r="W37" s="214">
        <v>1090</v>
      </c>
      <c r="X37" s="97">
        <v>1090</v>
      </c>
      <c r="Y37" s="214">
        <v>685</v>
      </c>
      <c r="Z37" s="99">
        <f t="shared" si="21"/>
        <v>62.844036697247709</v>
      </c>
      <c r="AA37" s="214">
        <v>400</v>
      </c>
      <c r="AB37" s="97">
        <v>400</v>
      </c>
      <c r="AC37" s="214">
        <v>337</v>
      </c>
      <c r="AD37" s="99">
        <f t="shared" si="22"/>
        <v>84.25</v>
      </c>
      <c r="AE37" s="214">
        <v>197.7885</v>
      </c>
      <c r="AF37" s="97">
        <v>197.7885</v>
      </c>
      <c r="AG37" s="214">
        <v>186</v>
      </c>
      <c r="AH37" s="99">
        <f t="shared" si="23"/>
        <v>94.039845592640631</v>
      </c>
      <c r="AI37" s="214">
        <v>1500</v>
      </c>
      <c r="AJ37" s="214">
        <v>1500</v>
      </c>
      <c r="AK37" s="214">
        <v>1491</v>
      </c>
      <c r="AL37" s="99">
        <f t="shared" si="24"/>
        <v>99.4</v>
      </c>
      <c r="AM37" s="214">
        <v>200</v>
      </c>
      <c r="AN37" s="97">
        <v>200</v>
      </c>
      <c r="AO37" s="214">
        <v>211</v>
      </c>
      <c r="AP37" s="99">
        <f t="shared" si="25"/>
        <v>105.5</v>
      </c>
      <c r="AQ37" s="214">
        <v>504</v>
      </c>
      <c r="AR37" s="97">
        <v>504</v>
      </c>
      <c r="AS37" s="214">
        <v>379</v>
      </c>
      <c r="AT37" s="99">
        <f t="shared" si="26"/>
        <v>75.198412698412696</v>
      </c>
      <c r="AU37" s="214"/>
      <c r="AV37" s="97">
        <f t="shared" si="137"/>
        <v>0</v>
      </c>
      <c r="AW37" s="214"/>
      <c r="AX37" s="99">
        <f t="shared" si="27"/>
        <v>0</v>
      </c>
      <c r="AY37" s="214"/>
      <c r="AZ37" s="97">
        <f t="shared" si="137"/>
        <v>0</v>
      </c>
      <c r="BA37" s="214"/>
      <c r="BB37" s="99">
        <f t="shared" si="28"/>
        <v>0</v>
      </c>
      <c r="BC37" s="214"/>
      <c r="BD37" s="97">
        <f t="shared" si="137"/>
        <v>0</v>
      </c>
      <c r="BE37" s="214"/>
      <c r="BF37" s="99">
        <f t="shared" si="29"/>
        <v>0</v>
      </c>
      <c r="BG37" s="214"/>
      <c r="BH37" s="97">
        <f t="shared" si="137"/>
        <v>0</v>
      </c>
      <c r="BI37" s="214"/>
      <c r="BJ37" s="99">
        <f t="shared" si="30"/>
        <v>0</v>
      </c>
      <c r="BK37" s="214"/>
      <c r="BL37" s="97">
        <f t="shared" si="137"/>
        <v>0</v>
      </c>
      <c r="BM37" s="214"/>
      <c r="BN37" s="99">
        <f t="shared" si="31"/>
        <v>0</v>
      </c>
      <c r="BO37" s="214"/>
      <c r="BP37" s="97">
        <f t="shared" si="137"/>
        <v>0</v>
      </c>
      <c r="BQ37" s="214"/>
      <c r="BR37" s="99">
        <f t="shared" si="32"/>
        <v>0</v>
      </c>
      <c r="BS37" s="214"/>
      <c r="BT37" s="97">
        <f t="shared" si="135"/>
        <v>0</v>
      </c>
      <c r="BU37" s="214"/>
      <c r="BV37" s="99">
        <f t="shared" si="33"/>
        <v>0</v>
      </c>
      <c r="BW37" s="214"/>
      <c r="BX37" s="97">
        <f t="shared" si="135"/>
        <v>0</v>
      </c>
      <c r="BY37" s="214"/>
      <c r="BZ37" s="99">
        <f t="shared" si="34"/>
        <v>0</v>
      </c>
      <c r="CA37" s="214"/>
      <c r="CB37" s="97">
        <f t="shared" si="135"/>
        <v>0</v>
      </c>
      <c r="CC37" s="214"/>
      <c r="CD37" s="99">
        <f t="shared" si="35"/>
        <v>0</v>
      </c>
      <c r="CE37" s="214"/>
      <c r="CF37" s="97">
        <f t="shared" si="135"/>
        <v>0</v>
      </c>
      <c r="CG37" s="214"/>
      <c r="CH37" s="99">
        <f t="shared" si="36"/>
        <v>0</v>
      </c>
      <c r="CI37" s="214"/>
      <c r="CJ37" s="97">
        <f t="shared" si="135"/>
        <v>0</v>
      </c>
      <c r="CK37" s="214"/>
      <c r="CL37" s="99">
        <f t="shared" si="37"/>
        <v>0</v>
      </c>
      <c r="CM37" s="214"/>
      <c r="CN37" s="97">
        <f t="shared" si="135"/>
        <v>0</v>
      </c>
      <c r="CO37" s="214"/>
      <c r="CP37" s="99">
        <f t="shared" si="38"/>
        <v>0</v>
      </c>
      <c r="CQ37" s="214"/>
      <c r="CR37" s="97">
        <f t="shared" si="135"/>
        <v>0</v>
      </c>
      <c r="CS37" s="214"/>
      <c r="CT37" s="99">
        <f t="shared" si="39"/>
        <v>0</v>
      </c>
      <c r="CU37" s="214"/>
      <c r="CV37" s="97">
        <f t="shared" si="135"/>
        <v>0</v>
      </c>
      <c r="CW37" s="214"/>
      <c r="CX37" s="99">
        <f t="shared" si="40"/>
        <v>0</v>
      </c>
      <c r="CY37" s="214">
        <v>27</v>
      </c>
      <c r="CZ37" s="97">
        <v>27</v>
      </c>
      <c r="DA37" s="214">
        <v>0</v>
      </c>
      <c r="DB37" s="99">
        <f t="shared" si="41"/>
        <v>0</v>
      </c>
      <c r="DC37" s="214"/>
      <c r="DD37" s="97">
        <f t="shared" si="135"/>
        <v>0</v>
      </c>
      <c r="DE37" s="214"/>
      <c r="DF37" s="99">
        <f t="shared" si="42"/>
        <v>0</v>
      </c>
      <c r="DG37" s="214"/>
      <c r="DH37" s="97">
        <f t="shared" si="135"/>
        <v>0</v>
      </c>
      <c r="DI37" s="214"/>
      <c r="DJ37" s="99" t="e">
        <f t="shared" si="139"/>
        <v>#DIV/0!</v>
      </c>
      <c r="DK37" s="214"/>
      <c r="DL37" s="97">
        <f t="shared" si="135"/>
        <v>0</v>
      </c>
      <c r="DM37" s="214"/>
      <c r="DN37" s="99">
        <f t="shared" si="43"/>
        <v>0</v>
      </c>
      <c r="DO37" s="214"/>
      <c r="DP37" s="97">
        <f t="shared" si="135"/>
        <v>0</v>
      </c>
      <c r="DQ37" s="214"/>
      <c r="DR37" s="99">
        <f t="shared" si="44"/>
        <v>0</v>
      </c>
      <c r="DS37" s="214"/>
      <c r="DT37" s="97">
        <f t="shared" si="135"/>
        <v>0</v>
      </c>
      <c r="DU37" s="214"/>
      <c r="DV37" s="99" t="e">
        <f t="shared" si="140"/>
        <v>#DIV/0!</v>
      </c>
      <c r="DW37" s="214"/>
      <c r="DX37" s="97">
        <f t="shared" si="141"/>
        <v>0</v>
      </c>
      <c r="DY37" s="214"/>
      <c r="DZ37" s="99" t="e">
        <f t="shared" si="142"/>
        <v>#DIV/0!</v>
      </c>
      <c r="EA37" s="214">
        <v>29</v>
      </c>
      <c r="EB37" s="97">
        <v>29</v>
      </c>
      <c r="EC37" s="214">
        <v>12</v>
      </c>
      <c r="ED37" s="99">
        <f t="shared" si="45"/>
        <v>41.379310344827587</v>
      </c>
      <c r="EE37" s="214">
        <v>455</v>
      </c>
      <c r="EF37" s="97">
        <v>455</v>
      </c>
      <c r="EG37" s="214">
        <v>121</v>
      </c>
      <c r="EH37" s="99">
        <f t="shared" si="46"/>
        <v>26.593406593406595</v>
      </c>
      <c r="EI37" s="214">
        <v>35</v>
      </c>
      <c r="EJ37" s="97">
        <v>35</v>
      </c>
      <c r="EK37" s="214">
        <v>5</v>
      </c>
      <c r="EL37" s="99">
        <f t="shared" si="47"/>
        <v>14.285714285714285</v>
      </c>
      <c r="EM37" s="214">
        <v>0</v>
      </c>
      <c r="EN37" s="97">
        <v>0</v>
      </c>
      <c r="EO37" s="214">
        <v>2</v>
      </c>
      <c r="EP37" s="99">
        <f t="shared" si="48"/>
        <v>0</v>
      </c>
      <c r="EQ37" s="214"/>
      <c r="ER37" s="97">
        <f t="shared" si="141"/>
        <v>0</v>
      </c>
      <c r="ES37" s="214"/>
      <c r="ET37" s="99">
        <f t="shared" si="49"/>
        <v>0</v>
      </c>
      <c r="EU37" s="214"/>
      <c r="EV37" s="97">
        <f t="shared" si="141"/>
        <v>0</v>
      </c>
      <c r="EW37" s="214"/>
      <c r="EX37" s="99">
        <f t="shared" si="50"/>
        <v>0</v>
      </c>
      <c r="EY37" s="152">
        <f t="shared" si="51"/>
        <v>6768.7885000000006</v>
      </c>
      <c r="EZ37" s="152">
        <f t="shared" si="17"/>
        <v>6768.7885000000006</v>
      </c>
      <c r="FA37" s="152">
        <f t="shared" si="17"/>
        <v>5261</v>
      </c>
      <c r="FB37" s="152">
        <f t="shared" si="52"/>
        <v>77.724396322916562</v>
      </c>
    </row>
    <row r="38" spans="1:158" ht="15.75" x14ac:dyDescent="0.2">
      <c r="A38" s="169" t="s">
        <v>147</v>
      </c>
      <c r="B38" s="170" t="s">
        <v>339</v>
      </c>
      <c r="C38" s="96"/>
      <c r="D38" s="97">
        <f t="shared" si="136"/>
        <v>0</v>
      </c>
      <c r="E38" s="98"/>
      <c r="F38" s="99" t="e">
        <f t="shared" si="3"/>
        <v>#DIV/0!</v>
      </c>
      <c r="G38" s="214">
        <v>1745</v>
      </c>
      <c r="H38" s="97">
        <v>1745</v>
      </c>
      <c r="I38" s="214">
        <v>2191</v>
      </c>
      <c r="J38" s="99">
        <f t="shared" si="18"/>
        <v>125.55873925501433</v>
      </c>
      <c r="K38" s="214"/>
      <c r="L38" s="97">
        <f t="shared" si="137"/>
        <v>0</v>
      </c>
      <c r="M38" s="214"/>
      <c r="N38" s="99" t="e">
        <f t="shared" si="138"/>
        <v>#DIV/0!</v>
      </c>
      <c r="O38" s="214">
        <v>3475</v>
      </c>
      <c r="P38" s="195">
        <v>3475</v>
      </c>
      <c r="Q38" s="214">
        <v>2850</v>
      </c>
      <c r="R38" s="99">
        <f t="shared" si="19"/>
        <v>82.014388489208628</v>
      </c>
      <c r="S38" s="214">
        <v>2100</v>
      </c>
      <c r="T38" s="97">
        <v>2100</v>
      </c>
      <c r="U38" s="214">
        <v>1481</v>
      </c>
      <c r="V38" s="99">
        <f t="shared" si="20"/>
        <v>70.523809523809518</v>
      </c>
      <c r="W38" s="214">
        <v>2266</v>
      </c>
      <c r="X38" s="97">
        <v>2266</v>
      </c>
      <c r="Y38" s="214">
        <v>1980</v>
      </c>
      <c r="Z38" s="99">
        <f t="shared" si="21"/>
        <v>87.378640776699029</v>
      </c>
      <c r="AA38" s="214">
        <v>800</v>
      </c>
      <c r="AB38" s="97">
        <v>800</v>
      </c>
      <c r="AC38" s="214">
        <v>669</v>
      </c>
      <c r="AD38" s="99">
        <f t="shared" si="22"/>
        <v>83.625</v>
      </c>
      <c r="AE38" s="214">
        <v>765</v>
      </c>
      <c r="AF38" s="97">
        <v>765</v>
      </c>
      <c r="AG38" s="214">
        <v>646</v>
      </c>
      <c r="AH38" s="99">
        <f t="shared" si="23"/>
        <v>84.444444444444443</v>
      </c>
      <c r="AI38" s="214">
        <v>3695</v>
      </c>
      <c r="AJ38" s="214">
        <v>3695</v>
      </c>
      <c r="AK38" s="214">
        <v>4096</v>
      </c>
      <c r="AL38" s="99">
        <f t="shared" si="24"/>
        <v>110.85250338294995</v>
      </c>
      <c r="AM38" s="214">
        <v>600</v>
      </c>
      <c r="AN38" s="97">
        <v>600</v>
      </c>
      <c r="AO38" s="214">
        <v>711</v>
      </c>
      <c r="AP38" s="99">
        <f t="shared" si="25"/>
        <v>118.5</v>
      </c>
      <c r="AQ38" s="214">
        <v>1726</v>
      </c>
      <c r="AR38" s="97">
        <v>1726</v>
      </c>
      <c r="AS38" s="214">
        <v>1571</v>
      </c>
      <c r="AT38" s="99">
        <f t="shared" si="26"/>
        <v>91.0196987253766</v>
      </c>
      <c r="AU38" s="214"/>
      <c r="AV38" s="97">
        <f t="shared" si="137"/>
        <v>0</v>
      </c>
      <c r="AW38" s="214"/>
      <c r="AX38" s="99">
        <f t="shared" si="27"/>
        <v>0</v>
      </c>
      <c r="AY38" s="214"/>
      <c r="AZ38" s="97">
        <f t="shared" si="137"/>
        <v>0</v>
      </c>
      <c r="BA38" s="214"/>
      <c r="BB38" s="99">
        <f t="shared" si="28"/>
        <v>0</v>
      </c>
      <c r="BC38" s="214"/>
      <c r="BD38" s="97">
        <f t="shared" si="137"/>
        <v>0</v>
      </c>
      <c r="BE38" s="214"/>
      <c r="BF38" s="99">
        <f t="shared" si="29"/>
        <v>0</v>
      </c>
      <c r="BG38" s="214"/>
      <c r="BH38" s="97">
        <f t="shared" si="137"/>
        <v>0</v>
      </c>
      <c r="BI38" s="214"/>
      <c r="BJ38" s="99">
        <f t="shared" si="30"/>
        <v>0</v>
      </c>
      <c r="BK38" s="214"/>
      <c r="BL38" s="97">
        <f t="shared" si="137"/>
        <v>0</v>
      </c>
      <c r="BM38" s="214"/>
      <c r="BN38" s="99">
        <f t="shared" si="31"/>
        <v>0</v>
      </c>
      <c r="BO38" s="214"/>
      <c r="BP38" s="97">
        <f t="shared" si="137"/>
        <v>0</v>
      </c>
      <c r="BQ38" s="214"/>
      <c r="BR38" s="99">
        <f t="shared" si="32"/>
        <v>0</v>
      </c>
      <c r="BS38" s="214"/>
      <c r="BT38" s="97">
        <f t="shared" si="135"/>
        <v>0</v>
      </c>
      <c r="BU38" s="214"/>
      <c r="BV38" s="99">
        <f t="shared" si="33"/>
        <v>0</v>
      </c>
      <c r="BW38" s="214"/>
      <c r="BX38" s="97">
        <f t="shared" si="135"/>
        <v>0</v>
      </c>
      <c r="BY38" s="214"/>
      <c r="BZ38" s="99">
        <f t="shared" si="34"/>
        <v>0</v>
      </c>
      <c r="CA38" s="214"/>
      <c r="CB38" s="97">
        <f t="shared" si="135"/>
        <v>0</v>
      </c>
      <c r="CC38" s="214"/>
      <c r="CD38" s="99">
        <f t="shared" si="35"/>
        <v>0</v>
      </c>
      <c r="CE38" s="214"/>
      <c r="CF38" s="97">
        <f t="shared" si="135"/>
        <v>0</v>
      </c>
      <c r="CG38" s="214"/>
      <c r="CH38" s="99">
        <f t="shared" si="36"/>
        <v>0</v>
      </c>
      <c r="CI38" s="214"/>
      <c r="CJ38" s="97">
        <f t="shared" si="135"/>
        <v>0</v>
      </c>
      <c r="CK38" s="214"/>
      <c r="CL38" s="99">
        <f t="shared" si="37"/>
        <v>0</v>
      </c>
      <c r="CM38" s="214"/>
      <c r="CN38" s="97">
        <f t="shared" si="135"/>
        <v>0</v>
      </c>
      <c r="CO38" s="214"/>
      <c r="CP38" s="99">
        <f t="shared" si="38"/>
        <v>0</v>
      </c>
      <c r="CQ38" s="214"/>
      <c r="CR38" s="97">
        <f t="shared" si="135"/>
        <v>0</v>
      </c>
      <c r="CS38" s="214"/>
      <c r="CT38" s="99">
        <f t="shared" si="39"/>
        <v>0</v>
      </c>
      <c r="CU38" s="214"/>
      <c r="CV38" s="97">
        <f t="shared" si="135"/>
        <v>0</v>
      </c>
      <c r="CW38" s="214"/>
      <c r="CX38" s="99">
        <f t="shared" si="40"/>
        <v>0</v>
      </c>
      <c r="CY38" s="214">
        <v>34</v>
      </c>
      <c r="CZ38" s="97">
        <v>34</v>
      </c>
      <c r="DA38" s="214">
        <v>10</v>
      </c>
      <c r="DB38" s="99">
        <f t="shared" si="41"/>
        <v>29.411764705882355</v>
      </c>
      <c r="DC38" s="214"/>
      <c r="DD38" s="97">
        <f t="shared" si="135"/>
        <v>0</v>
      </c>
      <c r="DE38" s="214"/>
      <c r="DF38" s="99">
        <f t="shared" si="42"/>
        <v>0</v>
      </c>
      <c r="DG38" s="214"/>
      <c r="DH38" s="97">
        <f t="shared" si="135"/>
        <v>0</v>
      </c>
      <c r="DI38" s="214"/>
      <c r="DJ38" s="99" t="e">
        <f t="shared" si="139"/>
        <v>#DIV/0!</v>
      </c>
      <c r="DK38" s="214"/>
      <c r="DL38" s="97">
        <f t="shared" si="135"/>
        <v>0</v>
      </c>
      <c r="DM38" s="214"/>
      <c r="DN38" s="99">
        <f t="shared" si="43"/>
        <v>0</v>
      </c>
      <c r="DO38" s="214"/>
      <c r="DP38" s="97">
        <f t="shared" si="135"/>
        <v>0</v>
      </c>
      <c r="DQ38" s="214"/>
      <c r="DR38" s="99">
        <f t="shared" si="44"/>
        <v>0</v>
      </c>
      <c r="DS38" s="214"/>
      <c r="DT38" s="97">
        <f t="shared" si="135"/>
        <v>0</v>
      </c>
      <c r="DU38" s="214"/>
      <c r="DV38" s="99" t="e">
        <f t="shared" si="140"/>
        <v>#DIV/0!</v>
      </c>
      <c r="DW38" s="214"/>
      <c r="DX38" s="97">
        <f t="shared" si="141"/>
        <v>0</v>
      </c>
      <c r="DY38" s="214"/>
      <c r="DZ38" s="99" t="e">
        <f t="shared" si="142"/>
        <v>#DIV/0!</v>
      </c>
      <c r="EA38" s="214">
        <v>23</v>
      </c>
      <c r="EB38" s="97">
        <v>23</v>
      </c>
      <c r="EC38" s="214">
        <v>19</v>
      </c>
      <c r="ED38" s="99">
        <f t="shared" si="45"/>
        <v>82.608695652173907</v>
      </c>
      <c r="EE38" s="214">
        <v>636</v>
      </c>
      <c r="EF38" s="97">
        <v>636</v>
      </c>
      <c r="EG38" s="214">
        <v>565</v>
      </c>
      <c r="EH38" s="99">
        <f t="shared" si="46"/>
        <v>88.836477987421375</v>
      </c>
      <c r="EI38" s="214">
        <v>10</v>
      </c>
      <c r="EJ38" s="97">
        <v>10</v>
      </c>
      <c r="EK38" s="214">
        <v>0</v>
      </c>
      <c r="EL38" s="99">
        <f t="shared" si="47"/>
        <v>0</v>
      </c>
      <c r="EM38" s="214">
        <v>295</v>
      </c>
      <c r="EN38" s="97">
        <v>295</v>
      </c>
      <c r="EO38" s="214">
        <v>110</v>
      </c>
      <c r="EP38" s="99">
        <f t="shared" si="48"/>
        <v>37.288135593220339</v>
      </c>
      <c r="EQ38" s="214"/>
      <c r="ER38" s="97">
        <f t="shared" si="141"/>
        <v>0</v>
      </c>
      <c r="ES38" s="214"/>
      <c r="ET38" s="99">
        <f t="shared" si="49"/>
        <v>0</v>
      </c>
      <c r="EU38" s="214"/>
      <c r="EV38" s="97">
        <f t="shared" si="141"/>
        <v>0</v>
      </c>
      <c r="EW38" s="214"/>
      <c r="EX38" s="99">
        <f t="shared" si="50"/>
        <v>0</v>
      </c>
      <c r="EY38" s="152">
        <f t="shared" si="51"/>
        <v>18170</v>
      </c>
      <c r="EZ38" s="152">
        <f t="shared" si="17"/>
        <v>18170</v>
      </c>
      <c r="FA38" s="152">
        <f t="shared" si="17"/>
        <v>16899</v>
      </c>
      <c r="FB38" s="152">
        <f t="shared" si="52"/>
        <v>93.004953219592736</v>
      </c>
    </row>
    <row r="39" spans="1:158" s="355" customFormat="1" ht="31.5" x14ac:dyDescent="0.2">
      <c r="A39" s="342" t="s">
        <v>342</v>
      </c>
      <c r="B39" s="351" t="s">
        <v>339</v>
      </c>
      <c r="C39" s="352"/>
      <c r="D39" s="346">
        <f t="shared" si="136"/>
        <v>0</v>
      </c>
      <c r="E39" s="353"/>
      <c r="F39" s="345" t="e">
        <f t="shared" si="3"/>
        <v>#DIV/0!</v>
      </c>
      <c r="G39" s="357">
        <v>4313</v>
      </c>
      <c r="H39" s="346">
        <v>4313</v>
      </c>
      <c r="I39" s="361">
        <v>2068</v>
      </c>
      <c r="J39" s="345">
        <f>(I39+I40)/H39*100</f>
        <v>92.186413169487594</v>
      </c>
      <c r="K39" s="357"/>
      <c r="L39" s="346">
        <f t="shared" si="137"/>
        <v>0</v>
      </c>
      <c r="M39" s="357"/>
      <c r="N39" s="345" t="e">
        <f t="shared" si="138"/>
        <v>#DIV/0!</v>
      </c>
      <c r="O39" s="357">
        <v>5462</v>
      </c>
      <c r="P39" s="357">
        <v>5462</v>
      </c>
      <c r="Q39" s="361">
        <v>2615</v>
      </c>
      <c r="R39" s="345">
        <f>(Q39+Q40)/P39*100</f>
        <v>107.74441596484805</v>
      </c>
      <c r="S39" s="357">
        <v>2000</v>
      </c>
      <c r="T39" s="357">
        <v>2000</v>
      </c>
      <c r="U39" s="361">
        <v>1327</v>
      </c>
      <c r="V39" s="345">
        <f>(U39+U40)/T39*100</f>
        <v>125.75</v>
      </c>
      <c r="W39" s="357">
        <v>2768</v>
      </c>
      <c r="X39" s="346">
        <v>2768</v>
      </c>
      <c r="Y39" s="361">
        <v>2231</v>
      </c>
      <c r="Z39" s="345">
        <f>(Y39+Y40)/X39*100</f>
        <v>138.29479768786129</v>
      </c>
      <c r="AA39" s="357">
        <v>1300</v>
      </c>
      <c r="AB39" s="346">
        <v>1300</v>
      </c>
      <c r="AC39" s="357">
        <v>904</v>
      </c>
      <c r="AD39" s="345">
        <f>(AC39+AC40)/AB39*100</f>
        <v>121.61538461538461</v>
      </c>
      <c r="AE39" s="357">
        <v>1182</v>
      </c>
      <c r="AF39" s="346">
        <v>1182</v>
      </c>
      <c r="AG39" s="361">
        <v>603</v>
      </c>
      <c r="AH39" s="345">
        <f>(AG39+AG40)/AF39*100</f>
        <v>106.93739424703892</v>
      </c>
      <c r="AI39" s="357">
        <v>6655</v>
      </c>
      <c r="AJ39" s="357">
        <v>6655</v>
      </c>
      <c r="AK39" s="361">
        <v>2560</v>
      </c>
      <c r="AL39" s="345">
        <f>(AK39+AK40)/AJ39*100</f>
        <v>113.41848234410219</v>
      </c>
      <c r="AM39" s="357">
        <v>938</v>
      </c>
      <c r="AN39" s="346">
        <v>938</v>
      </c>
      <c r="AO39" s="361">
        <v>497</v>
      </c>
      <c r="AP39" s="345">
        <f>(AO39+AO40)/AN39*100</f>
        <v>110.23454157782515</v>
      </c>
      <c r="AQ39" s="357">
        <v>2528</v>
      </c>
      <c r="AR39" s="346">
        <v>2528</v>
      </c>
      <c r="AS39" s="361">
        <v>1503</v>
      </c>
      <c r="AT39" s="345">
        <f>(AS39+AS40)/AR39*100</f>
        <v>133.30696202531647</v>
      </c>
      <c r="AU39" s="357"/>
      <c r="AV39" s="346">
        <f t="shared" si="137"/>
        <v>0</v>
      </c>
      <c r="AW39" s="357"/>
      <c r="AX39" s="345">
        <f t="shared" si="27"/>
        <v>0</v>
      </c>
      <c r="AY39" s="357"/>
      <c r="AZ39" s="346">
        <f t="shared" si="137"/>
        <v>0</v>
      </c>
      <c r="BA39" s="357"/>
      <c r="BB39" s="345">
        <f t="shared" si="28"/>
        <v>0</v>
      </c>
      <c r="BC39" s="357"/>
      <c r="BD39" s="346">
        <f t="shared" si="137"/>
        <v>0</v>
      </c>
      <c r="BE39" s="357"/>
      <c r="BF39" s="345">
        <f t="shared" si="29"/>
        <v>0</v>
      </c>
      <c r="BG39" s="357"/>
      <c r="BH39" s="346">
        <f t="shared" si="137"/>
        <v>0</v>
      </c>
      <c r="BI39" s="357"/>
      <c r="BJ39" s="345">
        <f t="shared" si="30"/>
        <v>0</v>
      </c>
      <c r="BK39" s="357"/>
      <c r="BL39" s="346">
        <f t="shared" si="137"/>
        <v>0</v>
      </c>
      <c r="BM39" s="357"/>
      <c r="BN39" s="345">
        <f t="shared" si="31"/>
        <v>0</v>
      </c>
      <c r="BO39" s="357"/>
      <c r="BP39" s="346">
        <f t="shared" si="137"/>
        <v>0</v>
      </c>
      <c r="BQ39" s="357"/>
      <c r="BR39" s="345">
        <f t="shared" si="32"/>
        <v>0</v>
      </c>
      <c r="BS39" s="357"/>
      <c r="BT39" s="346">
        <f t="shared" si="135"/>
        <v>0</v>
      </c>
      <c r="BU39" s="357"/>
      <c r="BV39" s="345">
        <f t="shared" si="33"/>
        <v>0</v>
      </c>
      <c r="BW39" s="357"/>
      <c r="BX39" s="346">
        <f t="shared" si="135"/>
        <v>0</v>
      </c>
      <c r="BY39" s="357"/>
      <c r="BZ39" s="345">
        <f t="shared" si="34"/>
        <v>0</v>
      </c>
      <c r="CA39" s="357"/>
      <c r="CB39" s="346">
        <f t="shared" si="135"/>
        <v>0</v>
      </c>
      <c r="CC39" s="357"/>
      <c r="CD39" s="345">
        <f t="shared" si="35"/>
        <v>0</v>
      </c>
      <c r="CE39" s="357"/>
      <c r="CF39" s="346">
        <f t="shared" si="135"/>
        <v>0</v>
      </c>
      <c r="CG39" s="357"/>
      <c r="CH39" s="345">
        <f t="shared" si="36"/>
        <v>0</v>
      </c>
      <c r="CI39" s="357"/>
      <c r="CJ39" s="346">
        <f t="shared" si="135"/>
        <v>0</v>
      </c>
      <c r="CK39" s="357"/>
      <c r="CL39" s="345">
        <f t="shared" si="37"/>
        <v>0</v>
      </c>
      <c r="CM39" s="357"/>
      <c r="CN39" s="346">
        <f t="shared" si="135"/>
        <v>0</v>
      </c>
      <c r="CO39" s="357"/>
      <c r="CP39" s="345">
        <f t="shared" si="38"/>
        <v>0</v>
      </c>
      <c r="CQ39" s="357"/>
      <c r="CR39" s="346">
        <f t="shared" si="135"/>
        <v>0</v>
      </c>
      <c r="CS39" s="357"/>
      <c r="CT39" s="345">
        <f t="shared" si="39"/>
        <v>0</v>
      </c>
      <c r="CU39" s="357"/>
      <c r="CV39" s="346">
        <f t="shared" si="135"/>
        <v>0</v>
      </c>
      <c r="CW39" s="357"/>
      <c r="CX39" s="345">
        <f t="shared" si="40"/>
        <v>0</v>
      </c>
      <c r="CY39" s="357">
        <v>33</v>
      </c>
      <c r="CZ39" s="346">
        <v>33</v>
      </c>
      <c r="DA39" s="357">
        <v>0</v>
      </c>
      <c r="DB39" s="345">
        <f t="shared" si="41"/>
        <v>0</v>
      </c>
      <c r="DC39" s="357"/>
      <c r="DD39" s="346">
        <f t="shared" si="135"/>
        <v>0</v>
      </c>
      <c r="DE39" s="357"/>
      <c r="DF39" s="345">
        <f t="shared" si="42"/>
        <v>0</v>
      </c>
      <c r="DG39" s="357"/>
      <c r="DH39" s="346">
        <f t="shared" si="135"/>
        <v>0</v>
      </c>
      <c r="DI39" s="357"/>
      <c r="DJ39" s="345" t="e">
        <f t="shared" si="139"/>
        <v>#DIV/0!</v>
      </c>
      <c r="DK39" s="357"/>
      <c r="DL39" s="346">
        <f t="shared" si="135"/>
        <v>0</v>
      </c>
      <c r="DM39" s="357"/>
      <c r="DN39" s="345">
        <f t="shared" si="43"/>
        <v>0</v>
      </c>
      <c r="DO39" s="357"/>
      <c r="DP39" s="346">
        <f t="shared" si="135"/>
        <v>0</v>
      </c>
      <c r="DQ39" s="357"/>
      <c r="DR39" s="345">
        <f t="shared" si="44"/>
        <v>0</v>
      </c>
      <c r="DS39" s="357"/>
      <c r="DT39" s="346">
        <f t="shared" si="135"/>
        <v>0</v>
      </c>
      <c r="DU39" s="357"/>
      <c r="DV39" s="345" t="e">
        <f t="shared" si="140"/>
        <v>#DIV/0!</v>
      </c>
      <c r="DW39" s="357"/>
      <c r="DX39" s="346">
        <f t="shared" si="141"/>
        <v>0</v>
      </c>
      <c r="DY39" s="357"/>
      <c r="DZ39" s="345" t="e">
        <f t="shared" si="142"/>
        <v>#DIV/0!</v>
      </c>
      <c r="EA39" s="357">
        <v>24</v>
      </c>
      <c r="EB39" s="346">
        <v>24</v>
      </c>
      <c r="EC39" s="357"/>
      <c r="ED39" s="345">
        <f>(EC39+EC40)/EB39*100</f>
        <v>83.333333333333343</v>
      </c>
      <c r="EE39" s="357">
        <v>607</v>
      </c>
      <c r="EF39" s="346">
        <v>607</v>
      </c>
      <c r="EG39" s="361">
        <v>254</v>
      </c>
      <c r="EH39" s="345">
        <f>(EG39+EG40)/EF39*100</f>
        <v>78.912685337726529</v>
      </c>
      <c r="EI39" s="357">
        <v>40</v>
      </c>
      <c r="EJ39" s="346">
        <v>40</v>
      </c>
      <c r="EK39" s="357">
        <v>0</v>
      </c>
      <c r="EL39" s="345">
        <f>(EK39+EK40)/EJ39*100</f>
        <v>22.5</v>
      </c>
      <c r="EM39" s="357">
        <v>125</v>
      </c>
      <c r="EN39" s="357">
        <v>125</v>
      </c>
      <c r="EO39" s="361">
        <v>18</v>
      </c>
      <c r="EP39" s="345">
        <f>(EO39+EO40)/EN39*100</f>
        <v>67.2</v>
      </c>
      <c r="EQ39" s="357"/>
      <c r="ER39" s="346">
        <f t="shared" si="141"/>
        <v>0</v>
      </c>
      <c r="ES39" s="357"/>
      <c r="ET39" s="345">
        <f t="shared" si="49"/>
        <v>0</v>
      </c>
      <c r="EU39" s="357"/>
      <c r="EV39" s="346">
        <f t="shared" si="141"/>
        <v>0</v>
      </c>
      <c r="EW39" s="357"/>
      <c r="EX39" s="345">
        <f t="shared" si="50"/>
        <v>0</v>
      </c>
      <c r="EY39" s="354">
        <f t="shared" si="51"/>
        <v>27975</v>
      </c>
      <c r="EZ39" s="354">
        <f t="shared" si="17"/>
        <v>27975</v>
      </c>
      <c r="FA39" s="354">
        <f t="shared" si="17"/>
        <v>14580</v>
      </c>
      <c r="FB39" s="354">
        <f t="shared" si="52"/>
        <v>52.117962466487931</v>
      </c>
    </row>
    <row r="40" spans="1:158" ht="31.5" x14ac:dyDescent="0.2">
      <c r="A40" s="338" t="s">
        <v>343</v>
      </c>
      <c r="B40" s="170" t="s">
        <v>339</v>
      </c>
      <c r="C40" s="96"/>
      <c r="D40" s="97"/>
      <c r="E40" s="98"/>
      <c r="F40" s="99"/>
      <c r="G40" s="214"/>
      <c r="H40" s="97"/>
      <c r="I40" s="337">
        <f>3976-I39</f>
        <v>1908</v>
      </c>
      <c r="J40" s="99"/>
      <c r="K40" s="214"/>
      <c r="L40" s="97"/>
      <c r="M40" s="214"/>
      <c r="N40" s="99"/>
      <c r="O40" s="214"/>
      <c r="P40" s="97"/>
      <c r="Q40" s="337">
        <f>5885-Q39</f>
        <v>3270</v>
      </c>
      <c r="R40" s="99"/>
      <c r="S40" s="214"/>
      <c r="T40" s="97"/>
      <c r="U40" s="337">
        <f>2515-U39</f>
        <v>1188</v>
      </c>
      <c r="V40" s="99"/>
      <c r="W40" s="214"/>
      <c r="X40" s="97"/>
      <c r="Y40" s="337">
        <f>3828-Y39</f>
        <v>1597</v>
      </c>
      <c r="Z40" s="99"/>
      <c r="AA40" s="214"/>
      <c r="AB40" s="97"/>
      <c r="AC40" s="217">
        <f>1581-AC39</f>
        <v>677</v>
      </c>
      <c r="AD40" s="99"/>
      <c r="AE40" s="214"/>
      <c r="AF40" s="97"/>
      <c r="AG40" s="337">
        <f>1264-AG39</f>
        <v>661</v>
      </c>
      <c r="AH40" s="99"/>
      <c r="AI40" s="214"/>
      <c r="AJ40" s="214"/>
      <c r="AK40" s="337">
        <f>7548-AK39</f>
        <v>4988</v>
      </c>
      <c r="AL40" s="99"/>
      <c r="AM40" s="214"/>
      <c r="AN40" s="97"/>
      <c r="AO40" s="337">
        <f>1034-AO39</f>
        <v>537</v>
      </c>
      <c r="AP40" s="99"/>
      <c r="AQ40" s="214"/>
      <c r="AR40" s="97"/>
      <c r="AS40" s="337">
        <f>3370-AS39</f>
        <v>1867</v>
      </c>
      <c r="AT40" s="99"/>
      <c r="AU40" s="214"/>
      <c r="AV40" s="97"/>
      <c r="AW40" s="214"/>
      <c r="AX40" s="99"/>
      <c r="AY40" s="214"/>
      <c r="AZ40" s="97"/>
      <c r="BA40" s="214"/>
      <c r="BB40" s="99"/>
      <c r="BC40" s="214"/>
      <c r="BD40" s="97"/>
      <c r="BE40" s="214"/>
      <c r="BF40" s="99"/>
      <c r="BG40" s="214"/>
      <c r="BH40" s="97"/>
      <c r="BI40" s="214"/>
      <c r="BJ40" s="99"/>
      <c r="BK40" s="214"/>
      <c r="BL40" s="97"/>
      <c r="BM40" s="214"/>
      <c r="BN40" s="99"/>
      <c r="BO40" s="214"/>
      <c r="BP40" s="97"/>
      <c r="BQ40" s="214"/>
      <c r="BR40" s="99"/>
      <c r="BS40" s="214"/>
      <c r="BT40" s="97"/>
      <c r="BU40" s="214"/>
      <c r="BV40" s="99"/>
      <c r="BW40" s="214"/>
      <c r="BX40" s="97"/>
      <c r="BY40" s="214"/>
      <c r="BZ40" s="99"/>
      <c r="CA40" s="214"/>
      <c r="CB40" s="97"/>
      <c r="CC40" s="214"/>
      <c r="CD40" s="99"/>
      <c r="CE40" s="214"/>
      <c r="CF40" s="97"/>
      <c r="CG40" s="214"/>
      <c r="CH40" s="99"/>
      <c r="CI40" s="214"/>
      <c r="CJ40" s="97"/>
      <c r="CK40" s="214"/>
      <c r="CL40" s="99"/>
      <c r="CM40" s="214"/>
      <c r="CN40" s="97"/>
      <c r="CO40" s="214"/>
      <c r="CP40" s="99"/>
      <c r="CQ40" s="214"/>
      <c r="CR40" s="97"/>
      <c r="CS40" s="214"/>
      <c r="CT40" s="99"/>
      <c r="CU40" s="214"/>
      <c r="CV40" s="97"/>
      <c r="CW40" s="214"/>
      <c r="CX40" s="99"/>
      <c r="CY40" s="214"/>
      <c r="CZ40" s="97"/>
      <c r="DA40" s="214"/>
      <c r="DB40" s="99"/>
      <c r="DC40" s="214"/>
      <c r="DD40" s="97"/>
      <c r="DE40" s="214"/>
      <c r="DF40" s="99"/>
      <c r="DG40" s="214"/>
      <c r="DH40" s="97"/>
      <c r="DI40" s="214"/>
      <c r="DJ40" s="99"/>
      <c r="DK40" s="214"/>
      <c r="DL40" s="97"/>
      <c r="DM40" s="214"/>
      <c r="DN40" s="99"/>
      <c r="DO40" s="214"/>
      <c r="DP40" s="97"/>
      <c r="DQ40" s="214"/>
      <c r="DR40" s="99"/>
      <c r="DS40" s="214"/>
      <c r="DT40" s="97"/>
      <c r="DU40" s="214"/>
      <c r="DV40" s="99"/>
      <c r="DW40" s="214"/>
      <c r="DX40" s="97"/>
      <c r="DY40" s="214"/>
      <c r="DZ40" s="99"/>
      <c r="EA40" s="214"/>
      <c r="EB40" s="97"/>
      <c r="EC40" s="214">
        <v>20</v>
      </c>
      <c r="ED40" s="99"/>
      <c r="EE40" s="214"/>
      <c r="EF40" s="97"/>
      <c r="EG40" s="337">
        <f>479-EG39</f>
        <v>225</v>
      </c>
      <c r="EH40" s="99"/>
      <c r="EI40" s="214"/>
      <c r="EJ40" s="97"/>
      <c r="EK40" s="214">
        <v>9</v>
      </c>
      <c r="EL40" s="99"/>
      <c r="EM40" s="214"/>
      <c r="EN40" s="97"/>
      <c r="EO40" s="337">
        <f>84-EO39</f>
        <v>66</v>
      </c>
      <c r="EP40" s="99"/>
      <c r="EQ40" s="214"/>
      <c r="ER40" s="97"/>
      <c r="ES40" s="214"/>
      <c r="ET40" s="99"/>
      <c r="EU40" s="214"/>
      <c r="EV40" s="97"/>
      <c r="EW40" s="214"/>
      <c r="EX40" s="99"/>
      <c r="EY40" s="152">
        <f t="shared" ref="EY40" si="193">SUM(EQ40,EM40,EI40,EE40,EA40,DW40,DS40,DO40,DK40,DG40,DC40,CY40,CU40,CQ40,CM40,CI40,CE40,CA40,BW40,BS40,BO40,BK40,BG40,BC40,AY40,AU40,AQ40,AM40,AI40,AE40,AA40,W40,S40,O40,K40,G40,C40)+EU40</f>
        <v>0</v>
      </c>
      <c r="EZ40" s="152">
        <f t="shared" ref="EZ40" si="194">SUM(ER40,EN40,EJ40,EF40,EB40,DX40,DT40,DP40,DL40,DH40,DD40,CZ40,CV40,CR40,CN40,CJ40,CF40,CB40,BX40,BT40,BP40,BL40,BH40,BD40,AZ40,AV40,AR40,AN40,AJ40,AF40,AB40,X40,T40,P40,L40,H40,D40)+EV40</f>
        <v>0</v>
      </c>
      <c r="FA40" s="152">
        <f t="shared" ref="FA40" si="195">SUM(ES40,EO40,EK40,EG40,EC40,DY40,DU40,DQ40,DM40,DI40,DE40,DA40,CW40,CS40,CO40,CK40,CG40,CC40,BY40,BU40,BQ40,BM40,BI40,BE40,BA40,AW40,AS40,AO40,AK40,AG40,AC40,Y40,U40,Q40,M40,I40,E40)+EW40</f>
        <v>17013</v>
      </c>
      <c r="FB40" s="152">
        <f t="shared" ref="FB40" si="196">IF(EZ40=0,0,FA40/EZ40*100)</f>
        <v>0</v>
      </c>
    </row>
    <row r="41" spans="1:158" ht="31.5" x14ac:dyDescent="0.2">
      <c r="A41" s="170" t="s">
        <v>344</v>
      </c>
      <c r="B41" s="170" t="s">
        <v>339</v>
      </c>
      <c r="C41" s="96"/>
      <c r="D41" s="97">
        <f t="shared" si="136"/>
        <v>0</v>
      </c>
      <c r="E41" s="98"/>
      <c r="F41" s="99" t="e">
        <f t="shared" si="3"/>
        <v>#DIV/0!</v>
      </c>
      <c r="G41" s="214">
        <v>1950</v>
      </c>
      <c r="H41" s="97">
        <v>1950</v>
      </c>
      <c r="I41" s="337">
        <v>1198</v>
      </c>
      <c r="J41" s="99">
        <f>(I41+I42)/H41*100</f>
        <v>207.07692307692307</v>
      </c>
      <c r="K41" s="214"/>
      <c r="L41" s="97">
        <f t="shared" si="137"/>
        <v>0</v>
      </c>
      <c r="M41" s="214"/>
      <c r="N41" s="99" t="e">
        <f t="shared" si="138"/>
        <v>#DIV/0!</v>
      </c>
      <c r="O41" s="214">
        <v>2000</v>
      </c>
      <c r="P41" s="97">
        <v>2000</v>
      </c>
      <c r="Q41" s="337">
        <v>1129</v>
      </c>
      <c r="R41" s="99">
        <f>(Q41+Q42)/P41*100</f>
        <v>236.10000000000002</v>
      </c>
      <c r="S41" s="214">
        <v>1800</v>
      </c>
      <c r="T41" s="97">
        <v>1800</v>
      </c>
      <c r="U41" s="337">
        <v>745</v>
      </c>
      <c r="V41" s="99">
        <f>(U41+U42)/T41*100</f>
        <v>134</v>
      </c>
      <c r="W41" s="214">
        <v>3500</v>
      </c>
      <c r="X41" s="97">
        <v>3500</v>
      </c>
      <c r="Y41" s="337">
        <v>1923</v>
      </c>
      <c r="Z41" s="99">
        <f>(Y41+Y42)/X41*100</f>
        <v>101.08571428571429</v>
      </c>
      <c r="AA41" s="214">
        <v>353</v>
      </c>
      <c r="AB41" s="97">
        <v>353</v>
      </c>
      <c r="AC41" s="217">
        <v>655</v>
      </c>
      <c r="AD41" s="99">
        <f>(AC41+AC42)/AB41*100</f>
        <v>383.8526912181303</v>
      </c>
      <c r="AE41" s="214">
        <v>450</v>
      </c>
      <c r="AF41" s="97">
        <v>450</v>
      </c>
      <c r="AG41" s="337">
        <v>237</v>
      </c>
      <c r="AH41" s="99">
        <f>(AG41+AG42)/AF41*100</f>
        <v>248.2222222222222</v>
      </c>
      <c r="AI41" s="214">
        <v>5000</v>
      </c>
      <c r="AJ41" s="214">
        <v>5000</v>
      </c>
      <c r="AK41" s="337">
        <v>1763</v>
      </c>
      <c r="AL41" s="99">
        <f>(AK41+AK42)/AJ41*100</f>
        <v>129.1</v>
      </c>
      <c r="AM41" s="214">
        <v>1000</v>
      </c>
      <c r="AN41" s="97">
        <v>1000</v>
      </c>
      <c r="AO41" s="337">
        <v>141</v>
      </c>
      <c r="AP41" s="99">
        <f>(AO41+AO42)/AN41*100</f>
        <v>145.6</v>
      </c>
      <c r="AQ41" s="214">
        <v>1725</v>
      </c>
      <c r="AR41" s="97">
        <v>1725</v>
      </c>
      <c r="AS41" s="337">
        <v>1015</v>
      </c>
      <c r="AT41" s="99">
        <f>(AS41+AS42)/AR41*100</f>
        <v>128.1159420289855</v>
      </c>
      <c r="AU41" s="214"/>
      <c r="AV41" s="97">
        <f t="shared" si="137"/>
        <v>0</v>
      </c>
      <c r="AW41" s="214"/>
      <c r="AX41" s="99">
        <f t="shared" si="27"/>
        <v>0</v>
      </c>
      <c r="AY41" s="214"/>
      <c r="AZ41" s="97">
        <f t="shared" si="137"/>
        <v>0</v>
      </c>
      <c r="BA41" s="214"/>
      <c r="BB41" s="99">
        <f t="shared" si="28"/>
        <v>0</v>
      </c>
      <c r="BC41" s="214"/>
      <c r="BD41" s="97">
        <f t="shared" si="137"/>
        <v>0</v>
      </c>
      <c r="BE41" s="214"/>
      <c r="BF41" s="99">
        <f t="shared" si="29"/>
        <v>0</v>
      </c>
      <c r="BG41" s="214"/>
      <c r="BH41" s="97">
        <f t="shared" si="137"/>
        <v>0</v>
      </c>
      <c r="BI41" s="214"/>
      <c r="BJ41" s="99">
        <f t="shared" si="30"/>
        <v>0</v>
      </c>
      <c r="BK41" s="214"/>
      <c r="BL41" s="97">
        <f t="shared" si="137"/>
        <v>0</v>
      </c>
      <c r="BM41" s="214"/>
      <c r="BN41" s="99">
        <f t="shared" si="31"/>
        <v>0</v>
      </c>
      <c r="BO41" s="214"/>
      <c r="BP41" s="97">
        <f t="shared" si="137"/>
        <v>0</v>
      </c>
      <c r="BQ41" s="214"/>
      <c r="BR41" s="99">
        <f t="shared" si="32"/>
        <v>0</v>
      </c>
      <c r="BS41" s="214"/>
      <c r="BT41" s="97">
        <f t="shared" si="135"/>
        <v>0</v>
      </c>
      <c r="BU41" s="214"/>
      <c r="BV41" s="99">
        <f t="shared" si="33"/>
        <v>0</v>
      </c>
      <c r="BW41" s="214"/>
      <c r="BX41" s="97">
        <f t="shared" si="135"/>
        <v>0</v>
      </c>
      <c r="BY41" s="214"/>
      <c r="BZ41" s="99">
        <f t="shared" si="34"/>
        <v>0</v>
      </c>
      <c r="CA41" s="214"/>
      <c r="CB41" s="97">
        <f t="shared" si="135"/>
        <v>0</v>
      </c>
      <c r="CC41" s="214"/>
      <c r="CD41" s="99">
        <f t="shared" si="35"/>
        <v>0</v>
      </c>
      <c r="CE41" s="214"/>
      <c r="CF41" s="97">
        <f t="shared" si="135"/>
        <v>0</v>
      </c>
      <c r="CG41" s="214"/>
      <c r="CH41" s="99">
        <f t="shared" si="36"/>
        <v>0</v>
      </c>
      <c r="CI41" s="214"/>
      <c r="CJ41" s="97">
        <f t="shared" si="135"/>
        <v>0</v>
      </c>
      <c r="CK41" s="214"/>
      <c r="CL41" s="99">
        <f t="shared" si="37"/>
        <v>0</v>
      </c>
      <c r="CM41" s="214"/>
      <c r="CN41" s="97">
        <f t="shared" si="135"/>
        <v>0</v>
      </c>
      <c r="CO41" s="214"/>
      <c r="CP41" s="99">
        <f t="shared" si="38"/>
        <v>0</v>
      </c>
      <c r="CQ41" s="214"/>
      <c r="CR41" s="97">
        <f t="shared" si="135"/>
        <v>0</v>
      </c>
      <c r="CS41" s="214"/>
      <c r="CT41" s="99">
        <f t="shared" si="39"/>
        <v>0</v>
      </c>
      <c r="CU41" s="214"/>
      <c r="CV41" s="97">
        <f t="shared" si="135"/>
        <v>0</v>
      </c>
      <c r="CW41" s="214"/>
      <c r="CX41" s="99">
        <f t="shared" si="40"/>
        <v>0</v>
      </c>
      <c r="CY41" s="214">
        <v>50</v>
      </c>
      <c r="CZ41" s="97">
        <v>50</v>
      </c>
      <c r="DA41" s="214">
        <v>0</v>
      </c>
      <c r="DB41" s="99">
        <f t="shared" si="41"/>
        <v>0</v>
      </c>
      <c r="DC41" s="214"/>
      <c r="DD41" s="97">
        <f t="shared" si="135"/>
        <v>0</v>
      </c>
      <c r="DE41" s="214"/>
      <c r="DF41" s="99">
        <f t="shared" si="42"/>
        <v>0</v>
      </c>
      <c r="DG41" s="214"/>
      <c r="DH41" s="97">
        <f t="shared" si="135"/>
        <v>0</v>
      </c>
      <c r="DI41" s="214"/>
      <c r="DJ41" s="99" t="e">
        <f t="shared" si="139"/>
        <v>#DIV/0!</v>
      </c>
      <c r="DK41" s="214"/>
      <c r="DL41" s="97">
        <f t="shared" si="135"/>
        <v>0</v>
      </c>
      <c r="DM41" s="214"/>
      <c r="DN41" s="99">
        <f t="shared" si="43"/>
        <v>0</v>
      </c>
      <c r="DO41" s="214"/>
      <c r="DP41" s="97">
        <f t="shared" si="135"/>
        <v>0</v>
      </c>
      <c r="DQ41" s="214"/>
      <c r="DR41" s="99">
        <f t="shared" si="44"/>
        <v>0</v>
      </c>
      <c r="DS41" s="214"/>
      <c r="DT41" s="97">
        <f t="shared" si="135"/>
        <v>0</v>
      </c>
      <c r="DU41" s="214"/>
      <c r="DV41" s="99" t="e">
        <f t="shared" si="140"/>
        <v>#DIV/0!</v>
      </c>
      <c r="DW41" s="214"/>
      <c r="DX41" s="97">
        <f t="shared" si="141"/>
        <v>0</v>
      </c>
      <c r="DY41" s="214"/>
      <c r="DZ41" s="99" t="e">
        <f t="shared" si="142"/>
        <v>#DIV/0!</v>
      </c>
      <c r="EA41" s="214">
        <v>42</v>
      </c>
      <c r="EB41" s="97">
        <v>42</v>
      </c>
      <c r="EC41" s="214">
        <v>0</v>
      </c>
      <c r="ED41" s="99">
        <f>(EC41+EC42)/EB41*100</f>
        <v>0</v>
      </c>
      <c r="EE41" s="214">
        <v>120</v>
      </c>
      <c r="EF41" s="97">
        <v>120</v>
      </c>
      <c r="EG41" s="337">
        <v>41</v>
      </c>
      <c r="EH41" s="99">
        <f>(EG41+EG42)/EF41*100</f>
        <v>1122.5</v>
      </c>
      <c r="EI41" s="214">
        <v>50</v>
      </c>
      <c r="EJ41" s="97">
        <v>50</v>
      </c>
      <c r="EK41" s="214">
        <v>0</v>
      </c>
      <c r="EL41" s="99">
        <f>(EK41+EK42)/EJ41*100</f>
        <v>36</v>
      </c>
      <c r="EM41" s="214">
        <v>100</v>
      </c>
      <c r="EN41" s="97">
        <v>100</v>
      </c>
      <c r="EO41" s="337">
        <v>41</v>
      </c>
      <c r="EP41" s="99">
        <f>(EO41+EO42)/EN41*100</f>
        <v>53</v>
      </c>
      <c r="EQ41" s="214"/>
      <c r="ER41" s="97">
        <f t="shared" si="141"/>
        <v>0</v>
      </c>
      <c r="ES41" s="214"/>
      <c r="ET41" s="99">
        <f t="shared" si="49"/>
        <v>0</v>
      </c>
      <c r="EU41" s="214"/>
      <c r="EV41" s="97">
        <f t="shared" si="141"/>
        <v>0</v>
      </c>
      <c r="EW41" s="214"/>
      <c r="EX41" s="99">
        <f t="shared" si="50"/>
        <v>0</v>
      </c>
      <c r="EY41" s="152">
        <f t="shared" si="51"/>
        <v>18140</v>
      </c>
      <c r="EZ41" s="152">
        <f t="shared" si="17"/>
        <v>18140</v>
      </c>
      <c r="FA41" s="152">
        <f t="shared" si="17"/>
        <v>8888</v>
      </c>
      <c r="FB41" s="152">
        <f t="shared" si="52"/>
        <v>48.996692392502759</v>
      </c>
    </row>
    <row r="42" spans="1:158" ht="31.5" x14ac:dyDescent="0.25">
      <c r="A42" s="45" t="s">
        <v>345</v>
      </c>
      <c r="B42" s="170" t="s">
        <v>339</v>
      </c>
      <c r="C42" s="96"/>
      <c r="D42" s="97"/>
      <c r="E42" s="98"/>
      <c r="F42" s="99"/>
      <c r="G42" s="214"/>
      <c r="H42" s="97"/>
      <c r="I42" s="337">
        <f>4038-I41</f>
        <v>2840</v>
      </c>
      <c r="J42" s="99"/>
      <c r="K42" s="214"/>
      <c r="L42" s="97"/>
      <c r="M42" s="214"/>
      <c r="N42" s="99"/>
      <c r="O42" s="214"/>
      <c r="P42" s="97"/>
      <c r="Q42" s="337">
        <f>4722-Q41</f>
        <v>3593</v>
      </c>
      <c r="R42" s="99"/>
      <c r="S42" s="214"/>
      <c r="T42" s="97"/>
      <c r="U42" s="337">
        <f>2412-U41</f>
        <v>1667</v>
      </c>
      <c r="V42" s="99"/>
      <c r="W42" s="214"/>
      <c r="X42" s="97"/>
      <c r="Y42" s="337">
        <f>3538-Y41</f>
        <v>1615</v>
      </c>
      <c r="Z42" s="99"/>
      <c r="AA42" s="214"/>
      <c r="AB42" s="97"/>
      <c r="AC42" s="217">
        <f>1355-AC41</f>
        <v>700</v>
      </c>
      <c r="AD42" s="99"/>
      <c r="AE42" s="214"/>
      <c r="AF42" s="97"/>
      <c r="AG42" s="337">
        <f>1117-AG41</f>
        <v>880</v>
      </c>
      <c r="AH42" s="99"/>
      <c r="AI42" s="214"/>
      <c r="AJ42" s="97"/>
      <c r="AK42" s="337">
        <f>6455-AK41</f>
        <v>4692</v>
      </c>
      <c r="AL42" s="99"/>
      <c r="AM42" s="214"/>
      <c r="AN42" s="97"/>
      <c r="AO42" s="337">
        <f>1456-AO41</f>
        <v>1315</v>
      </c>
      <c r="AP42" s="99"/>
      <c r="AQ42" s="214"/>
      <c r="AR42" s="97"/>
      <c r="AS42" s="337">
        <f>2210-AS41</f>
        <v>1195</v>
      </c>
      <c r="AT42" s="99"/>
      <c r="AU42" s="214"/>
      <c r="AV42" s="97"/>
      <c r="AW42" s="214"/>
      <c r="AX42" s="99"/>
      <c r="AY42" s="214"/>
      <c r="AZ42" s="97"/>
      <c r="BA42" s="214"/>
      <c r="BB42" s="99"/>
      <c r="BC42" s="214"/>
      <c r="BD42" s="97"/>
      <c r="BE42" s="214"/>
      <c r="BF42" s="99"/>
      <c r="BG42" s="214"/>
      <c r="BH42" s="97"/>
      <c r="BI42" s="214"/>
      <c r="BJ42" s="99"/>
      <c r="BK42" s="214"/>
      <c r="BL42" s="97"/>
      <c r="BM42" s="214"/>
      <c r="BN42" s="99"/>
      <c r="BO42" s="214"/>
      <c r="BP42" s="97"/>
      <c r="BQ42" s="214"/>
      <c r="BR42" s="99"/>
      <c r="BS42" s="214"/>
      <c r="BT42" s="97"/>
      <c r="BU42" s="214"/>
      <c r="BV42" s="99"/>
      <c r="BW42" s="214"/>
      <c r="BX42" s="97"/>
      <c r="BY42" s="214"/>
      <c r="BZ42" s="99"/>
      <c r="CA42" s="214"/>
      <c r="CB42" s="97"/>
      <c r="CC42" s="214"/>
      <c r="CD42" s="99"/>
      <c r="CE42" s="214"/>
      <c r="CF42" s="97"/>
      <c r="CG42" s="214"/>
      <c r="CH42" s="99"/>
      <c r="CI42" s="214"/>
      <c r="CJ42" s="97"/>
      <c r="CK42" s="214"/>
      <c r="CL42" s="99"/>
      <c r="CM42" s="214"/>
      <c r="CN42" s="97"/>
      <c r="CO42" s="214"/>
      <c r="CP42" s="99"/>
      <c r="CQ42" s="214"/>
      <c r="CR42" s="97"/>
      <c r="CS42" s="214"/>
      <c r="CT42" s="99"/>
      <c r="CU42" s="214"/>
      <c r="CV42" s="97"/>
      <c r="CW42" s="214"/>
      <c r="CX42" s="99"/>
      <c r="CY42" s="214"/>
      <c r="CZ42" s="97"/>
      <c r="DA42" s="214">
        <v>124</v>
      </c>
      <c r="DB42" s="99"/>
      <c r="DC42" s="214"/>
      <c r="DD42" s="97"/>
      <c r="DE42" s="214"/>
      <c r="DF42" s="99"/>
      <c r="DG42" s="214"/>
      <c r="DH42" s="97"/>
      <c r="DI42" s="214"/>
      <c r="DJ42" s="99"/>
      <c r="DK42" s="214"/>
      <c r="DL42" s="97"/>
      <c r="DM42" s="214"/>
      <c r="DN42" s="99"/>
      <c r="DO42" s="214"/>
      <c r="DP42" s="97"/>
      <c r="DQ42" s="214"/>
      <c r="DR42" s="99"/>
      <c r="DS42" s="214"/>
      <c r="DT42" s="97"/>
      <c r="DU42" s="214"/>
      <c r="DV42" s="99"/>
      <c r="DW42" s="214"/>
      <c r="DX42" s="97"/>
      <c r="DY42" s="214"/>
      <c r="DZ42" s="99"/>
      <c r="EA42" s="214"/>
      <c r="EB42" s="97"/>
      <c r="EC42" s="214"/>
      <c r="ED42" s="99"/>
      <c r="EE42" s="214"/>
      <c r="EF42" s="97"/>
      <c r="EG42" s="337">
        <f>1347-EG41</f>
        <v>1306</v>
      </c>
      <c r="EH42" s="99"/>
      <c r="EI42" s="214"/>
      <c r="EJ42" s="97"/>
      <c r="EK42" s="214">
        <v>18</v>
      </c>
      <c r="EL42" s="99"/>
      <c r="EM42" s="214"/>
      <c r="EN42" s="97"/>
      <c r="EO42" s="337">
        <f>53-EO41</f>
        <v>12</v>
      </c>
      <c r="EP42" s="99"/>
      <c r="EQ42" s="214"/>
      <c r="ER42" s="97"/>
      <c r="ES42" s="214"/>
      <c r="ET42" s="99"/>
      <c r="EU42" s="214"/>
      <c r="EV42" s="97"/>
      <c r="EW42" s="214"/>
      <c r="EX42" s="99"/>
      <c r="EY42" s="152">
        <f t="shared" ref="EY42" si="197">SUM(EQ42,EM42,EI42,EE42,EA42,DW42,DS42,DO42,DK42,DG42,DC42,CY42,CU42,CQ42,CM42,CI42,CE42,CA42,BW42,BS42,BO42,BK42,BG42,BC42,AY42,AU42,AQ42,AM42,AI42,AE42,AA42,W42,S42,O42,K42,G42,C42)+EU42</f>
        <v>0</v>
      </c>
      <c r="EZ42" s="152">
        <f t="shared" ref="EZ42" si="198">SUM(ER42,EN42,EJ42,EF42,EB42,DX42,DT42,DP42,DL42,DH42,DD42,CZ42,CV42,CR42,CN42,CJ42,CF42,CB42,BX42,BT42,BP42,BL42,BH42,BD42,AZ42,AV42,AR42,AN42,AJ42,AF42,AB42,X42,T42,P42,L42,H42,D42)+EV42</f>
        <v>0</v>
      </c>
      <c r="FA42" s="152">
        <f t="shared" ref="FA42" si="199">SUM(ES42,EO42,EK42,EG42,EC42,DY42,DU42,DQ42,DM42,DI42,DE42,DA42,CW42,CS42,CO42,CK42,CG42,CC42,BY42,BU42,BQ42,BM42,BI42,BE42,BA42,AW42,AS42,AO42,AK42,AG42,AC42,Y42,U42,Q42,M42,I42,E42)+EW42</f>
        <v>19957</v>
      </c>
      <c r="FB42" s="152">
        <f t="shared" ref="FB42" si="200">IF(EZ42=0,0,FA42/EZ42*100)</f>
        <v>0</v>
      </c>
    </row>
    <row r="43" spans="1:158" s="260" customFormat="1" ht="47.25" x14ac:dyDescent="0.25">
      <c r="A43" s="261" t="s">
        <v>148</v>
      </c>
      <c r="B43" s="255" t="s">
        <v>3</v>
      </c>
      <c r="C43" s="262">
        <f t="shared" ref="C43" si="201">C44*7+C45*8+C46*9+C47*9</f>
        <v>0</v>
      </c>
      <c r="D43" s="228">
        <f t="shared" si="136"/>
        <v>0</v>
      </c>
      <c r="E43" s="263">
        <f t="shared" ref="E43" si="202">E44*7+E45*8+E46*9+E47*9</f>
        <v>0</v>
      </c>
      <c r="F43" s="258" t="e">
        <f t="shared" si="3"/>
        <v>#DIV/0!</v>
      </c>
      <c r="G43" s="264">
        <f t="shared" ref="G43" si="203">G44*7+G45*8+G46*9+G47*9</f>
        <v>0</v>
      </c>
      <c r="H43" s="228">
        <f t="shared" si="137"/>
        <v>0</v>
      </c>
      <c r="I43" s="264">
        <f t="shared" ref="I43" si="204">I44*7+I45*8+I46*9+I47*9</f>
        <v>0</v>
      </c>
      <c r="J43" s="258">
        <f t="shared" si="18"/>
        <v>0</v>
      </c>
      <c r="K43" s="264">
        <f t="shared" ref="K43" si="205">K44*7+K45*8+K46*9+K47*9</f>
        <v>0</v>
      </c>
      <c r="L43" s="228">
        <f t="shared" si="137"/>
        <v>0</v>
      </c>
      <c r="M43" s="264">
        <f t="shared" ref="M43" si="206">M44*7+M45*8+M46*9+M47*9</f>
        <v>0</v>
      </c>
      <c r="N43" s="258" t="e">
        <f t="shared" si="138"/>
        <v>#DIV/0!</v>
      </c>
      <c r="O43" s="264">
        <f t="shared" ref="O43:P43" si="207">O44*7+O45*8+O46*9+O47*9</f>
        <v>0</v>
      </c>
      <c r="P43" s="264">
        <f t="shared" si="207"/>
        <v>0</v>
      </c>
      <c r="Q43" s="264">
        <f t="shared" ref="Q43" si="208">Q44*7+Q45*8+Q46*9+Q47*9</f>
        <v>0</v>
      </c>
      <c r="R43" s="258">
        <f t="shared" si="19"/>
        <v>0</v>
      </c>
      <c r="S43" s="264">
        <f t="shared" ref="S43" si="209">S44*7+S45*8+S46*9+S47*9</f>
        <v>0</v>
      </c>
      <c r="T43" s="228">
        <f t="shared" si="137"/>
        <v>0</v>
      </c>
      <c r="U43" s="264">
        <f t="shared" ref="U43" si="210">U44*7+U45*8+U46*9+U47*9</f>
        <v>0</v>
      </c>
      <c r="V43" s="258">
        <f t="shared" si="20"/>
        <v>0</v>
      </c>
      <c r="W43" s="264"/>
      <c r="X43" s="228">
        <f t="shared" si="137"/>
        <v>0</v>
      </c>
      <c r="Y43" s="264">
        <f t="shared" ref="Y43" si="211">Y44*7+Y45*8+Y46*9+Y47*9</f>
        <v>0</v>
      </c>
      <c r="Z43" s="258">
        <f t="shared" si="21"/>
        <v>0</v>
      </c>
      <c r="AA43" s="264">
        <f t="shared" ref="AA43:AB43" si="212">AA44*7+AA45*8+AA46*9+AA47*9</f>
        <v>1359</v>
      </c>
      <c r="AB43" s="264">
        <f t="shared" si="212"/>
        <v>1359</v>
      </c>
      <c r="AC43" s="264">
        <f t="shared" ref="AC43" si="213">AC44*7+AC45*8+AC46*9+AC47*9</f>
        <v>1386</v>
      </c>
      <c r="AD43" s="258">
        <f t="shared" si="22"/>
        <v>101.98675496688743</v>
      </c>
      <c r="AE43" s="264">
        <f t="shared" ref="AE43:AF43" si="214">AE44*7+AE45*8+AE46*9+AE47*9</f>
        <v>900</v>
      </c>
      <c r="AF43" s="264">
        <f t="shared" si="214"/>
        <v>900</v>
      </c>
      <c r="AG43" s="264">
        <f t="shared" ref="AG43" si="215">AG44*7+AG45*8+AG46*9+AG47*9</f>
        <v>900</v>
      </c>
      <c r="AH43" s="258">
        <f t="shared" si="23"/>
        <v>100</v>
      </c>
      <c r="AI43" s="264">
        <f t="shared" ref="AI43" si="216">AI44*7+AI45*8+AI46*9+AI47*9</f>
        <v>0</v>
      </c>
      <c r="AJ43" s="228">
        <f t="shared" si="137"/>
        <v>0</v>
      </c>
      <c r="AK43" s="264">
        <f t="shared" ref="AK43" si="217">AK44*7+AK45*8+AK46*9+AK47*9</f>
        <v>0</v>
      </c>
      <c r="AL43" s="258">
        <f t="shared" si="24"/>
        <v>0</v>
      </c>
      <c r="AM43" s="264">
        <f>AM44*7+AM45*8+AM46*9+AM47*9</f>
        <v>0</v>
      </c>
      <c r="AN43" s="264">
        <f t="shared" ref="AN43" si="218">AN44*7+AN45*8+AN46*9+AN47*9</f>
        <v>0</v>
      </c>
      <c r="AO43" s="264">
        <f t="shared" ref="AO43" si="219">AO44*7+AO45*8+AO46*9+AO47*9</f>
        <v>0</v>
      </c>
      <c r="AP43" s="258">
        <f t="shared" si="25"/>
        <v>0</v>
      </c>
      <c r="AQ43" s="264">
        <f t="shared" ref="AQ43" si="220">AQ44*7+AQ45*8+AQ46*9+AQ47*9</f>
        <v>0</v>
      </c>
      <c r="AR43" s="228">
        <f t="shared" si="137"/>
        <v>0</v>
      </c>
      <c r="AS43" s="264">
        <f t="shared" ref="AS43" si="221">AS44*7+AS45*8+AS46*9+AS47*9</f>
        <v>0</v>
      </c>
      <c r="AT43" s="258">
        <f t="shared" si="26"/>
        <v>0</v>
      </c>
      <c r="AU43" s="264">
        <f t="shared" ref="AU43:AV43" si="222">AU44*7+AU45*8+AU46*9+AU47*9</f>
        <v>926</v>
      </c>
      <c r="AV43" s="264">
        <f t="shared" si="222"/>
        <v>926</v>
      </c>
      <c r="AW43" s="264">
        <f t="shared" ref="AW43" si="223">AW44*7+AW45*8+AW46*9+AW47*9</f>
        <v>824</v>
      </c>
      <c r="AX43" s="258">
        <f t="shared" si="27"/>
        <v>88.984881209503243</v>
      </c>
      <c r="AY43" s="264">
        <f t="shared" ref="AY43:AZ43" si="224">AY44*7+AY45*8+AY46*9+AY47*9</f>
        <v>739</v>
      </c>
      <c r="AZ43" s="264">
        <f t="shared" si="224"/>
        <v>739</v>
      </c>
      <c r="BA43" s="264">
        <f t="shared" ref="BA43" si="225">BA44*7+BA45*8+BA46*9+BA47*9</f>
        <v>755</v>
      </c>
      <c r="BB43" s="258">
        <f t="shared" si="28"/>
        <v>102.16508795669823</v>
      </c>
      <c r="BC43" s="264">
        <f t="shared" ref="BC43:BD43" si="226">BC44*7+BC45*8+BC46*9+BC47*9</f>
        <v>368</v>
      </c>
      <c r="BD43" s="264">
        <f t="shared" si="226"/>
        <v>368</v>
      </c>
      <c r="BE43" s="264">
        <f t="shared" ref="BE43" si="227">BE44*7+BE45*8+BE46*9+BE47*9</f>
        <v>350</v>
      </c>
      <c r="BF43" s="258">
        <f t="shared" si="29"/>
        <v>95.108695652173907</v>
      </c>
      <c r="BG43" s="264">
        <f t="shared" ref="BG43:BH43" si="228">BG44*7+BG45*8+BG46*9+BG47*9</f>
        <v>1222</v>
      </c>
      <c r="BH43" s="264">
        <f t="shared" si="228"/>
        <v>1222</v>
      </c>
      <c r="BI43" s="264">
        <f t="shared" ref="BI43" si="229">BI44*7+BI45*8+BI46*9+BI47*9</f>
        <v>1218</v>
      </c>
      <c r="BJ43" s="258">
        <f t="shared" si="30"/>
        <v>99.672667757774136</v>
      </c>
      <c r="BK43" s="264">
        <f t="shared" ref="BK43" si="230">BK44*7+BK45*8+BK46*9+BK47*9</f>
        <v>0</v>
      </c>
      <c r="BL43" s="228">
        <f t="shared" si="137"/>
        <v>0</v>
      </c>
      <c r="BM43" s="264">
        <f t="shared" ref="BM43" si="231">BM44*7+BM45*8+BM46*9+BM47*9</f>
        <v>0</v>
      </c>
      <c r="BN43" s="258">
        <f t="shared" si="31"/>
        <v>0</v>
      </c>
      <c r="BO43" s="264">
        <f t="shared" ref="BO43" si="232">BO44*7+BO45*8+BO46*9+BO47*9</f>
        <v>0</v>
      </c>
      <c r="BP43" s="228">
        <f t="shared" si="137"/>
        <v>0</v>
      </c>
      <c r="BQ43" s="264">
        <f t="shared" ref="BQ43" si="233">BQ44*7+BQ45*8+BQ46*9+BQ47*9</f>
        <v>0</v>
      </c>
      <c r="BR43" s="258">
        <f t="shared" si="32"/>
        <v>0</v>
      </c>
      <c r="BS43" s="264">
        <f t="shared" ref="BS43" si="234">BS44*7+BS45*8+BS46*9+BS47*9</f>
        <v>0</v>
      </c>
      <c r="BT43" s="228">
        <f t="shared" si="135"/>
        <v>0</v>
      </c>
      <c r="BU43" s="264">
        <f t="shared" ref="BU43" si="235">BU44*7+BU45*8+BU46*9+BU47*9</f>
        <v>0</v>
      </c>
      <c r="BV43" s="258">
        <f t="shared" si="33"/>
        <v>0</v>
      </c>
      <c r="BW43" s="264">
        <f t="shared" ref="BW43" si="236">BW44*7+BW45*8+BW46*9+BW47*9</f>
        <v>0</v>
      </c>
      <c r="BX43" s="228">
        <f t="shared" si="135"/>
        <v>0</v>
      </c>
      <c r="BY43" s="264">
        <f t="shared" ref="BY43" si="237">BY44*7+BY45*8+BY46*9+BY47*9</f>
        <v>0</v>
      </c>
      <c r="BZ43" s="258">
        <f t="shared" si="34"/>
        <v>0</v>
      </c>
      <c r="CA43" s="264">
        <f t="shared" ref="CA43" si="238">CA44*7+CA45*8+CA46*9+CA47*9</f>
        <v>0</v>
      </c>
      <c r="CB43" s="228">
        <f t="shared" si="135"/>
        <v>0</v>
      </c>
      <c r="CC43" s="264">
        <f t="shared" ref="CC43" si="239">CC44*7+CC45*8+CC46*9+CC47*9</f>
        <v>0</v>
      </c>
      <c r="CD43" s="258">
        <f t="shared" si="35"/>
        <v>0</v>
      </c>
      <c r="CE43" s="264">
        <f t="shared" ref="CE43" si="240">CE44*7+CE45*8+CE46*9+CE47*9</f>
        <v>0</v>
      </c>
      <c r="CF43" s="228">
        <f t="shared" si="135"/>
        <v>0</v>
      </c>
      <c r="CG43" s="264">
        <f t="shared" ref="CG43" si="241">CG44*7+CG45*8+CG46*9+CG47*9</f>
        <v>0</v>
      </c>
      <c r="CH43" s="258">
        <f t="shared" si="36"/>
        <v>0</v>
      </c>
      <c r="CI43" s="264">
        <f t="shared" ref="CI43" si="242">CI44*7+CI45*8+CI46*9+CI47*9</f>
        <v>0</v>
      </c>
      <c r="CJ43" s="228">
        <f t="shared" si="135"/>
        <v>0</v>
      </c>
      <c r="CK43" s="264">
        <f t="shared" ref="CK43" si="243">CK44*7+CK45*8+CK46*9+CK47*9</f>
        <v>0</v>
      </c>
      <c r="CL43" s="258">
        <f t="shared" si="37"/>
        <v>0</v>
      </c>
      <c r="CM43" s="264">
        <f t="shared" ref="CM43" si="244">CM44*7+CM45*8+CM46*9+CM47*9</f>
        <v>0</v>
      </c>
      <c r="CN43" s="228">
        <f t="shared" si="135"/>
        <v>0</v>
      </c>
      <c r="CO43" s="264">
        <f t="shared" ref="CO43" si="245">CO44*7+CO45*8+CO46*9+CO47*9</f>
        <v>0</v>
      </c>
      <c r="CP43" s="258">
        <f t="shared" si="38"/>
        <v>0</v>
      </c>
      <c r="CQ43" s="264">
        <f t="shared" ref="CQ43" si="246">CQ44*7+CQ45*8+CQ46*9+CQ47*9</f>
        <v>0</v>
      </c>
      <c r="CR43" s="228">
        <f t="shared" si="135"/>
        <v>0</v>
      </c>
      <c r="CS43" s="264">
        <f t="shared" ref="CS43" si="247">CS44*7+CS45*8+CS46*9+CS47*9</f>
        <v>0</v>
      </c>
      <c r="CT43" s="258">
        <f t="shared" si="39"/>
        <v>0</v>
      </c>
      <c r="CU43" s="264">
        <f t="shared" ref="CU43" si="248">CU44*7+CU45*8+CU46*9+CU47*9</f>
        <v>0</v>
      </c>
      <c r="CV43" s="228">
        <f t="shared" si="135"/>
        <v>0</v>
      </c>
      <c r="CW43" s="264">
        <f t="shared" ref="CW43" si="249">CW44*7+CW45*8+CW46*9+CW47*9</f>
        <v>0</v>
      </c>
      <c r="CX43" s="258">
        <f t="shared" si="40"/>
        <v>0</v>
      </c>
      <c r="CY43" s="264">
        <f t="shared" ref="CY43" si="250">CY44*7+CY45*8+CY46*9+CY47*9</f>
        <v>0</v>
      </c>
      <c r="CZ43" s="228">
        <f t="shared" si="135"/>
        <v>0</v>
      </c>
      <c r="DA43" s="264">
        <f t="shared" ref="DA43" si="251">DA44*7+DA45*8+DA46*9+DA47*9</f>
        <v>0</v>
      </c>
      <c r="DB43" s="258">
        <f t="shared" si="41"/>
        <v>0</v>
      </c>
      <c r="DC43" s="264">
        <f t="shared" ref="DC43" si="252">DC44*7+DC45*8+DC46*9+DC47*9</f>
        <v>0</v>
      </c>
      <c r="DD43" s="228">
        <f t="shared" si="135"/>
        <v>0</v>
      </c>
      <c r="DE43" s="264">
        <f t="shared" ref="DE43" si="253">DE44*7+DE45*8+DE46*9+DE47*9</f>
        <v>0</v>
      </c>
      <c r="DF43" s="258">
        <f t="shared" si="42"/>
        <v>0</v>
      </c>
      <c r="DG43" s="264">
        <f t="shared" ref="DG43" si="254">DG44*7+DG45*8+DG46*9+DG47*9</f>
        <v>0</v>
      </c>
      <c r="DH43" s="228">
        <f t="shared" si="135"/>
        <v>0</v>
      </c>
      <c r="DI43" s="264">
        <f t="shared" ref="DI43" si="255">DI44*7+DI45*8+DI46*9+DI47*9</f>
        <v>0</v>
      </c>
      <c r="DJ43" s="258" t="e">
        <f t="shared" si="139"/>
        <v>#DIV/0!</v>
      </c>
      <c r="DK43" s="264">
        <f t="shared" ref="DK43:DL43" si="256">DK44*7+DK45*8+DK46*9+DK47*9</f>
        <v>648</v>
      </c>
      <c r="DL43" s="264">
        <f t="shared" si="256"/>
        <v>648</v>
      </c>
      <c r="DM43" s="264">
        <f t="shared" ref="DM43" si="257">DM44*7+DM45*8+DM46*9+DM47*9</f>
        <v>648</v>
      </c>
      <c r="DN43" s="258">
        <f t="shared" si="43"/>
        <v>100</v>
      </c>
      <c r="DO43" s="264">
        <f t="shared" ref="DO43:DP43" si="258">DO44*7+DO45*8+DO46*9+DO47*9</f>
        <v>2493</v>
      </c>
      <c r="DP43" s="264">
        <f t="shared" si="258"/>
        <v>2493</v>
      </c>
      <c r="DQ43" s="264">
        <f t="shared" ref="DQ43" si="259">DQ44*7+DQ45*8+DQ46*9+DQ47*9</f>
        <v>2493</v>
      </c>
      <c r="DR43" s="258">
        <f t="shared" si="44"/>
        <v>100</v>
      </c>
      <c r="DS43" s="264">
        <f t="shared" ref="DS43" si="260">DS44*7+DS45*8+DS46*9+DS47*9</f>
        <v>0</v>
      </c>
      <c r="DT43" s="228">
        <f t="shared" si="135"/>
        <v>0</v>
      </c>
      <c r="DU43" s="264">
        <f t="shared" ref="DU43" si="261">DU44*7+DU45*8+DU46*9+DU47*9</f>
        <v>0</v>
      </c>
      <c r="DV43" s="258" t="e">
        <f t="shared" si="140"/>
        <v>#DIV/0!</v>
      </c>
      <c r="DW43" s="264">
        <f t="shared" ref="DW43" si="262">DW44*7+DW45*8+DW46*9+DW47*9</f>
        <v>0</v>
      </c>
      <c r="DX43" s="228">
        <f t="shared" si="141"/>
        <v>0</v>
      </c>
      <c r="DY43" s="264">
        <f t="shared" ref="DY43" si="263">DY44*7+DY45*8+DY46*9+DY47*9</f>
        <v>0</v>
      </c>
      <c r="DZ43" s="258" t="e">
        <f t="shared" si="142"/>
        <v>#DIV/0!</v>
      </c>
      <c r="EA43" s="264">
        <f t="shared" ref="EA43" si="264">EA44*7+EA45*8+EA46*9+EA47*9</f>
        <v>0</v>
      </c>
      <c r="EB43" s="228">
        <f t="shared" si="141"/>
        <v>0</v>
      </c>
      <c r="EC43" s="264">
        <f t="shared" ref="EC43" si="265">EC44*7+EC45*8+EC46*9+EC47*9</f>
        <v>0</v>
      </c>
      <c r="ED43" s="258">
        <f t="shared" si="45"/>
        <v>0</v>
      </c>
      <c r="EE43" s="264">
        <f t="shared" ref="EE43" si="266">EE44*7+EE45*8+EE46*9+EE47*9</f>
        <v>0</v>
      </c>
      <c r="EF43" s="228">
        <f t="shared" si="141"/>
        <v>0</v>
      </c>
      <c r="EG43" s="264">
        <f t="shared" ref="EG43" si="267">EG44*7+EG45*8+EG46*9+EG47*9</f>
        <v>0</v>
      </c>
      <c r="EH43" s="258">
        <f t="shared" si="46"/>
        <v>0</v>
      </c>
      <c r="EI43" s="264">
        <f t="shared" ref="EI43" si="268">EI44*7+EI45*8+EI46*9+EI47*9</f>
        <v>0</v>
      </c>
      <c r="EJ43" s="228">
        <f t="shared" si="141"/>
        <v>0</v>
      </c>
      <c r="EK43" s="264">
        <f t="shared" ref="EK43" si="269">EK44*7+EK45*8+EK46*9+EK47*9</f>
        <v>0</v>
      </c>
      <c r="EL43" s="258">
        <f t="shared" si="47"/>
        <v>0</v>
      </c>
      <c r="EM43" s="264">
        <f t="shared" ref="EM43" si="270">EM44*7+EM45*8+EM46*9+EM47*9</f>
        <v>0</v>
      </c>
      <c r="EN43" s="228">
        <f t="shared" si="141"/>
        <v>0</v>
      </c>
      <c r="EO43" s="264">
        <f t="shared" ref="EO43" si="271">EO44*7+EO45*8+EO46*9+EO47*9</f>
        <v>0</v>
      </c>
      <c r="EP43" s="258">
        <f t="shared" si="48"/>
        <v>0</v>
      </c>
      <c r="EQ43" s="264">
        <f t="shared" ref="EQ43" si="272">EQ44*7+EQ45*8+EQ46*9+EQ47*9</f>
        <v>0</v>
      </c>
      <c r="ER43" s="228">
        <f t="shared" si="141"/>
        <v>0</v>
      </c>
      <c r="ES43" s="264">
        <f t="shared" ref="ES43" si="273">ES44*7+ES45*8+ES46*9+ES47*9</f>
        <v>0</v>
      </c>
      <c r="ET43" s="258">
        <f t="shared" si="49"/>
        <v>0</v>
      </c>
      <c r="EU43" s="264">
        <f t="shared" ref="EU43" si="274">EU44*7+EU45*8+EU46*9+EU47*9</f>
        <v>0</v>
      </c>
      <c r="EV43" s="228">
        <f t="shared" si="141"/>
        <v>0</v>
      </c>
      <c r="EW43" s="264">
        <f t="shared" ref="EW43" si="275">EW44*7+EW45*8+EW46*9+EW47*9</f>
        <v>0</v>
      </c>
      <c r="EX43" s="258">
        <f t="shared" si="50"/>
        <v>0</v>
      </c>
      <c r="EY43" s="259">
        <f t="shared" si="51"/>
        <v>8655</v>
      </c>
      <c r="EZ43" s="259">
        <f t="shared" si="17"/>
        <v>8655</v>
      </c>
      <c r="FA43" s="259">
        <f t="shared" si="17"/>
        <v>8574</v>
      </c>
      <c r="FB43" s="152">
        <f t="shared" si="52"/>
        <v>99.064124783362217</v>
      </c>
    </row>
    <row r="44" spans="1:158" ht="15.75" x14ac:dyDescent="0.2">
      <c r="A44" s="169" t="s">
        <v>149</v>
      </c>
      <c r="B44" s="170" t="s">
        <v>339</v>
      </c>
      <c r="C44" s="96"/>
      <c r="D44" s="97">
        <f t="shared" si="136"/>
        <v>0</v>
      </c>
      <c r="E44" s="98"/>
      <c r="F44" s="99" t="e">
        <f t="shared" si="3"/>
        <v>#DIV/0!</v>
      </c>
      <c r="G44" s="214"/>
      <c r="H44" s="97">
        <f t="shared" si="137"/>
        <v>0</v>
      </c>
      <c r="I44" s="214"/>
      <c r="J44" s="99">
        <f t="shared" si="18"/>
        <v>0</v>
      </c>
      <c r="K44" s="214"/>
      <c r="L44" s="97">
        <f t="shared" si="137"/>
        <v>0</v>
      </c>
      <c r="M44" s="214"/>
      <c r="N44" s="99" t="e">
        <f t="shared" si="138"/>
        <v>#DIV/0!</v>
      </c>
      <c r="O44" s="214"/>
      <c r="P44" s="97">
        <f t="shared" si="137"/>
        <v>0</v>
      </c>
      <c r="Q44" s="214"/>
      <c r="R44" s="99">
        <f t="shared" si="19"/>
        <v>0</v>
      </c>
      <c r="S44" s="214"/>
      <c r="T44" s="97">
        <f t="shared" si="137"/>
        <v>0</v>
      </c>
      <c r="U44" s="214"/>
      <c r="V44" s="99">
        <f t="shared" si="20"/>
        <v>0</v>
      </c>
      <c r="W44" s="214"/>
      <c r="X44" s="97">
        <f t="shared" si="137"/>
        <v>0</v>
      </c>
      <c r="Y44" s="214"/>
      <c r="Z44" s="99">
        <f t="shared" si="21"/>
        <v>0</v>
      </c>
      <c r="AA44" s="214"/>
      <c r="AB44" s="97">
        <f t="shared" si="137"/>
        <v>0</v>
      </c>
      <c r="AC44" s="214">
        <v>0</v>
      </c>
      <c r="AD44" s="99">
        <f t="shared" si="22"/>
        <v>0</v>
      </c>
      <c r="AE44" s="214"/>
      <c r="AF44" s="97"/>
      <c r="AG44" s="214">
        <v>0</v>
      </c>
      <c r="AH44" s="99">
        <f t="shared" si="23"/>
        <v>0</v>
      </c>
      <c r="AI44" s="214"/>
      <c r="AJ44" s="97">
        <f t="shared" si="137"/>
        <v>0</v>
      </c>
      <c r="AK44" s="214"/>
      <c r="AL44" s="99">
        <f t="shared" si="24"/>
        <v>0</v>
      </c>
      <c r="AM44" s="214"/>
      <c r="AN44" s="97"/>
      <c r="AO44" s="214"/>
      <c r="AP44" s="99">
        <f t="shared" si="25"/>
        <v>0</v>
      </c>
      <c r="AQ44" s="214"/>
      <c r="AR44" s="97">
        <f t="shared" si="137"/>
        <v>0</v>
      </c>
      <c r="AS44" s="214"/>
      <c r="AT44" s="99">
        <f t="shared" si="26"/>
        <v>0</v>
      </c>
      <c r="AU44" s="214">
        <v>41</v>
      </c>
      <c r="AV44" s="97">
        <v>41</v>
      </c>
      <c r="AW44" s="214">
        <v>39</v>
      </c>
      <c r="AX44" s="99">
        <f t="shared" si="27"/>
        <v>95.121951219512198</v>
      </c>
      <c r="AY44" s="214"/>
      <c r="AZ44" s="97"/>
      <c r="BA44" s="214">
        <v>0</v>
      </c>
      <c r="BB44" s="99">
        <f t="shared" si="28"/>
        <v>0</v>
      </c>
      <c r="BC44" s="214"/>
      <c r="BD44" s="97"/>
      <c r="BE44" s="214">
        <v>0</v>
      </c>
      <c r="BF44" s="99">
        <f t="shared" si="29"/>
        <v>0</v>
      </c>
      <c r="BG44" s="214"/>
      <c r="BH44" s="97"/>
      <c r="BI44" s="214">
        <v>0</v>
      </c>
      <c r="BJ44" s="99">
        <f t="shared" si="30"/>
        <v>0</v>
      </c>
      <c r="BK44" s="214"/>
      <c r="BL44" s="97">
        <f t="shared" si="137"/>
        <v>0</v>
      </c>
      <c r="BM44" s="214"/>
      <c r="BN44" s="99">
        <f t="shared" si="31"/>
        <v>0</v>
      </c>
      <c r="BO44" s="214"/>
      <c r="BP44" s="97">
        <f t="shared" si="137"/>
        <v>0</v>
      </c>
      <c r="BQ44" s="214"/>
      <c r="BR44" s="99">
        <f t="shared" si="32"/>
        <v>0</v>
      </c>
      <c r="BS44" s="214"/>
      <c r="BT44" s="97">
        <f t="shared" si="135"/>
        <v>0</v>
      </c>
      <c r="BU44" s="214"/>
      <c r="BV44" s="99">
        <f t="shared" si="33"/>
        <v>0</v>
      </c>
      <c r="BW44" s="214"/>
      <c r="BX44" s="97">
        <f t="shared" si="135"/>
        <v>0</v>
      </c>
      <c r="BY44" s="214"/>
      <c r="BZ44" s="99">
        <f t="shared" si="34"/>
        <v>0</v>
      </c>
      <c r="CA44" s="214"/>
      <c r="CB44" s="97">
        <f t="shared" si="135"/>
        <v>0</v>
      </c>
      <c r="CC44" s="214"/>
      <c r="CD44" s="99">
        <f t="shared" si="35"/>
        <v>0</v>
      </c>
      <c r="CE44" s="214"/>
      <c r="CF44" s="97">
        <f t="shared" si="135"/>
        <v>0</v>
      </c>
      <c r="CG44" s="214"/>
      <c r="CH44" s="99">
        <f t="shared" si="36"/>
        <v>0</v>
      </c>
      <c r="CI44" s="214"/>
      <c r="CJ44" s="97">
        <f t="shared" si="135"/>
        <v>0</v>
      </c>
      <c r="CK44" s="214"/>
      <c r="CL44" s="99">
        <f t="shared" si="37"/>
        <v>0</v>
      </c>
      <c r="CM44" s="214"/>
      <c r="CN44" s="97">
        <f t="shared" si="135"/>
        <v>0</v>
      </c>
      <c r="CO44" s="214"/>
      <c r="CP44" s="99">
        <f t="shared" si="38"/>
        <v>0</v>
      </c>
      <c r="CQ44" s="214"/>
      <c r="CR44" s="97">
        <f t="shared" si="135"/>
        <v>0</v>
      </c>
      <c r="CS44" s="214"/>
      <c r="CT44" s="99">
        <f t="shared" si="39"/>
        <v>0</v>
      </c>
      <c r="CU44" s="214"/>
      <c r="CV44" s="97">
        <f t="shared" si="135"/>
        <v>0</v>
      </c>
      <c r="CW44" s="214"/>
      <c r="CX44" s="99">
        <f t="shared" si="40"/>
        <v>0</v>
      </c>
      <c r="CY44" s="214"/>
      <c r="CZ44" s="97">
        <f t="shared" si="135"/>
        <v>0</v>
      </c>
      <c r="DA44" s="214"/>
      <c r="DB44" s="99">
        <f t="shared" si="41"/>
        <v>0</v>
      </c>
      <c r="DC44" s="214"/>
      <c r="DD44" s="97">
        <f t="shared" si="135"/>
        <v>0</v>
      </c>
      <c r="DE44" s="214"/>
      <c r="DF44" s="99">
        <f t="shared" si="42"/>
        <v>0</v>
      </c>
      <c r="DG44" s="214"/>
      <c r="DH44" s="97">
        <f t="shared" si="135"/>
        <v>0</v>
      </c>
      <c r="DI44" s="214"/>
      <c r="DJ44" s="99" t="e">
        <f t="shared" si="139"/>
        <v>#DIV/0!</v>
      </c>
      <c r="DK44" s="214"/>
      <c r="DL44" s="97"/>
      <c r="DM44" s="214">
        <v>0</v>
      </c>
      <c r="DN44" s="99">
        <f t="shared" si="43"/>
        <v>0</v>
      </c>
      <c r="DO44" s="214">
        <v>49</v>
      </c>
      <c r="DP44" s="97">
        <v>49</v>
      </c>
      <c r="DQ44" s="214">
        <v>49</v>
      </c>
      <c r="DR44" s="99">
        <f t="shared" si="44"/>
        <v>100</v>
      </c>
      <c r="DS44" s="214"/>
      <c r="DT44" s="97">
        <f t="shared" si="135"/>
        <v>0</v>
      </c>
      <c r="DU44" s="214"/>
      <c r="DV44" s="99" t="e">
        <f t="shared" si="140"/>
        <v>#DIV/0!</v>
      </c>
      <c r="DW44" s="214"/>
      <c r="DX44" s="97">
        <f t="shared" si="141"/>
        <v>0</v>
      </c>
      <c r="DY44" s="214"/>
      <c r="DZ44" s="99" t="e">
        <f t="shared" si="142"/>
        <v>#DIV/0!</v>
      </c>
      <c r="EA44" s="214"/>
      <c r="EB44" s="97">
        <f t="shared" si="141"/>
        <v>0</v>
      </c>
      <c r="EC44" s="214"/>
      <c r="ED44" s="99">
        <f t="shared" si="45"/>
        <v>0</v>
      </c>
      <c r="EE44" s="214"/>
      <c r="EF44" s="97">
        <f t="shared" si="141"/>
        <v>0</v>
      </c>
      <c r="EG44" s="214"/>
      <c r="EH44" s="99">
        <f t="shared" si="46"/>
        <v>0</v>
      </c>
      <c r="EI44" s="214"/>
      <c r="EJ44" s="97">
        <f t="shared" si="141"/>
        <v>0</v>
      </c>
      <c r="EK44" s="214"/>
      <c r="EL44" s="99">
        <f t="shared" si="47"/>
        <v>0</v>
      </c>
      <c r="EM44" s="214"/>
      <c r="EN44" s="97">
        <f t="shared" si="141"/>
        <v>0</v>
      </c>
      <c r="EO44" s="214"/>
      <c r="EP44" s="99">
        <f t="shared" si="48"/>
        <v>0</v>
      </c>
      <c r="EQ44" s="214"/>
      <c r="ER44" s="97">
        <f t="shared" si="141"/>
        <v>0</v>
      </c>
      <c r="ES44" s="214"/>
      <c r="ET44" s="99">
        <f t="shared" si="49"/>
        <v>0</v>
      </c>
      <c r="EU44" s="214"/>
      <c r="EV44" s="97">
        <f t="shared" si="141"/>
        <v>0</v>
      </c>
      <c r="EW44" s="214"/>
      <c r="EX44" s="99">
        <f t="shared" si="50"/>
        <v>0</v>
      </c>
      <c r="EY44" s="152">
        <f>SUM(EQ44,EM44,EI44,EE44,EA44,DW44,DS44,DO44,DK44,DG44,DC44,CY44,CU44,CQ44,CM44,CI44,CE44,CA44,BW44,BS44,BO44,BK44,BG44,BC44,AY44,AU44,AQ44,AM44,AI44,AE44,AA44,W44,S44,O44,K44,G44,C44)+EU44</f>
        <v>90</v>
      </c>
      <c r="EZ44" s="152">
        <f t="shared" si="17"/>
        <v>90</v>
      </c>
      <c r="FA44" s="152">
        <f t="shared" si="17"/>
        <v>88</v>
      </c>
      <c r="FB44" s="152">
        <f t="shared" si="52"/>
        <v>97.777777777777771</v>
      </c>
    </row>
    <row r="45" spans="1:158" ht="15.75" x14ac:dyDescent="0.2">
      <c r="A45" s="169" t="s">
        <v>150</v>
      </c>
      <c r="B45" s="170" t="s">
        <v>339</v>
      </c>
      <c r="C45" s="96"/>
      <c r="D45" s="97">
        <f t="shared" si="136"/>
        <v>0</v>
      </c>
      <c r="E45" s="98"/>
      <c r="F45" s="99" t="e">
        <f t="shared" si="3"/>
        <v>#DIV/0!</v>
      </c>
      <c r="G45" s="214"/>
      <c r="H45" s="97">
        <f t="shared" si="137"/>
        <v>0</v>
      </c>
      <c r="I45" s="214"/>
      <c r="J45" s="99">
        <f t="shared" si="18"/>
        <v>0</v>
      </c>
      <c r="K45" s="214"/>
      <c r="L45" s="97">
        <f t="shared" si="137"/>
        <v>0</v>
      </c>
      <c r="M45" s="214"/>
      <c r="N45" s="99" t="e">
        <f t="shared" si="138"/>
        <v>#DIV/0!</v>
      </c>
      <c r="O45" s="214"/>
      <c r="P45" s="97">
        <f t="shared" si="137"/>
        <v>0</v>
      </c>
      <c r="Q45" s="214"/>
      <c r="R45" s="99">
        <f t="shared" si="19"/>
        <v>0</v>
      </c>
      <c r="S45" s="214"/>
      <c r="T45" s="97">
        <f t="shared" si="137"/>
        <v>0</v>
      </c>
      <c r="U45" s="214"/>
      <c r="V45" s="99">
        <f t="shared" si="20"/>
        <v>0</v>
      </c>
      <c r="W45" s="214"/>
      <c r="X45" s="97">
        <f t="shared" si="137"/>
        <v>0</v>
      </c>
      <c r="Y45" s="214"/>
      <c r="Z45" s="99">
        <f t="shared" si="21"/>
        <v>0</v>
      </c>
      <c r="AA45" s="214"/>
      <c r="AB45" s="97">
        <f t="shared" si="137"/>
        <v>0</v>
      </c>
      <c r="AC45" s="214">
        <v>0</v>
      </c>
      <c r="AD45" s="99">
        <f t="shared" si="22"/>
        <v>0</v>
      </c>
      <c r="AE45" s="214"/>
      <c r="AF45" s="97"/>
      <c r="AG45" s="214">
        <v>0</v>
      </c>
      <c r="AH45" s="99">
        <f t="shared" si="23"/>
        <v>0</v>
      </c>
      <c r="AI45" s="214"/>
      <c r="AJ45" s="97">
        <f t="shared" si="137"/>
        <v>0</v>
      </c>
      <c r="AK45" s="214"/>
      <c r="AL45" s="99">
        <f t="shared" si="24"/>
        <v>0</v>
      </c>
      <c r="AM45" s="214"/>
      <c r="AN45" s="97"/>
      <c r="AO45" s="214"/>
      <c r="AP45" s="99">
        <f t="shared" si="25"/>
        <v>0</v>
      </c>
      <c r="AQ45" s="214"/>
      <c r="AR45" s="97">
        <f t="shared" si="137"/>
        <v>0</v>
      </c>
      <c r="AS45" s="214"/>
      <c r="AT45" s="99">
        <f t="shared" si="26"/>
        <v>0</v>
      </c>
      <c r="AU45" s="214">
        <v>27</v>
      </c>
      <c r="AV45" s="97">
        <v>27</v>
      </c>
      <c r="AW45" s="214">
        <v>16</v>
      </c>
      <c r="AX45" s="99">
        <f t="shared" si="27"/>
        <v>59.259259259259252</v>
      </c>
      <c r="AY45" s="269">
        <v>8</v>
      </c>
      <c r="AZ45" s="195">
        <v>8</v>
      </c>
      <c r="BA45" s="269">
        <v>10</v>
      </c>
      <c r="BB45" s="99">
        <f t="shared" si="28"/>
        <v>125</v>
      </c>
      <c r="BC45" s="214">
        <v>1</v>
      </c>
      <c r="BD45" s="97">
        <v>1</v>
      </c>
      <c r="BE45" s="214">
        <v>1</v>
      </c>
      <c r="BF45" s="99">
        <f t="shared" si="29"/>
        <v>100</v>
      </c>
      <c r="BG45" s="214">
        <v>2</v>
      </c>
      <c r="BH45" s="97">
        <v>2</v>
      </c>
      <c r="BI45" s="214">
        <v>6</v>
      </c>
      <c r="BJ45" s="99">
        <f t="shared" si="30"/>
        <v>300</v>
      </c>
      <c r="BK45" s="214"/>
      <c r="BL45" s="97">
        <f t="shared" si="137"/>
        <v>0</v>
      </c>
      <c r="BM45" s="214"/>
      <c r="BN45" s="99">
        <f t="shared" si="31"/>
        <v>0</v>
      </c>
      <c r="BO45" s="214"/>
      <c r="BP45" s="97">
        <f t="shared" ref="BP45:DT60" si="276">ROUND(BO45/12*$A$7,0)</f>
        <v>0</v>
      </c>
      <c r="BQ45" s="214"/>
      <c r="BR45" s="99">
        <f t="shared" si="32"/>
        <v>0</v>
      </c>
      <c r="BS45" s="214"/>
      <c r="BT45" s="97">
        <f t="shared" si="276"/>
        <v>0</v>
      </c>
      <c r="BU45" s="214"/>
      <c r="BV45" s="99">
        <f t="shared" si="33"/>
        <v>0</v>
      </c>
      <c r="BW45" s="214"/>
      <c r="BX45" s="97">
        <f t="shared" si="276"/>
        <v>0</v>
      </c>
      <c r="BY45" s="214"/>
      <c r="BZ45" s="99">
        <f t="shared" si="34"/>
        <v>0</v>
      </c>
      <c r="CA45" s="214"/>
      <c r="CB45" s="97">
        <f t="shared" si="276"/>
        <v>0</v>
      </c>
      <c r="CC45" s="214"/>
      <c r="CD45" s="99">
        <f t="shared" si="35"/>
        <v>0</v>
      </c>
      <c r="CE45" s="214"/>
      <c r="CF45" s="97">
        <f t="shared" si="276"/>
        <v>0</v>
      </c>
      <c r="CG45" s="214"/>
      <c r="CH45" s="99">
        <f t="shared" si="36"/>
        <v>0</v>
      </c>
      <c r="CI45" s="214"/>
      <c r="CJ45" s="97">
        <f t="shared" si="276"/>
        <v>0</v>
      </c>
      <c r="CK45" s="214"/>
      <c r="CL45" s="99">
        <f t="shared" si="37"/>
        <v>0</v>
      </c>
      <c r="CM45" s="214"/>
      <c r="CN45" s="97">
        <f t="shared" si="276"/>
        <v>0</v>
      </c>
      <c r="CO45" s="214"/>
      <c r="CP45" s="99">
        <f t="shared" si="38"/>
        <v>0</v>
      </c>
      <c r="CQ45" s="214"/>
      <c r="CR45" s="97">
        <f t="shared" si="276"/>
        <v>0</v>
      </c>
      <c r="CS45" s="214"/>
      <c r="CT45" s="99">
        <f t="shared" si="39"/>
        <v>0</v>
      </c>
      <c r="CU45" s="214"/>
      <c r="CV45" s="97">
        <f t="shared" si="276"/>
        <v>0</v>
      </c>
      <c r="CW45" s="214"/>
      <c r="CX45" s="99">
        <f t="shared" si="40"/>
        <v>0</v>
      </c>
      <c r="CY45" s="214"/>
      <c r="CZ45" s="97">
        <f t="shared" si="276"/>
        <v>0</v>
      </c>
      <c r="DA45" s="214"/>
      <c r="DB45" s="99">
        <f t="shared" si="41"/>
        <v>0</v>
      </c>
      <c r="DC45" s="214"/>
      <c r="DD45" s="97">
        <f t="shared" si="276"/>
        <v>0</v>
      </c>
      <c r="DE45" s="214"/>
      <c r="DF45" s="99">
        <f t="shared" si="42"/>
        <v>0</v>
      </c>
      <c r="DG45" s="214"/>
      <c r="DH45" s="97">
        <f t="shared" si="276"/>
        <v>0</v>
      </c>
      <c r="DI45" s="214"/>
      <c r="DJ45" s="99" t="e">
        <f t="shared" si="139"/>
        <v>#DIV/0!</v>
      </c>
      <c r="DK45" s="214"/>
      <c r="DL45" s="97"/>
      <c r="DM45" s="214">
        <v>0</v>
      </c>
      <c r="DN45" s="99">
        <f t="shared" si="43"/>
        <v>0</v>
      </c>
      <c r="DO45" s="214">
        <v>19</v>
      </c>
      <c r="DP45" s="97">
        <v>19</v>
      </c>
      <c r="DQ45" s="214">
        <v>19</v>
      </c>
      <c r="DR45" s="99">
        <f t="shared" si="44"/>
        <v>100</v>
      </c>
      <c r="DS45" s="214"/>
      <c r="DT45" s="97">
        <f t="shared" si="276"/>
        <v>0</v>
      </c>
      <c r="DU45" s="214"/>
      <c r="DV45" s="99" t="e">
        <f t="shared" si="140"/>
        <v>#DIV/0!</v>
      </c>
      <c r="DW45" s="214"/>
      <c r="DX45" s="97">
        <f t="shared" si="141"/>
        <v>0</v>
      </c>
      <c r="DY45" s="214"/>
      <c r="DZ45" s="99" t="e">
        <f t="shared" si="142"/>
        <v>#DIV/0!</v>
      </c>
      <c r="EA45" s="214"/>
      <c r="EB45" s="97">
        <f t="shared" si="141"/>
        <v>0</v>
      </c>
      <c r="EC45" s="214"/>
      <c r="ED45" s="99">
        <f t="shared" si="45"/>
        <v>0</v>
      </c>
      <c r="EE45" s="214"/>
      <c r="EF45" s="97">
        <f t="shared" si="141"/>
        <v>0</v>
      </c>
      <c r="EG45" s="214"/>
      <c r="EH45" s="99">
        <f t="shared" si="46"/>
        <v>0</v>
      </c>
      <c r="EI45" s="214"/>
      <c r="EJ45" s="97">
        <f t="shared" si="141"/>
        <v>0</v>
      </c>
      <c r="EK45" s="214"/>
      <c r="EL45" s="99">
        <f t="shared" si="47"/>
        <v>0</v>
      </c>
      <c r="EM45" s="214"/>
      <c r="EN45" s="97">
        <f t="shared" si="141"/>
        <v>0</v>
      </c>
      <c r="EO45" s="214"/>
      <c r="EP45" s="99">
        <f t="shared" si="48"/>
        <v>0</v>
      </c>
      <c r="EQ45" s="214"/>
      <c r="ER45" s="97">
        <f t="shared" si="141"/>
        <v>0</v>
      </c>
      <c r="ES45" s="214"/>
      <c r="ET45" s="99">
        <f t="shared" si="49"/>
        <v>0</v>
      </c>
      <c r="EU45" s="214"/>
      <c r="EV45" s="97">
        <f t="shared" si="141"/>
        <v>0</v>
      </c>
      <c r="EW45" s="214"/>
      <c r="EX45" s="99">
        <f t="shared" si="50"/>
        <v>0</v>
      </c>
      <c r="EY45" s="152">
        <f>SUM(EQ45,EM45,EI45,EE45,EA45,DW45,DS45,DO45,DK45,DG45,DC45,CY45,CU45,CQ45,CM45,CI45,CE45,CA45,BW45,BS45,BO45,BK45,BG45,BC45,AY45,AU45,AQ45,AM45,AI45,AE45,AA45,W45,S45,O45,K45,G45,C45)+EU45</f>
        <v>57</v>
      </c>
      <c r="EZ45" s="152">
        <f t="shared" si="17"/>
        <v>57</v>
      </c>
      <c r="FA45" s="152">
        <f t="shared" si="17"/>
        <v>52</v>
      </c>
      <c r="FB45" s="152">
        <f t="shared" si="52"/>
        <v>91.228070175438589</v>
      </c>
    </row>
    <row r="46" spans="1:158" ht="15.75" x14ac:dyDescent="0.2">
      <c r="A46" s="169" t="s">
        <v>151</v>
      </c>
      <c r="B46" s="170" t="s">
        <v>339</v>
      </c>
      <c r="C46" s="96"/>
      <c r="D46" s="97">
        <f t="shared" ref="D46:D61" si="277">ROUND(C46/12*$A$7,0)</f>
        <v>0</v>
      </c>
      <c r="E46" s="98"/>
      <c r="F46" s="99" t="e">
        <f t="shared" si="3"/>
        <v>#DIV/0!</v>
      </c>
      <c r="G46" s="214"/>
      <c r="H46" s="97">
        <f t="shared" ref="H46:BP61" si="278">ROUND(G46/12*$A$7,0)</f>
        <v>0</v>
      </c>
      <c r="I46" s="214"/>
      <c r="J46" s="99">
        <f t="shared" si="18"/>
        <v>0</v>
      </c>
      <c r="K46" s="214"/>
      <c r="L46" s="97">
        <f t="shared" si="278"/>
        <v>0</v>
      </c>
      <c r="M46" s="214"/>
      <c r="N46" s="99" t="e">
        <f t="shared" si="138"/>
        <v>#DIV/0!</v>
      </c>
      <c r="O46" s="214"/>
      <c r="P46" s="97">
        <f t="shared" si="278"/>
        <v>0</v>
      </c>
      <c r="Q46" s="214"/>
      <c r="R46" s="99">
        <f t="shared" si="19"/>
        <v>0</v>
      </c>
      <c r="S46" s="214"/>
      <c r="T46" s="97">
        <f t="shared" si="278"/>
        <v>0</v>
      </c>
      <c r="U46" s="214"/>
      <c r="V46" s="99">
        <f t="shared" si="20"/>
        <v>0</v>
      </c>
      <c r="W46" s="214"/>
      <c r="X46" s="97">
        <f t="shared" si="278"/>
        <v>0</v>
      </c>
      <c r="Y46" s="214"/>
      <c r="Z46" s="99">
        <f t="shared" si="21"/>
        <v>0</v>
      </c>
      <c r="AA46" s="214">
        <v>93</v>
      </c>
      <c r="AB46" s="97">
        <v>93</v>
      </c>
      <c r="AC46" s="214">
        <v>114</v>
      </c>
      <c r="AD46" s="99">
        <f t="shared" si="22"/>
        <v>122.58064516129032</v>
      </c>
      <c r="AE46" s="214">
        <v>82</v>
      </c>
      <c r="AF46" s="97">
        <v>82</v>
      </c>
      <c r="AG46" s="214">
        <v>86</v>
      </c>
      <c r="AH46" s="99">
        <f t="shared" si="23"/>
        <v>104.8780487804878</v>
      </c>
      <c r="AI46" s="214"/>
      <c r="AJ46" s="97">
        <f t="shared" si="278"/>
        <v>0</v>
      </c>
      <c r="AK46" s="214"/>
      <c r="AL46" s="99">
        <f t="shared" si="24"/>
        <v>0</v>
      </c>
      <c r="AM46" s="214"/>
      <c r="AN46" s="97"/>
      <c r="AO46" s="214"/>
      <c r="AP46" s="99">
        <f t="shared" si="25"/>
        <v>0</v>
      </c>
      <c r="AQ46" s="214"/>
      <c r="AR46" s="97">
        <f t="shared" si="278"/>
        <v>0</v>
      </c>
      <c r="AS46" s="214"/>
      <c r="AT46" s="99">
        <f t="shared" si="26"/>
        <v>0</v>
      </c>
      <c r="AU46" s="214">
        <v>31</v>
      </c>
      <c r="AV46" s="97">
        <v>31</v>
      </c>
      <c r="AW46" s="214">
        <v>31</v>
      </c>
      <c r="AX46" s="99">
        <f t="shared" si="27"/>
        <v>100</v>
      </c>
      <c r="AY46" s="269">
        <v>59</v>
      </c>
      <c r="AZ46" s="195">
        <v>59</v>
      </c>
      <c r="BA46" s="269">
        <v>59</v>
      </c>
      <c r="BB46" s="99">
        <f t="shared" si="28"/>
        <v>100</v>
      </c>
      <c r="BC46" s="214">
        <v>31</v>
      </c>
      <c r="BD46" s="97">
        <v>31</v>
      </c>
      <c r="BE46" s="214">
        <v>29</v>
      </c>
      <c r="BF46" s="99">
        <f t="shared" si="29"/>
        <v>93.548387096774192</v>
      </c>
      <c r="BG46" s="214">
        <v>102</v>
      </c>
      <c r="BH46" s="97">
        <v>102</v>
      </c>
      <c r="BI46" s="214">
        <v>101</v>
      </c>
      <c r="BJ46" s="99">
        <f t="shared" si="30"/>
        <v>99.019607843137265</v>
      </c>
      <c r="BK46" s="214"/>
      <c r="BL46" s="97">
        <f t="shared" si="278"/>
        <v>0</v>
      </c>
      <c r="BM46" s="214"/>
      <c r="BN46" s="99">
        <f t="shared" si="31"/>
        <v>0</v>
      </c>
      <c r="BO46" s="214"/>
      <c r="BP46" s="97">
        <f t="shared" si="278"/>
        <v>0</v>
      </c>
      <c r="BQ46" s="214"/>
      <c r="BR46" s="99">
        <f t="shared" si="32"/>
        <v>0</v>
      </c>
      <c r="BS46" s="214"/>
      <c r="BT46" s="97">
        <f t="shared" si="276"/>
        <v>0</v>
      </c>
      <c r="BU46" s="214"/>
      <c r="BV46" s="99">
        <f t="shared" si="33"/>
        <v>0</v>
      </c>
      <c r="BW46" s="214"/>
      <c r="BX46" s="97">
        <f t="shared" si="276"/>
        <v>0</v>
      </c>
      <c r="BY46" s="214"/>
      <c r="BZ46" s="99">
        <f t="shared" si="34"/>
        <v>0</v>
      </c>
      <c r="CA46" s="214"/>
      <c r="CB46" s="97">
        <f t="shared" si="276"/>
        <v>0</v>
      </c>
      <c r="CC46" s="214"/>
      <c r="CD46" s="99">
        <f t="shared" si="35"/>
        <v>0</v>
      </c>
      <c r="CE46" s="214"/>
      <c r="CF46" s="97">
        <f t="shared" si="276"/>
        <v>0</v>
      </c>
      <c r="CG46" s="214"/>
      <c r="CH46" s="99">
        <f t="shared" si="36"/>
        <v>0</v>
      </c>
      <c r="CI46" s="214"/>
      <c r="CJ46" s="97">
        <f t="shared" si="276"/>
        <v>0</v>
      </c>
      <c r="CK46" s="214"/>
      <c r="CL46" s="99">
        <f t="shared" si="37"/>
        <v>0</v>
      </c>
      <c r="CM46" s="214"/>
      <c r="CN46" s="97">
        <f t="shared" si="276"/>
        <v>0</v>
      </c>
      <c r="CO46" s="214"/>
      <c r="CP46" s="99">
        <f t="shared" si="38"/>
        <v>0</v>
      </c>
      <c r="CQ46" s="214"/>
      <c r="CR46" s="97">
        <f t="shared" si="276"/>
        <v>0</v>
      </c>
      <c r="CS46" s="214"/>
      <c r="CT46" s="99">
        <f t="shared" si="39"/>
        <v>0</v>
      </c>
      <c r="CU46" s="214"/>
      <c r="CV46" s="97">
        <f t="shared" si="276"/>
        <v>0</v>
      </c>
      <c r="CW46" s="214"/>
      <c r="CX46" s="99">
        <f t="shared" si="40"/>
        <v>0</v>
      </c>
      <c r="CY46" s="214"/>
      <c r="CZ46" s="97">
        <f t="shared" si="276"/>
        <v>0</v>
      </c>
      <c r="DA46" s="214"/>
      <c r="DB46" s="99">
        <f t="shared" si="41"/>
        <v>0</v>
      </c>
      <c r="DC46" s="214"/>
      <c r="DD46" s="97">
        <f t="shared" si="276"/>
        <v>0</v>
      </c>
      <c r="DE46" s="214"/>
      <c r="DF46" s="99">
        <f t="shared" si="42"/>
        <v>0</v>
      </c>
      <c r="DG46" s="214"/>
      <c r="DH46" s="97">
        <f t="shared" si="276"/>
        <v>0</v>
      </c>
      <c r="DI46" s="214"/>
      <c r="DJ46" s="99" t="e">
        <f t="shared" si="139"/>
        <v>#DIV/0!</v>
      </c>
      <c r="DK46" s="214">
        <v>21</v>
      </c>
      <c r="DL46" s="97">
        <v>21</v>
      </c>
      <c r="DM46" s="214">
        <v>34</v>
      </c>
      <c r="DN46" s="99">
        <f t="shared" si="43"/>
        <v>161.9047619047619</v>
      </c>
      <c r="DO46" s="214">
        <v>170</v>
      </c>
      <c r="DP46" s="97">
        <v>170</v>
      </c>
      <c r="DQ46" s="214">
        <v>170</v>
      </c>
      <c r="DR46" s="99">
        <f t="shared" si="44"/>
        <v>100</v>
      </c>
      <c r="DS46" s="214"/>
      <c r="DT46" s="97">
        <f t="shared" si="276"/>
        <v>0</v>
      </c>
      <c r="DU46" s="214"/>
      <c r="DV46" s="99" t="e">
        <f t="shared" si="140"/>
        <v>#DIV/0!</v>
      </c>
      <c r="DW46" s="214"/>
      <c r="DX46" s="97">
        <f t="shared" ref="DX46:EV61" si="279">ROUND(DW46/12*$A$7,0)</f>
        <v>0</v>
      </c>
      <c r="DY46" s="214"/>
      <c r="DZ46" s="99" t="e">
        <f t="shared" si="142"/>
        <v>#DIV/0!</v>
      </c>
      <c r="EA46" s="214"/>
      <c r="EB46" s="97">
        <f t="shared" si="279"/>
        <v>0</v>
      </c>
      <c r="EC46" s="214"/>
      <c r="ED46" s="99">
        <f t="shared" si="45"/>
        <v>0</v>
      </c>
      <c r="EE46" s="214"/>
      <c r="EF46" s="97">
        <f t="shared" si="279"/>
        <v>0</v>
      </c>
      <c r="EG46" s="214"/>
      <c r="EH46" s="99">
        <f t="shared" si="46"/>
        <v>0</v>
      </c>
      <c r="EI46" s="214"/>
      <c r="EJ46" s="97">
        <f t="shared" si="279"/>
        <v>0</v>
      </c>
      <c r="EK46" s="214"/>
      <c r="EL46" s="99">
        <f t="shared" si="47"/>
        <v>0</v>
      </c>
      <c r="EM46" s="214"/>
      <c r="EN46" s="97">
        <f t="shared" si="279"/>
        <v>0</v>
      </c>
      <c r="EO46" s="214"/>
      <c r="EP46" s="99">
        <f t="shared" si="48"/>
        <v>0</v>
      </c>
      <c r="EQ46" s="214"/>
      <c r="ER46" s="97">
        <f t="shared" si="279"/>
        <v>0</v>
      </c>
      <c r="ES46" s="214"/>
      <c r="ET46" s="99">
        <f t="shared" si="49"/>
        <v>0</v>
      </c>
      <c r="EU46" s="214"/>
      <c r="EV46" s="97">
        <f t="shared" si="279"/>
        <v>0</v>
      </c>
      <c r="EW46" s="214"/>
      <c r="EX46" s="99">
        <f t="shared" si="50"/>
        <v>0</v>
      </c>
      <c r="EY46" s="152">
        <f>SUM(EQ46,EM46,EI46,EE46,EA46,DW46,DS46,DO46,DK46,DG46,DC46,CY46,CU46,CQ46,CM46,CI46,CE46,CA46,BW46,BS46,BO46,BK46,BG46,BC46,AY46,AU46,AQ46,AM46,AI46,AE46,AA46,W46,S46,O46,K46,G46,C46)+EU46</f>
        <v>589</v>
      </c>
      <c r="EZ46" s="152">
        <f t="shared" si="17"/>
        <v>589</v>
      </c>
      <c r="FA46" s="152">
        <f t="shared" si="17"/>
        <v>624</v>
      </c>
      <c r="FB46" s="152">
        <f t="shared" si="52"/>
        <v>105.94227504244482</v>
      </c>
    </row>
    <row r="47" spans="1:158" ht="15.75" x14ac:dyDescent="0.2">
      <c r="A47" s="169" t="s">
        <v>152</v>
      </c>
      <c r="B47" s="170" t="s">
        <v>339</v>
      </c>
      <c r="C47" s="96"/>
      <c r="D47" s="97">
        <f t="shared" si="277"/>
        <v>0</v>
      </c>
      <c r="E47" s="98"/>
      <c r="F47" s="99" t="e">
        <f t="shared" si="3"/>
        <v>#DIV/0!</v>
      </c>
      <c r="G47" s="214"/>
      <c r="H47" s="97">
        <f t="shared" si="278"/>
        <v>0</v>
      </c>
      <c r="I47" s="214"/>
      <c r="J47" s="99">
        <f t="shared" si="18"/>
        <v>0</v>
      </c>
      <c r="K47" s="214"/>
      <c r="L47" s="97">
        <f t="shared" si="278"/>
        <v>0</v>
      </c>
      <c r="M47" s="214"/>
      <c r="N47" s="99" t="e">
        <f t="shared" si="138"/>
        <v>#DIV/0!</v>
      </c>
      <c r="O47" s="214"/>
      <c r="P47" s="97">
        <f t="shared" si="278"/>
        <v>0</v>
      </c>
      <c r="Q47" s="214"/>
      <c r="R47" s="99">
        <f t="shared" si="19"/>
        <v>0</v>
      </c>
      <c r="S47" s="214"/>
      <c r="T47" s="97">
        <f t="shared" si="278"/>
        <v>0</v>
      </c>
      <c r="U47" s="214"/>
      <c r="V47" s="99">
        <f t="shared" si="20"/>
        <v>0</v>
      </c>
      <c r="W47" s="214"/>
      <c r="X47" s="97">
        <f t="shared" si="278"/>
        <v>0</v>
      </c>
      <c r="Y47" s="214"/>
      <c r="Z47" s="99">
        <f t="shared" si="21"/>
        <v>0</v>
      </c>
      <c r="AA47" s="214">
        <v>58</v>
      </c>
      <c r="AB47" s="97">
        <v>58</v>
      </c>
      <c r="AC47" s="214">
        <v>40</v>
      </c>
      <c r="AD47" s="99">
        <f t="shared" si="22"/>
        <v>68.965517241379317</v>
      </c>
      <c r="AE47" s="214">
        <v>18</v>
      </c>
      <c r="AF47" s="97">
        <v>18</v>
      </c>
      <c r="AG47" s="214">
        <v>14</v>
      </c>
      <c r="AH47" s="99">
        <f t="shared" si="23"/>
        <v>77.777777777777786</v>
      </c>
      <c r="AI47" s="214"/>
      <c r="AJ47" s="97">
        <f t="shared" si="278"/>
        <v>0</v>
      </c>
      <c r="AK47" s="214"/>
      <c r="AL47" s="99">
        <f t="shared" si="24"/>
        <v>0</v>
      </c>
      <c r="AM47" s="214"/>
      <c r="AN47" s="97"/>
      <c r="AO47" s="214"/>
      <c r="AP47" s="99">
        <f t="shared" si="25"/>
        <v>0</v>
      </c>
      <c r="AQ47" s="214"/>
      <c r="AR47" s="97">
        <f t="shared" si="278"/>
        <v>0</v>
      </c>
      <c r="AS47" s="214"/>
      <c r="AT47" s="99">
        <f t="shared" si="26"/>
        <v>0</v>
      </c>
      <c r="AU47" s="214">
        <v>16</v>
      </c>
      <c r="AV47" s="97">
        <v>16</v>
      </c>
      <c r="AW47" s="214">
        <v>16</v>
      </c>
      <c r="AX47" s="99">
        <f t="shared" si="27"/>
        <v>100</v>
      </c>
      <c r="AY47" s="269">
        <v>16</v>
      </c>
      <c r="AZ47" s="195">
        <v>16</v>
      </c>
      <c r="BA47" s="269">
        <v>16</v>
      </c>
      <c r="BB47" s="99">
        <f t="shared" si="28"/>
        <v>100</v>
      </c>
      <c r="BC47" s="214">
        <v>9</v>
      </c>
      <c r="BD47" s="97">
        <v>9</v>
      </c>
      <c r="BE47" s="214">
        <v>9</v>
      </c>
      <c r="BF47" s="99">
        <f t="shared" si="29"/>
        <v>100</v>
      </c>
      <c r="BG47" s="214">
        <v>32</v>
      </c>
      <c r="BH47" s="97">
        <v>32</v>
      </c>
      <c r="BI47" s="214">
        <v>29</v>
      </c>
      <c r="BJ47" s="99">
        <f t="shared" si="30"/>
        <v>90.625</v>
      </c>
      <c r="BK47" s="214"/>
      <c r="BL47" s="97">
        <f t="shared" si="278"/>
        <v>0</v>
      </c>
      <c r="BM47" s="214"/>
      <c r="BN47" s="99">
        <f t="shared" si="31"/>
        <v>0</v>
      </c>
      <c r="BO47" s="214"/>
      <c r="BP47" s="97">
        <f t="shared" si="278"/>
        <v>0</v>
      </c>
      <c r="BQ47" s="214"/>
      <c r="BR47" s="99">
        <f t="shared" si="32"/>
        <v>0</v>
      </c>
      <c r="BS47" s="214"/>
      <c r="BT47" s="97">
        <f t="shared" si="276"/>
        <v>0</v>
      </c>
      <c r="BU47" s="214"/>
      <c r="BV47" s="99">
        <f t="shared" si="33"/>
        <v>0</v>
      </c>
      <c r="BW47" s="214"/>
      <c r="BX47" s="97">
        <f t="shared" si="276"/>
        <v>0</v>
      </c>
      <c r="BY47" s="214"/>
      <c r="BZ47" s="99">
        <f t="shared" si="34"/>
        <v>0</v>
      </c>
      <c r="CA47" s="214"/>
      <c r="CB47" s="97">
        <f t="shared" si="276"/>
        <v>0</v>
      </c>
      <c r="CC47" s="214"/>
      <c r="CD47" s="99">
        <f t="shared" si="35"/>
        <v>0</v>
      </c>
      <c r="CE47" s="214"/>
      <c r="CF47" s="97">
        <f t="shared" si="276"/>
        <v>0</v>
      </c>
      <c r="CG47" s="214"/>
      <c r="CH47" s="99">
        <f t="shared" si="36"/>
        <v>0</v>
      </c>
      <c r="CI47" s="214"/>
      <c r="CJ47" s="97">
        <f t="shared" si="276"/>
        <v>0</v>
      </c>
      <c r="CK47" s="214"/>
      <c r="CL47" s="99">
        <f t="shared" si="37"/>
        <v>0</v>
      </c>
      <c r="CM47" s="214"/>
      <c r="CN47" s="97">
        <f t="shared" si="276"/>
        <v>0</v>
      </c>
      <c r="CO47" s="214"/>
      <c r="CP47" s="99">
        <f t="shared" si="38"/>
        <v>0</v>
      </c>
      <c r="CQ47" s="214"/>
      <c r="CR47" s="97">
        <f t="shared" si="276"/>
        <v>0</v>
      </c>
      <c r="CS47" s="214"/>
      <c r="CT47" s="99">
        <f t="shared" si="39"/>
        <v>0</v>
      </c>
      <c r="CU47" s="214"/>
      <c r="CV47" s="97">
        <f t="shared" si="276"/>
        <v>0</v>
      </c>
      <c r="CW47" s="214"/>
      <c r="CX47" s="99">
        <f t="shared" si="40"/>
        <v>0</v>
      </c>
      <c r="CY47" s="214"/>
      <c r="CZ47" s="97">
        <f t="shared" si="276"/>
        <v>0</v>
      </c>
      <c r="DA47" s="214"/>
      <c r="DB47" s="99">
        <f t="shared" si="41"/>
        <v>0</v>
      </c>
      <c r="DC47" s="214"/>
      <c r="DD47" s="97">
        <f t="shared" si="276"/>
        <v>0</v>
      </c>
      <c r="DE47" s="214"/>
      <c r="DF47" s="99">
        <f t="shared" si="42"/>
        <v>0</v>
      </c>
      <c r="DG47" s="214"/>
      <c r="DH47" s="97">
        <f t="shared" si="276"/>
        <v>0</v>
      </c>
      <c r="DI47" s="214"/>
      <c r="DJ47" s="99" t="e">
        <f t="shared" si="139"/>
        <v>#DIV/0!</v>
      </c>
      <c r="DK47" s="214">
        <v>51</v>
      </c>
      <c r="DL47" s="97">
        <v>51</v>
      </c>
      <c r="DM47" s="214">
        <v>38</v>
      </c>
      <c r="DN47" s="99">
        <f t="shared" si="43"/>
        <v>74.509803921568633</v>
      </c>
      <c r="DO47" s="214">
        <v>52</v>
      </c>
      <c r="DP47" s="97">
        <v>52</v>
      </c>
      <c r="DQ47" s="214">
        <v>52</v>
      </c>
      <c r="DR47" s="99">
        <f t="shared" si="44"/>
        <v>100</v>
      </c>
      <c r="DS47" s="214"/>
      <c r="DT47" s="97">
        <f t="shared" si="276"/>
        <v>0</v>
      </c>
      <c r="DU47" s="214"/>
      <c r="DV47" s="99" t="e">
        <f t="shared" si="140"/>
        <v>#DIV/0!</v>
      </c>
      <c r="DW47" s="214"/>
      <c r="DX47" s="97">
        <f t="shared" si="279"/>
        <v>0</v>
      </c>
      <c r="DY47" s="214"/>
      <c r="DZ47" s="99" t="e">
        <f t="shared" si="142"/>
        <v>#DIV/0!</v>
      </c>
      <c r="EA47" s="214"/>
      <c r="EB47" s="97">
        <f t="shared" si="279"/>
        <v>0</v>
      </c>
      <c r="EC47" s="214"/>
      <c r="ED47" s="99">
        <f t="shared" si="45"/>
        <v>0</v>
      </c>
      <c r="EE47" s="214"/>
      <c r="EF47" s="97">
        <f t="shared" si="279"/>
        <v>0</v>
      </c>
      <c r="EG47" s="214"/>
      <c r="EH47" s="99">
        <f t="shared" si="46"/>
        <v>0</v>
      </c>
      <c r="EI47" s="214"/>
      <c r="EJ47" s="97">
        <f t="shared" si="279"/>
        <v>0</v>
      </c>
      <c r="EK47" s="214"/>
      <c r="EL47" s="99">
        <f t="shared" si="47"/>
        <v>0</v>
      </c>
      <c r="EM47" s="214"/>
      <c r="EN47" s="97">
        <f t="shared" si="279"/>
        <v>0</v>
      </c>
      <c r="EO47" s="214"/>
      <c r="EP47" s="99">
        <f t="shared" si="48"/>
        <v>0</v>
      </c>
      <c r="EQ47" s="214"/>
      <c r="ER47" s="97">
        <f t="shared" si="279"/>
        <v>0</v>
      </c>
      <c r="ES47" s="214"/>
      <c r="ET47" s="99">
        <f t="shared" si="49"/>
        <v>0</v>
      </c>
      <c r="EU47" s="214"/>
      <c r="EV47" s="97">
        <f t="shared" si="279"/>
        <v>0</v>
      </c>
      <c r="EW47" s="214"/>
      <c r="EX47" s="99">
        <f t="shared" si="50"/>
        <v>0</v>
      </c>
      <c r="EY47" s="152">
        <f>SUM(EQ47,EM47,EI47,EE47,EA47,DW47,DS47,DO47,DK47,DG47,DC47,CY47,CU47,CQ47,CM47,CI47,CE47,CA47,BW47,BS47,BO47,BK47,BG47,BC47,AY47,AU47,AQ47,AM47,AI47,AE47,AA47,W47,S47,O47,K47,G47,C47)+EU47</f>
        <v>252</v>
      </c>
      <c r="EZ47" s="152">
        <f t="shared" si="17"/>
        <v>252</v>
      </c>
      <c r="FA47" s="152">
        <f t="shared" si="17"/>
        <v>214</v>
      </c>
      <c r="FB47" s="152">
        <f t="shared" si="52"/>
        <v>84.920634920634924</v>
      </c>
    </row>
    <row r="48" spans="1:158" ht="31.5" x14ac:dyDescent="0.25">
      <c r="A48" s="173" t="s">
        <v>153</v>
      </c>
      <c r="B48" s="155" t="s">
        <v>3</v>
      </c>
      <c r="C48" s="96">
        <f t="shared" ref="C48" si="280">C49*7+C50*8+C51*9+C52*9</f>
        <v>0</v>
      </c>
      <c r="D48" s="97">
        <f t="shared" si="277"/>
        <v>0</v>
      </c>
      <c r="E48" s="98">
        <f t="shared" ref="E48" si="281">E49*7+E50*8+E51*9+E52*9</f>
        <v>0</v>
      </c>
      <c r="F48" s="99" t="e">
        <f t="shared" si="3"/>
        <v>#DIV/0!</v>
      </c>
      <c r="G48" s="214">
        <f t="shared" ref="G48" si="282">G49*7+G50*8+G51*9+G52*9</f>
        <v>0</v>
      </c>
      <c r="H48" s="97">
        <f t="shared" si="278"/>
        <v>0</v>
      </c>
      <c r="I48" s="214">
        <f t="shared" ref="I48" si="283">I49*7+I50*8+I51*9+I52*9</f>
        <v>0</v>
      </c>
      <c r="J48" s="99">
        <f t="shared" si="18"/>
        <v>0</v>
      </c>
      <c r="K48" s="214">
        <f t="shared" ref="K48" si="284">K49*7+K50*8+K51*9+K52*9</f>
        <v>0</v>
      </c>
      <c r="L48" s="97">
        <f t="shared" si="278"/>
        <v>0</v>
      </c>
      <c r="M48" s="214">
        <f t="shared" ref="M48" si="285">M49*7+M50*8+M51*9+M52*9</f>
        <v>0</v>
      </c>
      <c r="N48" s="99" t="e">
        <f t="shared" si="138"/>
        <v>#DIV/0!</v>
      </c>
      <c r="O48" s="214">
        <f t="shared" ref="O48" si="286">O49*7+O50*8+O51*9+O52*9</f>
        <v>0</v>
      </c>
      <c r="P48" s="97">
        <f t="shared" si="278"/>
        <v>0</v>
      </c>
      <c r="Q48" s="214">
        <f t="shared" ref="Q48" si="287">Q49*7+Q50*8+Q51*9+Q52*9</f>
        <v>0</v>
      </c>
      <c r="R48" s="99">
        <f t="shared" si="19"/>
        <v>0</v>
      </c>
      <c r="S48" s="214">
        <f t="shared" ref="S48" si="288">S49*7+S50*8+S51*9+S52*9</f>
        <v>0</v>
      </c>
      <c r="T48" s="97">
        <f t="shared" si="278"/>
        <v>0</v>
      </c>
      <c r="U48" s="214">
        <f t="shared" ref="U48" si="289">U49*7+U50*8+U51*9+U52*9</f>
        <v>0</v>
      </c>
      <c r="V48" s="99">
        <f t="shared" si="20"/>
        <v>0</v>
      </c>
      <c r="W48" s="214">
        <f t="shared" ref="W48" si="290">W49*7+W50*8+W51*9+W52*9</f>
        <v>0</v>
      </c>
      <c r="X48" s="97">
        <f t="shared" si="278"/>
        <v>0</v>
      </c>
      <c r="Y48" s="214">
        <f t="shared" ref="Y48" si="291">Y49*7+Y50*8+Y51*9+Y52*9</f>
        <v>0</v>
      </c>
      <c r="Z48" s="99">
        <f t="shared" si="21"/>
        <v>0</v>
      </c>
      <c r="AA48" s="214">
        <f t="shared" ref="AA48:AB48" si="292">AA49*7+AA50*8+AA51*9+AA52*9</f>
        <v>423</v>
      </c>
      <c r="AB48" s="214">
        <f t="shared" si="292"/>
        <v>423</v>
      </c>
      <c r="AC48" s="214">
        <f t="shared" ref="AC48" si="293">AC49*7+AC50*8+AC51*9+AC52*9</f>
        <v>420</v>
      </c>
      <c r="AD48" s="99">
        <f t="shared" si="22"/>
        <v>99.290780141843967</v>
      </c>
      <c r="AE48" s="214">
        <f t="shared" ref="AE48:AF48" si="294">AE49*7+AE50*8+AE51*9+AE52*9</f>
        <v>351</v>
      </c>
      <c r="AF48" s="214">
        <f t="shared" si="294"/>
        <v>351</v>
      </c>
      <c r="AG48" s="214">
        <f t="shared" ref="AG48" si="295">AG49*7+AG50*8+AG51*9+AG52*9</f>
        <v>342</v>
      </c>
      <c r="AH48" s="99">
        <f t="shared" si="23"/>
        <v>97.435897435897431</v>
      </c>
      <c r="AI48" s="214">
        <f t="shared" ref="AI48" si="296">AI49*7+AI50*8+AI51*9+AI52*9</f>
        <v>0</v>
      </c>
      <c r="AJ48" s="97">
        <f t="shared" si="278"/>
        <v>0</v>
      </c>
      <c r="AK48" s="214">
        <f t="shared" ref="AK48" si="297">AK49*7+AK50*8+AK51*9+AK52*9</f>
        <v>0</v>
      </c>
      <c r="AL48" s="99">
        <f t="shared" si="24"/>
        <v>0</v>
      </c>
      <c r="AM48" s="214">
        <f>AM49*7+AM50*8+AM51*9+AM52*9</f>
        <v>404</v>
      </c>
      <c r="AN48" s="214">
        <f>AN49*7+AN50*8+AN51*9+AN52*9</f>
        <v>404</v>
      </c>
      <c r="AO48" s="214">
        <f t="shared" ref="AO48" si="298">AO49*7+AO50*8+AO51*9+AO52*9</f>
        <v>309</v>
      </c>
      <c r="AP48" s="99">
        <f t="shared" si="25"/>
        <v>76.485148514851488</v>
      </c>
      <c r="AQ48" s="214">
        <f t="shared" ref="AQ48" si="299">AQ49*7+AQ50*8+AQ51*9+AQ52*9</f>
        <v>0</v>
      </c>
      <c r="AR48" s="97">
        <f t="shared" si="278"/>
        <v>0</v>
      </c>
      <c r="AS48" s="214">
        <f t="shared" ref="AS48" si="300">AS49*7+AS50*8+AS51*9+AS52*9</f>
        <v>0</v>
      </c>
      <c r="AT48" s="99">
        <f t="shared" si="26"/>
        <v>0</v>
      </c>
      <c r="AU48" s="214">
        <f t="shared" ref="AU48:AV48" si="301">AU49*7+AU50*8+AU51*9+AU52*9</f>
        <v>587</v>
      </c>
      <c r="AV48" s="214">
        <f t="shared" si="301"/>
        <v>587</v>
      </c>
      <c r="AW48" s="214">
        <f t="shared" ref="AW48" si="302">AW49*7+AW50*8+AW51*9+AW52*9</f>
        <v>690</v>
      </c>
      <c r="AX48" s="99">
        <f t="shared" si="27"/>
        <v>117.54684838160136</v>
      </c>
      <c r="AY48" s="214">
        <f t="shared" ref="AY48:AZ48" si="303">AY49*7+AY50*8+AY51*9+AY52*9</f>
        <v>713</v>
      </c>
      <c r="AZ48" s="214">
        <f t="shared" si="303"/>
        <v>713</v>
      </c>
      <c r="BA48" s="214">
        <f t="shared" ref="BA48" si="304">BA49*7+BA50*8+BA51*9+BA52*9</f>
        <v>712</v>
      </c>
      <c r="BB48" s="99">
        <f t="shared" si="28"/>
        <v>99.859747545582039</v>
      </c>
      <c r="BC48" s="214">
        <f t="shared" ref="BC48:BD48" si="305">BC49*7+BC50*8+BC51*9+BC52*9</f>
        <v>399</v>
      </c>
      <c r="BD48" s="214">
        <f t="shared" si="305"/>
        <v>399</v>
      </c>
      <c r="BE48" s="214">
        <f t="shared" ref="BE48" si="306">BE49*7+BE50*8+BE51*9+BE52*9</f>
        <v>396</v>
      </c>
      <c r="BF48" s="99">
        <f t="shared" si="29"/>
        <v>99.248120300751879</v>
      </c>
      <c r="BG48" s="214">
        <f t="shared" ref="BG48:BI48" si="307">BG49*7+BG50*8+BG51*9+BG52*9</f>
        <v>483</v>
      </c>
      <c r="BH48" s="214">
        <f t="shared" si="307"/>
        <v>483</v>
      </c>
      <c r="BI48" s="214">
        <f t="shared" si="307"/>
        <v>478</v>
      </c>
      <c r="BJ48" s="99">
        <f t="shared" si="30"/>
        <v>98.9648033126294</v>
      </c>
      <c r="BK48" s="214">
        <f t="shared" ref="BK48" si="308">BK49*7+BK50*8+BK51*9+BK52*9</f>
        <v>0</v>
      </c>
      <c r="BL48" s="97">
        <f t="shared" si="278"/>
        <v>0</v>
      </c>
      <c r="BM48" s="214">
        <f t="shared" ref="BM48" si="309">BM49*7+BM50*8+BM51*9+BM52*9</f>
        <v>0</v>
      </c>
      <c r="BN48" s="99">
        <f t="shared" si="31"/>
        <v>0</v>
      </c>
      <c r="BO48" s="214">
        <f t="shared" ref="BO48" si="310">BO49*7+BO50*8+BO51*9+BO52*9</f>
        <v>0</v>
      </c>
      <c r="BP48" s="97">
        <f t="shared" si="278"/>
        <v>0</v>
      </c>
      <c r="BQ48" s="214">
        <f t="shared" ref="BQ48" si="311">BQ49*7+BQ50*8+BQ51*9+BQ52*9</f>
        <v>0</v>
      </c>
      <c r="BR48" s="99">
        <f t="shared" si="32"/>
        <v>0</v>
      </c>
      <c r="BS48" s="214">
        <f t="shared" ref="BS48" si="312">BS49*7+BS50*8+BS51*9+BS52*9</f>
        <v>0</v>
      </c>
      <c r="BT48" s="97">
        <f t="shared" si="276"/>
        <v>0</v>
      </c>
      <c r="BU48" s="214">
        <f t="shared" ref="BU48" si="313">BU49*7+BU50*8+BU51*9+BU52*9</f>
        <v>0</v>
      </c>
      <c r="BV48" s="99">
        <f t="shared" si="33"/>
        <v>0</v>
      </c>
      <c r="BW48" s="214">
        <f t="shared" ref="BW48" si="314">BW49*7+BW50*8+BW51*9+BW52*9</f>
        <v>0</v>
      </c>
      <c r="BX48" s="97">
        <f t="shared" si="276"/>
        <v>0</v>
      </c>
      <c r="BY48" s="214">
        <f t="shared" ref="BY48" si="315">BY49*7+BY50*8+BY51*9+BY52*9</f>
        <v>0</v>
      </c>
      <c r="BZ48" s="99">
        <f t="shared" si="34"/>
        <v>0</v>
      </c>
      <c r="CA48" s="214">
        <f t="shared" ref="CA48" si="316">CA49*7+CA50*8+CA51*9+CA52*9</f>
        <v>0</v>
      </c>
      <c r="CB48" s="97">
        <f t="shared" si="276"/>
        <v>0</v>
      </c>
      <c r="CC48" s="214">
        <f t="shared" ref="CC48" si="317">CC49*7+CC50*8+CC51*9+CC52*9</f>
        <v>0</v>
      </c>
      <c r="CD48" s="99">
        <f t="shared" si="35"/>
        <v>0</v>
      </c>
      <c r="CE48" s="214">
        <f t="shared" ref="CE48" si="318">CE49*7+CE50*8+CE51*9+CE52*9</f>
        <v>0</v>
      </c>
      <c r="CF48" s="97">
        <f t="shared" si="276"/>
        <v>0</v>
      </c>
      <c r="CG48" s="214">
        <f t="shared" ref="CG48" si="319">CG49*7+CG50*8+CG51*9+CG52*9</f>
        <v>0</v>
      </c>
      <c r="CH48" s="99">
        <f t="shared" si="36"/>
        <v>0</v>
      </c>
      <c r="CI48" s="214">
        <f t="shared" ref="CI48" si="320">CI49*7+CI50*8+CI51*9+CI52*9</f>
        <v>0</v>
      </c>
      <c r="CJ48" s="97">
        <f t="shared" si="276"/>
        <v>0</v>
      </c>
      <c r="CK48" s="214">
        <f t="shared" ref="CK48" si="321">CK49*7+CK50*8+CK51*9+CK52*9</f>
        <v>0</v>
      </c>
      <c r="CL48" s="99">
        <f t="shared" si="37"/>
        <v>0</v>
      </c>
      <c r="CM48" s="214">
        <f t="shared" ref="CM48" si="322">CM49*7+CM50*8+CM51*9+CM52*9</f>
        <v>0</v>
      </c>
      <c r="CN48" s="97">
        <f t="shared" si="276"/>
        <v>0</v>
      </c>
      <c r="CO48" s="214">
        <f t="shared" ref="CO48" si="323">CO49*7+CO50*8+CO51*9+CO52*9</f>
        <v>0</v>
      </c>
      <c r="CP48" s="99">
        <f t="shared" si="38"/>
        <v>0</v>
      </c>
      <c r="CQ48" s="214">
        <f t="shared" ref="CQ48" si="324">CQ49*7+CQ50*8+CQ51*9+CQ52*9</f>
        <v>0</v>
      </c>
      <c r="CR48" s="97">
        <f t="shared" si="276"/>
        <v>0</v>
      </c>
      <c r="CS48" s="214">
        <f t="shared" ref="CS48" si="325">CS49*7+CS50*8+CS51*9+CS52*9</f>
        <v>0</v>
      </c>
      <c r="CT48" s="99">
        <f t="shared" si="39"/>
        <v>0</v>
      </c>
      <c r="CU48" s="214">
        <f t="shared" ref="CU48" si="326">CU49*7+CU50*8+CU51*9+CU52*9</f>
        <v>0</v>
      </c>
      <c r="CV48" s="97">
        <f t="shared" si="276"/>
        <v>0</v>
      </c>
      <c r="CW48" s="214">
        <f t="shared" ref="CW48" si="327">CW49*7+CW50*8+CW51*9+CW52*9</f>
        <v>0</v>
      </c>
      <c r="CX48" s="99">
        <f t="shared" si="40"/>
        <v>0</v>
      </c>
      <c r="CY48" s="214">
        <f t="shared" ref="CY48" si="328">CY49*7+CY50*8+CY51*9+CY52*9</f>
        <v>0</v>
      </c>
      <c r="CZ48" s="97">
        <f t="shared" si="276"/>
        <v>0</v>
      </c>
      <c r="DA48" s="214">
        <f t="shared" ref="DA48" si="329">DA49*7+DA50*8+DA51*9+DA52*9</f>
        <v>0</v>
      </c>
      <c r="DB48" s="99">
        <f t="shared" si="41"/>
        <v>0</v>
      </c>
      <c r="DC48" s="214">
        <f t="shared" ref="DC48" si="330">DC49*7+DC50*8+DC51*9+DC52*9</f>
        <v>0</v>
      </c>
      <c r="DD48" s="97">
        <f t="shared" si="276"/>
        <v>0</v>
      </c>
      <c r="DE48" s="214">
        <f t="shared" ref="DE48" si="331">DE49*7+DE50*8+DE51*9+DE52*9</f>
        <v>0</v>
      </c>
      <c r="DF48" s="99">
        <f t="shared" si="42"/>
        <v>0</v>
      </c>
      <c r="DG48" s="214">
        <f t="shared" ref="DG48" si="332">DG49*7+DG50*8+DG51*9+DG52*9</f>
        <v>0</v>
      </c>
      <c r="DH48" s="97">
        <f t="shared" si="276"/>
        <v>0</v>
      </c>
      <c r="DI48" s="214">
        <f t="shared" ref="DI48" si="333">DI49*7+DI50*8+DI51*9+DI52*9</f>
        <v>0</v>
      </c>
      <c r="DJ48" s="99" t="e">
        <f t="shared" si="139"/>
        <v>#DIV/0!</v>
      </c>
      <c r="DK48" s="214">
        <f t="shared" ref="DK48:DL48" si="334">DK49*7+DK50*8+DK51*9+DK52*9</f>
        <v>312</v>
      </c>
      <c r="DL48" s="214">
        <f t="shared" si="334"/>
        <v>312</v>
      </c>
      <c r="DM48" s="214">
        <f t="shared" ref="DM48" si="335">DM49*7+DM50*8+DM51*9+DM52*9</f>
        <v>301</v>
      </c>
      <c r="DN48" s="99">
        <f t="shared" si="43"/>
        <v>96.474358974358978</v>
      </c>
      <c r="DO48" s="214">
        <f t="shared" ref="DO48:DP48" si="336">DO49*7+DO50*8+DO51*9+DO52*9</f>
        <v>779</v>
      </c>
      <c r="DP48" s="214">
        <f t="shared" si="336"/>
        <v>779</v>
      </c>
      <c r="DQ48" s="214">
        <f t="shared" ref="DQ48" si="337">DQ49*7+DQ50*8+DQ51*9+DQ52*9</f>
        <v>779</v>
      </c>
      <c r="DR48" s="99">
        <f t="shared" si="44"/>
        <v>100</v>
      </c>
      <c r="DS48" s="214">
        <f t="shared" ref="DS48" si="338">DS49*7+DS50*8+DS51*9+DS52*9</f>
        <v>0</v>
      </c>
      <c r="DT48" s="97">
        <f t="shared" si="276"/>
        <v>0</v>
      </c>
      <c r="DU48" s="214">
        <f t="shared" ref="DU48" si="339">DU49*7+DU50*8+DU51*9+DU52*9</f>
        <v>0</v>
      </c>
      <c r="DV48" s="99" t="e">
        <f t="shared" si="140"/>
        <v>#DIV/0!</v>
      </c>
      <c r="DW48" s="214">
        <f t="shared" ref="DW48" si="340">DW49*7+DW50*8+DW51*9+DW52*9</f>
        <v>0</v>
      </c>
      <c r="DX48" s="97">
        <f t="shared" si="279"/>
        <v>0</v>
      </c>
      <c r="DY48" s="214">
        <f t="shared" ref="DY48" si="341">DY49*7+DY50*8+DY51*9+DY52*9</f>
        <v>0</v>
      </c>
      <c r="DZ48" s="99" t="e">
        <f t="shared" si="142"/>
        <v>#DIV/0!</v>
      </c>
      <c r="EA48" s="214">
        <f t="shared" ref="EA48" si="342">EA49*7+EA50*8+EA51*9+EA52*9</f>
        <v>0</v>
      </c>
      <c r="EB48" s="97">
        <f t="shared" si="279"/>
        <v>0</v>
      </c>
      <c r="EC48" s="214">
        <f t="shared" ref="EC48" si="343">EC49*7+EC50*8+EC51*9+EC52*9</f>
        <v>0</v>
      </c>
      <c r="ED48" s="99">
        <f t="shared" si="45"/>
        <v>0</v>
      </c>
      <c r="EE48" s="214">
        <f t="shared" ref="EE48:EF48" si="344">EE49*7+EE50*8+EE51*9+EE52*9</f>
        <v>604</v>
      </c>
      <c r="EF48" s="214">
        <f t="shared" si="344"/>
        <v>604</v>
      </c>
      <c r="EG48" s="214">
        <f t="shared" ref="EG48" si="345">EG49*7+EG50*8+EG51*9+EG52*9</f>
        <v>149</v>
      </c>
      <c r="EH48" s="99">
        <f t="shared" si="46"/>
        <v>24.668874172185433</v>
      </c>
      <c r="EI48" s="214">
        <f t="shared" ref="EI48" si="346">EI49*7+EI50*8+EI51*9+EI52*9</f>
        <v>0</v>
      </c>
      <c r="EJ48" s="97">
        <f t="shared" si="279"/>
        <v>0</v>
      </c>
      <c r="EK48" s="214">
        <f t="shared" ref="EK48" si="347">EK49*7+EK50*8+EK51*9+EK52*9</f>
        <v>0</v>
      </c>
      <c r="EL48" s="99">
        <f t="shared" si="47"/>
        <v>0</v>
      </c>
      <c r="EM48" s="214">
        <f t="shared" ref="EM48" si="348">EM49*7+EM50*8+EM51*9+EM52*9</f>
        <v>0</v>
      </c>
      <c r="EN48" s="97">
        <f t="shared" si="279"/>
        <v>0</v>
      </c>
      <c r="EO48" s="214">
        <f t="shared" ref="EO48" si="349">EO49*7+EO50*8+EO51*9+EO52*9</f>
        <v>0</v>
      </c>
      <c r="EP48" s="99">
        <f t="shared" si="48"/>
        <v>0</v>
      </c>
      <c r="EQ48" s="214">
        <f t="shared" ref="EQ48" si="350">EQ49*7+EQ50*8+EQ51*9+EQ52*9</f>
        <v>0</v>
      </c>
      <c r="ER48" s="97">
        <f t="shared" si="279"/>
        <v>0</v>
      </c>
      <c r="ES48" s="214">
        <f t="shared" ref="ES48" si="351">ES49*7+ES50*8+ES51*9+ES52*9</f>
        <v>0</v>
      </c>
      <c r="ET48" s="99">
        <f t="shared" si="49"/>
        <v>0</v>
      </c>
      <c r="EU48" s="214">
        <f t="shared" ref="EU48" si="352">EU49*7+EU50*8+EU51*9+EU52*9</f>
        <v>0</v>
      </c>
      <c r="EV48" s="97">
        <f t="shared" si="279"/>
        <v>0</v>
      </c>
      <c r="EW48" s="214">
        <f t="shared" ref="EW48" si="353">EW49*7+EW50*8+EW51*9+EW52*9</f>
        <v>0</v>
      </c>
      <c r="EX48" s="99">
        <f t="shared" si="50"/>
        <v>0</v>
      </c>
      <c r="EY48" s="152">
        <f t="shared" si="51"/>
        <v>5055</v>
      </c>
      <c r="EZ48" s="152">
        <f t="shared" si="17"/>
        <v>5055</v>
      </c>
      <c r="FA48" s="152">
        <f t="shared" si="17"/>
        <v>4576</v>
      </c>
      <c r="FB48" s="152">
        <f t="shared" si="52"/>
        <v>90.52423343224531</v>
      </c>
    </row>
    <row r="49" spans="1:158" ht="15.75" x14ac:dyDescent="0.25">
      <c r="A49" s="169" t="s">
        <v>149</v>
      </c>
      <c r="B49" s="170" t="s">
        <v>339</v>
      </c>
      <c r="C49" s="96"/>
      <c r="D49" s="97">
        <f t="shared" si="277"/>
        <v>0</v>
      </c>
      <c r="E49" s="98"/>
      <c r="F49" s="99" t="e">
        <f t="shared" si="3"/>
        <v>#DIV/0!</v>
      </c>
      <c r="G49" s="214"/>
      <c r="H49" s="97">
        <f t="shared" si="278"/>
        <v>0</v>
      </c>
      <c r="I49" s="214"/>
      <c r="J49" s="99">
        <f t="shared" si="18"/>
        <v>0</v>
      </c>
      <c r="K49" s="214"/>
      <c r="L49" s="97">
        <f t="shared" si="278"/>
        <v>0</v>
      </c>
      <c r="M49" s="214"/>
      <c r="N49" s="99" t="e">
        <f t="shared" si="138"/>
        <v>#DIV/0!</v>
      </c>
      <c r="O49" s="214"/>
      <c r="P49" s="97">
        <f t="shared" si="278"/>
        <v>0</v>
      </c>
      <c r="Q49" s="214"/>
      <c r="R49" s="99">
        <f t="shared" si="19"/>
        <v>0</v>
      </c>
      <c r="S49" s="214"/>
      <c r="T49" s="97">
        <f t="shared" si="278"/>
        <v>0</v>
      </c>
      <c r="U49" s="214"/>
      <c r="V49" s="99">
        <f t="shared" si="20"/>
        <v>0</v>
      </c>
      <c r="W49" s="214"/>
      <c r="X49" s="97">
        <f t="shared" si="278"/>
        <v>0</v>
      </c>
      <c r="Y49" s="214"/>
      <c r="Z49" s="99">
        <f t="shared" si="21"/>
        <v>0</v>
      </c>
      <c r="AA49" s="214"/>
      <c r="AB49" s="97"/>
      <c r="AC49" s="214">
        <v>0</v>
      </c>
      <c r="AD49" s="99">
        <f t="shared" si="22"/>
        <v>0</v>
      </c>
      <c r="AE49" s="214"/>
      <c r="AF49" s="97"/>
      <c r="AG49" s="214">
        <v>0</v>
      </c>
      <c r="AH49" s="99">
        <f t="shared" si="23"/>
        <v>0</v>
      </c>
      <c r="AI49" s="214"/>
      <c r="AJ49" s="97">
        <f t="shared" si="278"/>
        <v>0</v>
      </c>
      <c r="AK49" s="214"/>
      <c r="AL49" s="99">
        <f t="shared" si="24"/>
        <v>0</v>
      </c>
      <c r="AM49" s="214">
        <v>1</v>
      </c>
      <c r="AN49" s="97">
        <f>ROUND(AM49/12*$A$7,0)</f>
        <v>1</v>
      </c>
      <c r="AO49" s="214">
        <v>2</v>
      </c>
      <c r="AP49" s="99">
        <f t="shared" si="25"/>
        <v>200</v>
      </c>
      <c r="AQ49" s="214"/>
      <c r="AR49" s="97">
        <f t="shared" si="278"/>
        <v>0</v>
      </c>
      <c r="AS49" s="214"/>
      <c r="AT49" s="99">
        <f t="shared" si="26"/>
        <v>0</v>
      </c>
      <c r="AU49" s="214">
        <v>2</v>
      </c>
      <c r="AV49" s="97">
        <v>2</v>
      </c>
      <c r="AW49" s="214">
        <v>3</v>
      </c>
      <c r="AX49" s="99">
        <f t="shared" si="27"/>
        <v>150</v>
      </c>
      <c r="AY49" s="214">
        <v>1</v>
      </c>
      <c r="AZ49" s="97">
        <v>1</v>
      </c>
      <c r="BA49" s="214">
        <v>2</v>
      </c>
      <c r="BB49" s="99">
        <f t="shared" si="28"/>
        <v>200</v>
      </c>
      <c r="BC49" s="214">
        <v>1</v>
      </c>
      <c r="BD49" s="97">
        <v>1</v>
      </c>
      <c r="BE49" s="214">
        <v>2</v>
      </c>
      <c r="BF49" s="99">
        <f t="shared" si="29"/>
        <v>200</v>
      </c>
      <c r="BG49" s="214">
        <v>1</v>
      </c>
      <c r="BH49" s="97">
        <v>1</v>
      </c>
      <c r="BI49" s="214">
        <v>2</v>
      </c>
      <c r="BJ49" s="99">
        <f t="shared" si="30"/>
        <v>200</v>
      </c>
      <c r="BK49" s="214"/>
      <c r="BL49" s="97">
        <f t="shared" si="278"/>
        <v>0</v>
      </c>
      <c r="BM49" s="214"/>
      <c r="BN49" s="99">
        <f t="shared" si="31"/>
        <v>0</v>
      </c>
      <c r="BO49" s="214"/>
      <c r="BP49" s="97">
        <f t="shared" si="278"/>
        <v>0</v>
      </c>
      <c r="BQ49" s="214"/>
      <c r="BR49" s="99">
        <f t="shared" si="32"/>
        <v>0</v>
      </c>
      <c r="BS49" s="214"/>
      <c r="BT49" s="97">
        <f t="shared" si="276"/>
        <v>0</v>
      </c>
      <c r="BU49" s="214"/>
      <c r="BV49" s="99">
        <f t="shared" si="33"/>
        <v>0</v>
      </c>
      <c r="BW49" s="214"/>
      <c r="BX49" s="97">
        <f t="shared" si="276"/>
        <v>0</v>
      </c>
      <c r="BY49" s="214"/>
      <c r="BZ49" s="99">
        <f t="shared" si="34"/>
        <v>0</v>
      </c>
      <c r="CA49" s="214"/>
      <c r="CB49" s="97">
        <f t="shared" si="276"/>
        <v>0</v>
      </c>
      <c r="CC49" s="214"/>
      <c r="CD49" s="99">
        <f t="shared" si="35"/>
        <v>0</v>
      </c>
      <c r="CE49" s="214"/>
      <c r="CF49" s="97">
        <f t="shared" si="276"/>
        <v>0</v>
      </c>
      <c r="CG49" s="214"/>
      <c r="CH49" s="99">
        <f t="shared" si="36"/>
        <v>0</v>
      </c>
      <c r="CI49" s="214"/>
      <c r="CJ49" s="97">
        <f t="shared" si="276"/>
        <v>0</v>
      </c>
      <c r="CK49" s="214"/>
      <c r="CL49" s="99">
        <f t="shared" si="37"/>
        <v>0</v>
      </c>
      <c r="CM49" s="214"/>
      <c r="CN49" s="97">
        <f t="shared" si="276"/>
        <v>0</v>
      </c>
      <c r="CO49" s="214"/>
      <c r="CP49" s="99">
        <f t="shared" si="38"/>
        <v>0</v>
      </c>
      <c r="CQ49" s="214"/>
      <c r="CR49" s="97">
        <f t="shared" si="276"/>
        <v>0</v>
      </c>
      <c r="CS49" s="214"/>
      <c r="CT49" s="99">
        <f t="shared" si="39"/>
        <v>0</v>
      </c>
      <c r="CU49" s="214"/>
      <c r="CV49" s="97">
        <f t="shared" si="276"/>
        <v>0</v>
      </c>
      <c r="CW49" s="214"/>
      <c r="CX49" s="99">
        <f t="shared" si="40"/>
        <v>0</v>
      </c>
      <c r="CY49" s="214"/>
      <c r="CZ49" s="97">
        <f t="shared" si="276"/>
        <v>0</v>
      </c>
      <c r="DA49" s="214"/>
      <c r="DB49" s="99">
        <f t="shared" si="41"/>
        <v>0</v>
      </c>
      <c r="DC49" s="214"/>
      <c r="DD49" s="97">
        <f t="shared" si="276"/>
        <v>0</v>
      </c>
      <c r="DE49" s="214"/>
      <c r="DF49" s="99">
        <f t="shared" si="42"/>
        <v>0</v>
      </c>
      <c r="DG49" s="214"/>
      <c r="DH49" s="97">
        <f t="shared" si="276"/>
        <v>0</v>
      </c>
      <c r="DI49" s="214"/>
      <c r="DJ49" s="99" t="e">
        <f t="shared" si="139"/>
        <v>#DIV/0!</v>
      </c>
      <c r="DK49" s="214"/>
      <c r="DL49" s="97">
        <f t="shared" si="276"/>
        <v>0</v>
      </c>
      <c r="DM49" s="214">
        <v>2</v>
      </c>
      <c r="DN49" s="99">
        <f t="shared" si="43"/>
        <v>0</v>
      </c>
      <c r="DO49" s="496">
        <v>8</v>
      </c>
      <c r="DP49" s="97">
        <v>8</v>
      </c>
      <c r="DQ49" s="214">
        <v>8</v>
      </c>
      <c r="DR49" s="99">
        <f t="shared" si="44"/>
        <v>100</v>
      </c>
      <c r="DS49" s="214"/>
      <c r="DT49" s="97">
        <f t="shared" si="276"/>
        <v>0</v>
      </c>
      <c r="DU49" s="214"/>
      <c r="DV49" s="99" t="e">
        <f t="shared" si="140"/>
        <v>#DIV/0!</v>
      </c>
      <c r="DW49" s="214"/>
      <c r="DX49" s="97">
        <f t="shared" si="279"/>
        <v>0</v>
      </c>
      <c r="DY49" s="214"/>
      <c r="DZ49" s="99" t="e">
        <f t="shared" si="142"/>
        <v>#DIV/0!</v>
      </c>
      <c r="EA49" s="214"/>
      <c r="EB49" s="97">
        <f t="shared" si="279"/>
        <v>0</v>
      </c>
      <c r="EC49" s="214"/>
      <c r="ED49" s="99">
        <f t="shared" si="45"/>
        <v>0</v>
      </c>
      <c r="EE49" s="214">
        <v>2</v>
      </c>
      <c r="EF49" s="97">
        <v>2</v>
      </c>
      <c r="EG49" s="214">
        <v>2</v>
      </c>
      <c r="EH49" s="99">
        <f t="shared" si="46"/>
        <v>100</v>
      </c>
      <c r="EI49" s="214"/>
      <c r="EJ49" s="97">
        <f t="shared" si="279"/>
        <v>0</v>
      </c>
      <c r="EK49" s="214"/>
      <c r="EL49" s="99">
        <f t="shared" si="47"/>
        <v>0</v>
      </c>
      <c r="EM49" s="214"/>
      <c r="EN49" s="97">
        <f t="shared" si="279"/>
        <v>0</v>
      </c>
      <c r="EO49" s="214"/>
      <c r="EP49" s="99">
        <f t="shared" si="48"/>
        <v>0</v>
      </c>
      <c r="EQ49" s="214"/>
      <c r="ER49" s="97">
        <f t="shared" si="279"/>
        <v>0</v>
      </c>
      <c r="ES49" s="214"/>
      <c r="ET49" s="99">
        <f t="shared" si="49"/>
        <v>0</v>
      </c>
      <c r="EU49" s="214"/>
      <c r="EV49" s="97">
        <f t="shared" si="279"/>
        <v>0</v>
      </c>
      <c r="EW49" s="214"/>
      <c r="EX49" s="99">
        <f t="shared" si="50"/>
        <v>0</v>
      </c>
      <c r="EY49" s="152">
        <f>SUM(EQ49,EM49,EI49,EE49,EA49,DW49,DS49,DO49,DK49,DG49,DC49,CY49,CU49,CQ49,CM49,CI49,CE49,CA49,BW49,BS49,BO49,BK49,BG49,BC49,AY49,AU49,AQ49,AM49,AI49,AE49,AA49,W49,S49,O49,K49,G49,C49)+EU49</f>
        <v>16</v>
      </c>
      <c r="EZ49" s="152">
        <f t="shared" si="17"/>
        <v>16</v>
      </c>
      <c r="FA49" s="152">
        <f t="shared" si="17"/>
        <v>23</v>
      </c>
      <c r="FB49" s="152">
        <f t="shared" si="52"/>
        <v>143.75</v>
      </c>
    </row>
    <row r="50" spans="1:158" ht="15.75" x14ac:dyDescent="0.25">
      <c r="A50" s="169" t="s">
        <v>150</v>
      </c>
      <c r="B50" s="170" t="s">
        <v>339</v>
      </c>
      <c r="C50" s="96"/>
      <c r="D50" s="97">
        <f t="shared" si="277"/>
        <v>0</v>
      </c>
      <c r="E50" s="98"/>
      <c r="F50" s="99" t="e">
        <f t="shared" si="3"/>
        <v>#DIV/0!</v>
      </c>
      <c r="G50" s="214"/>
      <c r="H50" s="97">
        <f t="shared" si="278"/>
        <v>0</v>
      </c>
      <c r="I50" s="214"/>
      <c r="J50" s="99">
        <f t="shared" si="18"/>
        <v>0</v>
      </c>
      <c r="K50" s="214"/>
      <c r="L50" s="97">
        <f t="shared" si="278"/>
        <v>0</v>
      </c>
      <c r="M50" s="214"/>
      <c r="N50" s="99" t="e">
        <f t="shared" si="138"/>
        <v>#DIV/0!</v>
      </c>
      <c r="O50" s="214"/>
      <c r="P50" s="97">
        <f t="shared" si="278"/>
        <v>0</v>
      </c>
      <c r="Q50" s="214"/>
      <c r="R50" s="99">
        <f t="shared" si="19"/>
        <v>0</v>
      </c>
      <c r="S50" s="214"/>
      <c r="T50" s="97">
        <f t="shared" si="278"/>
        <v>0</v>
      </c>
      <c r="U50" s="214"/>
      <c r="V50" s="99">
        <f t="shared" si="20"/>
        <v>0</v>
      </c>
      <c r="W50" s="214"/>
      <c r="X50" s="97">
        <f t="shared" si="278"/>
        <v>0</v>
      </c>
      <c r="Y50" s="214"/>
      <c r="Z50" s="99">
        <f t="shared" si="21"/>
        <v>0</v>
      </c>
      <c r="AA50" s="214"/>
      <c r="AB50" s="97"/>
      <c r="AC50" s="214">
        <v>3</v>
      </c>
      <c r="AD50" s="99">
        <f t="shared" si="22"/>
        <v>0</v>
      </c>
      <c r="AE50" s="214"/>
      <c r="AF50" s="97"/>
      <c r="AG50" s="214">
        <v>0</v>
      </c>
      <c r="AH50" s="99">
        <f t="shared" si="23"/>
        <v>0</v>
      </c>
      <c r="AI50" s="214"/>
      <c r="AJ50" s="97">
        <f t="shared" si="278"/>
        <v>0</v>
      </c>
      <c r="AK50" s="214"/>
      <c r="AL50" s="99">
        <f t="shared" si="24"/>
        <v>0</v>
      </c>
      <c r="AM50" s="214">
        <v>8</v>
      </c>
      <c r="AN50" s="97">
        <v>8</v>
      </c>
      <c r="AO50" s="214">
        <v>2</v>
      </c>
      <c r="AP50" s="99">
        <f t="shared" si="25"/>
        <v>25</v>
      </c>
      <c r="AQ50" s="214"/>
      <c r="AR50" s="97">
        <f t="shared" si="278"/>
        <v>0</v>
      </c>
      <c r="AS50" s="214"/>
      <c r="AT50" s="99">
        <f t="shared" si="26"/>
        <v>0</v>
      </c>
      <c r="AU50" s="214">
        <v>3</v>
      </c>
      <c r="AV50" s="97">
        <v>3</v>
      </c>
      <c r="AW50" s="214">
        <v>6</v>
      </c>
      <c r="AX50" s="99">
        <f t="shared" si="27"/>
        <v>200</v>
      </c>
      <c r="AY50" s="214">
        <v>5</v>
      </c>
      <c r="AZ50" s="97">
        <v>5</v>
      </c>
      <c r="BA50" s="214">
        <v>4</v>
      </c>
      <c r="BB50" s="99">
        <f t="shared" si="28"/>
        <v>80</v>
      </c>
      <c r="BC50" s="214">
        <v>4</v>
      </c>
      <c r="BD50" s="97">
        <v>4</v>
      </c>
      <c r="BE50" s="214">
        <v>5</v>
      </c>
      <c r="BF50" s="99">
        <f t="shared" si="29"/>
        <v>125</v>
      </c>
      <c r="BG50" s="214">
        <v>1</v>
      </c>
      <c r="BH50" s="97">
        <v>1</v>
      </c>
      <c r="BI50" s="214">
        <v>4</v>
      </c>
      <c r="BJ50" s="99">
        <f t="shared" si="30"/>
        <v>400</v>
      </c>
      <c r="BK50" s="214"/>
      <c r="BL50" s="97">
        <f t="shared" si="278"/>
        <v>0</v>
      </c>
      <c r="BM50" s="214"/>
      <c r="BN50" s="99">
        <f t="shared" si="31"/>
        <v>0</v>
      </c>
      <c r="BO50" s="214"/>
      <c r="BP50" s="97">
        <f t="shared" si="278"/>
        <v>0</v>
      </c>
      <c r="BQ50" s="214"/>
      <c r="BR50" s="99">
        <f t="shared" si="32"/>
        <v>0</v>
      </c>
      <c r="BS50" s="214"/>
      <c r="BT50" s="97">
        <f t="shared" si="276"/>
        <v>0</v>
      </c>
      <c r="BU50" s="214"/>
      <c r="BV50" s="99">
        <f t="shared" si="33"/>
        <v>0</v>
      </c>
      <c r="BW50" s="214"/>
      <c r="BX50" s="97">
        <f t="shared" si="276"/>
        <v>0</v>
      </c>
      <c r="BY50" s="214"/>
      <c r="BZ50" s="99">
        <f t="shared" si="34"/>
        <v>0</v>
      </c>
      <c r="CA50" s="214"/>
      <c r="CB50" s="97">
        <f t="shared" si="276"/>
        <v>0</v>
      </c>
      <c r="CC50" s="214"/>
      <c r="CD50" s="99">
        <f t="shared" si="35"/>
        <v>0</v>
      </c>
      <c r="CE50" s="214"/>
      <c r="CF50" s="97">
        <f t="shared" si="276"/>
        <v>0</v>
      </c>
      <c r="CG50" s="214"/>
      <c r="CH50" s="99">
        <f t="shared" si="36"/>
        <v>0</v>
      </c>
      <c r="CI50" s="214"/>
      <c r="CJ50" s="97">
        <f t="shared" si="276"/>
        <v>0</v>
      </c>
      <c r="CK50" s="214"/>
      <c r="CL50" s="99">
        <f t="shared" si="37"/>
        <v>0</v>
      </c>
      <c r="CM50" s="214"/>
      <c r="CN50" s="97">
        <f t="shared" si="276"/>
        <v>0</v>
      </c>
      <c r="CO50" s="214"/>
      <c r="CP50" s="99">
        <f t="shared" si="38"/>
        <v>0</v>
      </c>
      <c r="CQ50" s="214"/>
      <c r="CR50" s="97">
        <f t="shared" si="276"/>
        <v>0</v>
      </c>
      <c r="CS50" s="214"/>
      <c r="CT50" s="99">
        <f t="shared" si="39"/>
        <v>0</v>
      </c>
      <c r="CU50" s="214"/>
      <c r="CV50" s="97">
        <f t="shared" si="276"/>
        <v>0</v>
      </c>
      <c r="CW50" s="214"/>
      <c r="CX50" s="99">
        <f t="shared" si="40"/>
        <v>0</v>
      </c>
      <c r="CY50" s="214"/>
      <c r="CZ50" s="97">
        <f t="shared" si="276"/>
        <v>0</v>
      </c>
      <c r="DA50" s="214"/>
      <c r="DB50" s="99">
        <f t="shared" si="41"/>
        <v>0</v>
      </c>
      <c r="DC50" s="214"/>
      <c r="DD50" s="97">
        <f t="shared" si="276"/>
        <v>0</v>
      </c>
      <c r="DE50" s="214"/>
      <c r="DF50" s="99">
        <f t="shared" si="42"/>
        <v>0</v>
      </c>
      <c r="DG50" s="214"/>
      <c r="DH50" s="97">
        <f t="shared" si="276"/>
        <v>0</v>
      </c>
      <c r="DI50" s="214"/>
      <c r="DJ50" s="99" t="e">
        <f t="shared" si="139"/>
        <v>#DIV/0!</v>
      </c>
      <c r="DK50" s="214">
        <v>3</v>
      </c>
      <c r="DL50" s="97">
        <v>3</v>
      </c>
      <c r="DM50" s="214">
        <v>1</v>
      </c>
      <c r="DN50" s="99">
        <f t="shared" si="43"/>
        <v>33.333333333333329</v>
      </c>
      <c r="DO50" s="496">
        <v>6</v>
      </c>
      <c r="DP50" s="97">
        <v>6</v>
      </c>
      <c r="DQ50" s="214">
        <v>6</v>
      </c>
      <c r="DR50" s="99">
        <f t="shared" si="44"/>
        <v>100</v>
      </c>
      <c r="DS50" s="214"/>
      <c r="DT50" s="97">
        <f t="shared" si="276"/>
        <v>0</v>
      </c>
      <c r="DU50" s="214"/>
      <c r="DV50" s="99" t="e">
        <f t="shared" si="140"/>
        <v>#DIV/0!</v>
      </c>
      <c r="DW50" s="214"/>
      <c r="DX50" s="97">
        <f t="shared" si="279"/>
        <v>0</v>
      </c>
      <c r="DY50" s="214"/>
      <c r="DZ50" s="99" t="e">
        <f t="shared" si="142"/>
        <v>#DIV/0!</v>
      </c>
      <c r="EA50" s="214"/>
      <c r="EB50" s="97">
        <f t="shared" si="279"/>
        <v>0</v>
      </c>
      <c r="EC50" s="214"/>
      <c r="ED50" s="99">
        <f t="shared" si="45"/>
        <v>0</v>
      </c>
      <c r="EE50" s="214">
        <v>4</v>
      </c>
      <c r="EF50" s="97">
        <v>4</v>
      </c>
      <c r="EG50" s="214">
        <v>0</v>
      </c>
      <c r="EH50" s="99">
        <f t="shared" si="46"/>
        <v>0</v>
      </c>
      <c r="EI50" s="214"/>
      <c r="EJ50" s="97">
        <f t="shared" si="279"/>
        <v>0</v>
      </c>
      <c r="EK50" s="214"/>
      <c r="EL50" s="99">
        <f t="shared" si="47"/>
        <v>0</v>
      </c>
      <c r="EM50" s="214"/>
      <c r="EN50" s="97">
        <f t="shared" si="279"/>
        <v>0</v>
      </c>
      <c r="EO50" s="214"/>
      <c r="EP50" s="99">
        <f t="shared" si="48"/>
        <v>0</v>
      </c>
      <c r="EQ50" s="214"/>
      <c r="ER50" s="97">
        <f t="shared" si="279"/>
        <v>0</v>
      </c>
      <c r="ES50" s="214"/>
      <c r="ET50" s="99">
        <f t="shared" si="49"/>
        <v>0</v>
      </c>
      <c r="EU50" s="214"/>
      <c r="EV50" s="97">
        <f t="shared" si="279"/>
        <v>0</v>
      </c>
      <c r="EW50" s="214"/>
      <c r="EX50" s="99">
        <f t="shared" si="50"/>
        <v>0</v>
      </c>
      <c r="EY50" s="152">
        <f>SUM(EQ50,EM50,EI50,EE50,EA50,DW50,DS50,DO50,DK50,DG50,DC50,CY50,CU50,CQ50,CM50,CI50,CE50,CA50,BW50,BS50,BO50,BK50,BG50,BC50,AY50,AU50,AQ50,AM50,AI50,AE50,AA50,W50,S50,O50,K50,G50,C50)+EU50</f>
        <v>34</v>
      </c>
      <c r="EZ50" s="152">
        <f t="shared" si="17"/>
        <v>34</v>
      </c>
      <c r="FA50" s="152">
        <f t="shared" si="17"/>
        <v>31</v>
      </c>
      <c r="FB50" s="152">
        <f t="shared" si="52"/>
        <v>91.17647058823529</v>
      </c>
    </row>
    <row r="51" spans="1:158" ht="15.75" x14ac:dyDescent="0.25">
      <c r="A51" s="169" t="s">
        <v>151</v>
      </c>
      <c r="B51" s="170" t="s">
        <v>339</v>
      </c>
      <c r="C51" s="96"/>
      <c r="D51" s="97">
        <f t="shared" si="277"/>
        <v>0</v>
      </c>
      <c r="E51" s="98"/>
      <c r="F51" s="99" t="e">
        <f t="shared" si="3"/>
        <v>#DIV/0!</v>
      </c>
      <c r="G51" s="214"/>
      <c r="H51" s="97">
        <f t="shared" si="278"/>
        <v>0</v>
      </c>
      <c r="I51" s="214"/>
      <c r="J51" s="99">
        <f t="shared" si="18"/>
        <v>0</v>
      </c>
      <c r="K51" s="214"/>
      <c r="L51" s="97">
        <f t="shared" si="278"/>
        <v>0</v>
      </c>
      <c r="M51" s="214"/>
      <c r="N51" s="99" t="e">
        <f t="shared" si="138"/>
        <v>#DIV/0!</v>
      </c>
      <c r="O51" s="214"/>
      <c r="P51" s="97">
        <f t="shared" si="278"/>
        <v>0</v>
      </c>
      <c r="Q51" s="214"/>
      <c r="R51" s="99">
        <f t="shared" si="19"/>
        <v>0</v>
      </c>
      <c r="S51" s="214"/>
      <c r="T51" s="97">
        <f t="shared" si="278"/>
        <v>0</v>
      </c>
      <c r="U51" s="214"/>
      <c r="V51" s="99">
        <f t="shared" si="20"/>
        <v>0</v>
      </c>
      <c r="W51" s="214"/>
      <c r="X51" s="97">
        <f t="shared" si="278"/>
        <v>0</v>
      </c>
      <c r="Y51" s="214"/>
      <c r="Z51" s="99">
        <f t="shared" si="21"/>
        <v>0</v>
      </c>
      <c r="AA51" s="214">
        <v>35</v>
      </c>
      <c r="AB51" s="97">
        <v>35</v>
      </c>
      <c r="AC51" s="214">
        <v>37</v>
      </c>
      <c r="AD51" s="99">
        <f t="shared" si="22"/>
        <v>105.71428571428572</v>
      </c>
      <c r="AE51" s="214">
        <v>27</v>
      </c>
      <c r="AF51" s="97">
        <v>27</v>
      </c>
      <c r="AG51" s="214">
        <v>26</v>
      </c>
      <c r="AH51" s="99">
        <f t="shared" si="23"/>
        <v>96.296296296296291</v>
      </c>
      <c r="AI51" s="214"/>
      <c r="AJ51" s="97">
        <f t="shared" si="278"/>
        <v>0</v>
      </c>
      <c r="AK51" s="214"/>
      <c r="AL51" s="99">
        <f t="shared" si="24"/>
        <v>0</v>
      </c>
      <c r="AM51" s="214">
        <v>25</v>
      </c>
      <c r="AN51" s="97">
        <v>25</v>
      </c>
      <c r="AO51" s="214">
        <v>22</v>
      </c>
      <c r="AP51" s="99">
        <f t="shared" si="25"/>
        <v>88</v>
      </c>
      <c r="AQ51" s="214"/>
      <c r="AR51" s="97">
        <f t="shared" si="278"/>
        <v>0</v>
      </c>
      <c r="AS51" s="214"/>
      <c r="AT51" s="99">
        <f t="shared" si="26"/>
        <v>0</v>
      </c>
      <c r="AU51" s="214">
        <v>49</v>
      </c>
      <c r="AV51" s="97">
        <v>49</v>
      </c>
      <c r="AW51" s="214">
        <v>56</v>
      </c>
      <c r="AX51" s="99">
        <f t="shared" si="27"/>
        <v>114.28571428571428</v>
      </c>
      <c r="AY51" s="214">
        <v>59</v>
      </c>
      <c r="AZ51" s="97">
        <v>59</v>
      </c>
      <c r="BA51" s="214">
        <v>60</v>
      </c>
      <c r="BB51" s="99">
        <f t="shared" si="28"/>
        <v>101.69491525423729</v>
      </c>
      <c r="BC51" s="214">
        <v>27</v>
      </c>
      <c r="BD51" s="97">
        <v>27</v>
      </c>
      <c r="BE51" s="214">
        <v>33</v>
      </c>
      <c r="BF51" s="99">
        <f t="shared" si="29"/>
        <v>122.22222222222223</v>
      </c>
      <c r="BG51" s="214">
        <v>45</v>
      </c>
      <c r="BH51" s="97">
        <v>45</v>
      </c>
      <c r="BI51" s="214">
        <v>43</v>
      </c>
      <c r="BJ51" s="99">
        <f t="shared" si="30"/>
        <v>95.555555555555557</v>
      </c>
      <c r="BK51" s="214"/>
      <c r="BL51" s="97">
        <f t="shared" si="278"/>
        <v>0</v>
      </c>
      <c r="BM51" s="214"/>
      <c r="BN51" s="99">
        <f t="shared" si="31"/>
        <v>0</v>
      </c>
      <c r="BO51" s="214"/>
      <c r="BP51" s="97">
        <f t="shared" si="278"/>
        <v>0</v>
      </c>
      <c r="BQ51" s="214"/>
      <c r="BR51" s="99">
        <f t="shared" si="32"/>
        <v>0</v>
      </c>
      <c r="BS51" s="214"/>
      <c r="BT51" s="97">
        <f t="shared" si="276"/>
        <v>0</v>
      </c>
      <c r="BU51" s="214"/>
      <c r="BV51" s="99">
        <f t="shared" si="33"/>
        <v>0</v>
      </c>
      <c r="BW51" s="214"/>
      <c r="BX51" s="97">
        <f t="shared" si="276"/>
        <v>0</v>
      </c>
      <c r="BY51" s="214"/>
      <c r="BZ51" s="99">
        <f t="shared" si="34"/>
        <v>0</v>
      </c>
      <c r="CA51" s="214"/>
      <c r="CB51" s="97">
        <f t="shared" si="276"/>
        <v>0</v>
      </c>
      <c r="CC51" s="214"/>
      <c r="CD51" s="99">
        <f t="shared" si="35"/>
        <v>0</v>
      </c>
      <c r="CE51" s="214"/>
      <c r="CF51" s="97">
        <f t="shared" si="276"/>
        <v>0</v>
      </c>
      <c r="CG51" s="214"/>
      <c r="CH51" s="99">
        <f t="shared" si="36"/>
        <v>0</v>
      </c>
      <c r="CI51" s="214"/>
      <c r="CJ51" s="97">
        <f t="shared" si="276"/>
        <v>0</v>
      </c>
      <c r="CK51" s="214"/>
      <c r="CL51" s="99">
        <f t="shared" si="37"/>
        <v>0</v>
      </c>
      <c r="CM51" s="214"/>
      <c r="CN51" s="97">
        <f t="shared" si="276"/>
        <v>0</v>
      </c>
      <c r="CO51" s="214"/>
      <c r="CP51" s="99">
        <f t="shared" si="38"/>
        <v>0</v>
      </c>
      <c r="CQ51" s="214"/>
      <c r="CR51" s="97">
        <f t="shared" si="276"/>
        <v>0</v>
      </c>
      <c r="CS51" s="214"/>
      <c r="CT51" s="99">
        <f t="shared" si="39"/>
        <v>0</v>
      </c>
      <c r="CU51" s="214"/>
      <c r="CV51" s="97">
        <f t="shared" si="276"/>
        <v>0</v>
      </c>
      <c r="CW51" s="214"/>
      <c r="CX51" s="99">
        <f t="shared" si="40"/>
        <v>0</v>
      </c>
      <c r="CY51" s="214"/>
      <c r="CZ51" s="97">
        <f t="shared" si="276"/>
        <v>0</v>
      </c>
      <c r="DA51" s="214"/>
      <c r="DB51" s="99">
        <f t="shared" si="41"/>
        <v>0</v>
      </c>
      <c r="DC51" s="214"/>
      <c r="DD51" s="97">
        <f t="shared" si="276"/>
        <v>0</v>
      </c>
      <c r="DE51" s="214"/>
      <c r="DF51" s="99">
        <f t="shared" si="42"/>
        <v>0</v>
      </c>
      <c r="DG51" s="214"/>
      <c r="DH51" s="97">
        <f t="shared" si="276"/>
        <v>0</v>
      </c>
      <c r="DI51" s="214"/>
      <c r="DJ51" s="99" t="e">
        <f t="shared" si="139"/>
        <v>#DIV/0!</v>
      </c>
      <c r="DK51" s="214">
        <v>26</v>
      </c>
      <c r="DL51" s="97">
        <v>26</v>
      </c>
      <c r="DM51" s="214">
        <v>25</v>
      </c>
      <c r="DN51" s="99">
        <f t="shared" si="43"/>
        <v>96.15384615384616</v>
      </c>
      <c r="DO51" s="496">
        <v>57</v>
      </c>
      <c r="DP51" s="97">
        <v>57</v>
      </c>
      <c r="DQ51" s="214">
        <v>57</v>
      </c>
      <c r="DR51" s="99">
        <f t="shared" si="44"/>
        <v>100</v>
      </c>
      <c r="DS51" s="214"/>
      <c r="DT51" s="97">
        <f t="shared" si="276"/>
        <v>0</v>
      </c>
      <c r="DU51" s="214"/>
      <c r="DV51" s="99" t="e">
        <f t="shared" si="140"/>
        <v>#DIV/0!</v>
      </c>
      <c r="DW51" s="214"/>
      <c r="DX51" s="97">
        <f t="shared" si="279"/>
        <v>0</v>
      </c>
      <c r="DY51" s="214"/>
      <c r="DZ51" s="99" t="e">
        <f t="shared" si="142"/>
        <v>#DIV/0!</v>
      </c>
      <c r="EA51" s="214"/>
      <c r="EB51" s="97">
        <f t="shared" si="279"/>
        <v>0</v>
      </c>
      <c r="EC51" s="214"/>
      <c r="ED51" s="99">
        <f t="shared" si="45"/>
        <v>0</v>
      </c>
      <c r="EE51" s="214">
        <v>46</v>
      </c>
      <c r="EF51" s="97">
        <v>46</v>
      </c>
      <c r="EG51" s="214">
        <v>14</v>
      </c>
      <c r="EH51" s="99">
        <f t="shared" si="46"/>
        <v>30.434782608695656</v>
      </c>
      <c r="EI51" s="214"/>
      <c r="EJ51" s="97">
        <f t="shared" si="279"/>
        <v>0</v>
      </c>
      <c r="EK51" s="214"/>
      <c r="EL51" s="99">
        <f t="shared" si="47"/>
        <v>0</v>
      </c>
      <c r="EM51" s="214"/>
      <c r="EN51" s="97">
        <f t="shared" si="279"/>
        <v>0</v>
      </c>
      <c r="EO51" s="214"/>
      <c r="EP51" s="99">
        <f t="shared" si="48"/>
        <v>0</v>
      </c>
      <c r="EQ51" s="214"/>
      <c r="ER51" s="97">
        <f t="shared" si="279"/>
        <v>0</v>
      </c>
      <c r="ES51" s="214"/>
      <c r="ET51" s="99">
        <f t="shared" si="49"/>
        <v>0</v>
      </c>
      <c r="EU51" s="214"/>
      <c r="EV51" s="97">
        <f t="shared" si="279"/>
        <v>0</v>
      </c>
      <c r="EW51" s="214"/>
      <c r="EX51" s="99">
        <f t="shared" si="50"/>
        <v>0</v>
      </c>
      <c r="EY51" s="152">
        <f>SUM(EQ51,EM51,EI51,EE51,EA51,DW51,DS51,DO51,DK51,DG51,DC51,CY51,CU51,CQ51,CM51,CI51,CE51,CA51,BW51,BS51,BO51,BK51,BG51,BC51,AY51,AU51,AQ51,AM51,AI51,AE51,AA51,W51,S51,O51,K51,G51,C51)+EU51</f>
        <v>396</v>
      </c>
      <c r="EZ51" s="152">
        <f t="shared" si="17"/>
        <v>396</v>
      </c>
      <c r="FA51" s="152">
        <f t="shared" si="17"/>
        <v>373</v>
      </c>
      <c r="FB51" s="152">
        <f t="shared" si="52"/>
        <v>94.191919191919197</v>
      </c>
    </row>
    <row r="52" spans="1:158" ht="15.75" x14ac:dyDescent="0.25">
      <c r="A52" s="169" t="s">
        <v>152</v>
      </c>
      <c r="B52" s="170" t="s">
        <v>339</v>
      </c>
      <c r="C52" s="96"/>
      <c r="D52" s="97">
        <f t="shared" si="277"/>
        <v>0</v>
      </c>
      <c r="E52" s="98"/>
      <c r="F52" s="99" t="e">
        <f t="shared" si="3"/>
        <v>#DIV/0!</v>
      </c>
      <c r="G52" s="214"/>
      <c r="H52" s="97">
        <f t="shared" si="278"/>
        <v>0</v>
      </c>
      <c r="I52" s="214"/>
      <c r="J52" s="99">
        <f t="shared" si="18"/>
        <v>0</v>
      </c>
      <c r="K52" s="214"/>
      <c r="L52" s="97">
        <f t="shared" si="278"/>
        <v>0</v>
      </c>
      <c r="M52" s="214"/>
      <c r="N52" s="99" t="e">
        <f t="shared" si="138"/>
        <v>#DIV/0!</v>
      </c>
      <c r="O52" s="214"/>
      <c r="P52" s="97">
        <f t="shared" si="278"/>
        <v>0</v>
      </c>
      <c r="Q52" s="214"/>
      <c r="R52" s="99">
        <f t="shared" si="19"/>
        <v>0</v>
      </c>
      <c r="S52" s="214"/>
      <c r="T52" s="97">
        <f t="shared" si="278"/>
        <v>0</v>
      </c>
      <c r="U52" s="214"/>
      <c r="V52" s="99">
        <f t="shared" si="20"/>
        <v>0</v>
      </c>
      <c r="W52" s="214"/>
      <c r="X52" s="97">
        <f t="shared" si="278"/>
        <v>0</v>
      </c>
      <c r="Y52" s="214"/>
      <c r="Z52" s="99">
        <f t="shared" si="21"/>
        <v>0</v>
      </c>
      <c r="AA52" s="214">
        <v>12</v>
      </c>
      <c r="AB52" s="97">
        <v>12</v>
      </c>
      <c r="AC52" s="214">
        <v>7</v>
      </c>
      <c r="AD52" s="99">
        <f t="shared" si="22"/>
        <v>58.333333333333336</v>
      </c>
      <c r="AE52" s="214">
        <v>12</v>
      </c>
      <c r="AF52" s="97">
        <v>12</v>
      </c>
      <c r="AG52" s="214">
        <v>12</v>
      </c>
      <c r="AH52" s="99">
        <f t="shared" si="23"/>
        <v>100</v>
      </c>
      <c r="AI52" s="214"/>
      <c r="AJ52" s="97">
        <f t="shared" si="278"/>
        <v>0</v>
      </c>
      <c r="AK52" s="214"/>
      <c r="AL52" s="99">
        <f t="shared" si="24"/>
        <v>0</v>
      </c>
      <c r="AM52" s="214">
        <v>12</v>
      </c>
      <c r="AN52" s="97">
        <v>12</v>
      </c>
      <c r="AO52" s="214">
        <v>9</v>
      </c>
      <c r="AP52" s="99">
        <f t="shared" si="25"/>
        <v>75</v>
      </c>
      <c r="AQ52" s="214"/>
      <c r="AR52" s="97">
        <f t="shared" si="278"/>
        <v>0</v>
      </c>
      <c r="AS52" s="214"/>
      <c r="AT52" s="99">
        <f t="shared" si="26"/>
        <v>0</v>
      </c>
      <c r="AU52" s="214">
        <v>12</v>
      </c>
      <c r="AV52" s="97">
        <v>12</v>
      </c>
      <c r="AW52" s="214">
        <v>13</v>
      </c>
      <c r="AX52" s="99">
        <f t="shared" si="27"/>
        <v>108.33333333333333</v>
      </c>
      <c r="AY52" s="214">
        <v>15</v>
      </c>
      <c r="AZ52" s="97">
        <v>15</v>
      </c>
      <c r="BA52" s="214">
        <v>14</v>
      </c>
      <c r="BB52" s="99">
        <f t="shared" si="28"/>
        <v>93.333333333333329</v>
      </c>
      <c r="BC52" s="214">
        <v>13</v>
      </c>
      <c r="BD52" s="97">
        <v>13</v>
      </c>
      <c r="BE52" s="214">
        <v>5</v>
      </c>
      <c r="BF52" s="99">
        <f t="shared" si="29"/>
        <v>38.461538461538467</v>
      </c>
      <c r="BG52" s="214">
        <v>7</v>
      </c>
      <c r="BH52" s="97">
        <v>7</v>
      </c>
      <c r="BI52" s="214">
        <v>5</v>
      </c>
      <c r="BJ52" s="99">
        <f t="shared" si="30"/>
        <v>71.428571428571431</v>
      </c>
      <c r="BK52" s="214"/>
      <c r="BL52" s="97">
        <f t="shared" si="278"/>
        <v>0</v>
      </c>
      <c r="BM52" s="214"/>
      <c r="BN52" s="99">
        <f t="shared" si="31"/>
        <v>0</v>
      </c>
      <c r="BO52" s="214"/>
      <c r="BP52" s="97">
        <f t="shared" si="278"/>
        <v>0</v>
      </c>
      <c r="BQ52" s="214"/>
      <c r="BR52" s="99">
        <f t="shared" si="32"/>
        <v>0</v>
      </c>
      <c r="BS52" s="214"/>
      <c r="BT52" s="97">
        <f t="shared" si="276"/>
        <v>0</v>
      </c>
      <c r="BU52" s="214"/>
      <c r="BV52" s="99">
        <f t="shared" si="33"/>
        <v>0</v>
      </c>
      <c r="BW52" s="214"/>
      <c r="BX52" s="97">
        <f t="shared" si="276"/>
        <v>0</v>
      </c>
      <c r="BY52" s="214"/>
      <c r="BZ52" s="99">
        <f t="shared" si="34"/>
        <v>0</v>
      </c>
      <c r="CA52" s="214"/>
      <c r="CB52" s="97">
        <f t="shared" si="276"/>
        <v>0</v>
      </c>
      <c r="CC52" s="214"/>
      <c r="CD52" s="99">
        <f t="shared" si="35"/>
        <v>0</v>
      </c>
      <c r="CE52" s="214"/>
      <c r="CF52" s="97">
        <f t="shared" si="276"/>
        <v>0</v>
      </c>
      <c r="CG52" s="214"/>
      <c r="CH52" s="99">
        <f t="shared" si="36"/>
        <v>0</v>
      </c>
      <c r="CI52" s="214"/>
      <c r="CJ52" s="97">
        <f t="shared" si="276"/>
        <v>0</v>
      </c>
      <c r="CK52" s="214"/>
      <c r="CL52" s="99">
        <f t="shared" si="37"/>
        <v>0</v>
      </c>
      <c r="CM52" s="214"/>
      <c r="CN52" s="97">
        <f t="shared" si="276"/>
        <v>0</v>
      </c>
      <c r="CO52" s="214"/>
      <c r="CP52" s="99">
        <f t="shared" si="38"/>
        <v>0</v>
      </c>
      <c r="CQ52" s="214"/>
      <c r="CR52" s="97">
        <f t="shared" si="276"/>
        <v>0</v>
      </c>
      <c r="CS52" s="214"/>
      <c r="CT52" s="99">
        <f t="shared" si="39"/>
        <v>0</v>
      </c>
      <c r="CU52" s="214"/>
      <c r="CV52" s="97">
        <f t="shared" si="276"/>
        <v>0</v>
      </c>
      <c r="CW52" s="214"/>
      <c r="CX52" s="99">
        <f t="shared" si="40"/>
        <v>0</v>
      </c>
      <c r="CY52" s="214"/>
      <c r="CZ52" s="97">
        <f t="shared" si="276"/>
        <v>0</v>
      </c>
      <c r="DA52" s="214"/>
      <c r="DB52" s="99">
        <f t="shared" si="41"/>
        <v>0</v>
      </c>
      <c r="DC52" s="214"/>
      <c r="DD52" s="97">
        <f t="shared" si="276"/>
        <v>0</v>
      </c>
      <c r="DE52" s="214"/>
      <c r="DF52" s="99">
        <f t="shared" si="42"/>
        <v>0</v>
      </c>
      <c r="DG52" s="214"/>
      <c r="DH52" s="97">
        <f t="shared" si="276"/>
        <v>0</v>
      </c>
      <c r="DI52" s="214"/>
      <c r="DJ52" s="99" t="e">
        <f t="shared" si="139"/>
        <v>#DIV/0!</v>
      </c>
      <c r="DK52" s="214">
        <v>6</v>
      </c>
      <c r="DL52" s="97">
        <v>6</v>
      </c>
      <c r="DM52" s="214">
        <v>6</v>
      </c>
      <c r="DN52" s="99">
        <f t="shared" si="43"/>
        <v>100</v>
      </c>
      <c r="DO52" s="496">
        <v>18</v>
      </c>
      <c r="DP52" s="97">
        <v>18</v>
      </c>
      <c r="DQ52" s="214">
        <v>18</v>
      </c>
      <c r="DR52" s="99">
        <f t="shared" si="44"/>
        <v>100</v>
      </c>
      <c r="DS52" s="214"/>
      <c r="DT52" s="97">
        <f t="shared" si="276"/>
        <v>0</v>
      </c>
      <c r="DU52" s="214"/>
      <c r="DV52" s="99" t="e">
        <f t="shared" si="140"/>
        <v>#DIV/0!</v>
      </c>
      <c r="DW52" s="214"/>
      <c r="DX52" s="97">
        <f t="shared" si="279"/>
        <v>0</v>
      </c>
      <c r="DY52" s="214"/>
      <c r="DZ52" s="99" t="e">
        <f t="shared" si="142"/>
        <v>#DIV/0!</v>
      </c>
      <c r="EA52" s="214"/>
      <c r="EB52" s="97">
        <f t="shared" si="279"/>
        <v>0</v>
      </c>
      <c r="EC52" s="214"/>
      <c r="ED52" s="99">
        <f t="shared" si="45"/>
        <v>0</v>
      </c>
      <c r="EE52" s="214">
        <v>16</v>
      </c>
      <c r="EF52" s="97">
        <v>16</v>
      </c>
      <c r="EG52" s="214">
        <v>1</v>
      </c>
      <c r="EH52" s="99">
        <f t="shared" si="46"/>
        <v>6.25</v>
      </c>
      <c r="EI52" s="214"/>
      <c r="EJ52" s="97">
        <f t="shared" si="279"/>
        <v>0</v>
      </c>
      <c r="EK52" s="214"/>
      <c r="EL52" s="99">
        <f t="shared" si="47"/>
        <v>0</v>
      </c>
      <c r="EM52" s="214"/>
      <c r="EN52" s="97">
        <f t="shared" si="279"/>
        <v>0</v>
      </c>
      <c r="EO52" s="214"/>
      <c r="EP52" s="99">
        <f t="shared" si="48"/>
        <v>0</v>
      </c>
      <c r="EQ52" s="214"/>
      <c r="ER52" s="97">
        <f t="shared" si="279"/>
        <v>0</v>
      </c>
      <c r="ES52" s="214"/>
      <c r="ET52" s="99">
        <f t="shared" si="49"/>
        <v>0</v>
      </c>
      <c r="EU52" s="214"/>
      <c r="EV52" s="97">
        <f t="shared" si="279"/>
        <v>0</v>
      </c>
      <c r="EW52" s="214"/>
      <c r="EX52" s="99">
        <f t="shared" si="50"/>
        <v>0</v>
      </c>
      <c r="EY52" s="152">
        <f>SUM(EQ52,EM52,EI52,EE52,EA52,DW52,DS52,DO52,DK52,DG52,DC52,CY52,CU52,CQ52,CM52,CI52,CE52,CA52,BW52,BS52,BO52,BK52,BG52,BC52,AY52,AU52,AQ52,AM52,AI52,AE52,AA52,W52,S52,O52,K52,G52,C52)+EU52</f>
        <v>123</v>
      </c>
      <c r="EZ52" s="152">
        <f t="shared" si="17"/>
        <v>123</v>
      </c>
      <c r="FA52" s="152">
        <f t="shared" si="17"/>
        <v>90</v>
      </c>
      <c r="FB52" s="152">
        <f t="shared" si="52"/>
        <v>73.170731707317074</v>
      </c>
    </row>
    <row r="53" spans="1:158" ht="31.5" x14ac:dyDescent="0.25">
      <c r="A53" s="174" t="s">
        <v>154</v>
      </c>
      <c r="B53" s="160" t="s">
        <v>3</v>
      </c>
      <c r="C53" s="175">
        <f t="shared" ref="C53" si="354">C54+C55+C70+C74</f>
        <v>0</v>
      </c>
      <c r="D53" s="162">
        <f t="shared" si="277"/>
        <v>0</v>
      </c>
      <c r="E53" s="175">
        <f t="shared" ref="E53" si="355">E54+E55+E70+E74</f>
        <v>0</v>
      </c>
      <c r="F53" s="163" t="e">
        <f t="shared" si="3"/>
        <v>#DIV/0!</v>
      </c>
      <c r="G53" s="216">
        <f t="shared" ref="G53:H53" si="356">G54+G55+G70+G74</f>
        <v>500</v>
      </c>
      <c r="H53" s="216">
        <f t="shared" si="356"/>
        <v>500</v>
      </c>
      <c r="I53" s="216">
        <f t="shared" ref="I53" si="357">I54+I55+I70+I74</f>
        <v>120</v>
      </c>
      <c r="J53" s="163">
        <f t="shared" si="18"/>
        <v>24</v>
      </c>
      <c r="K53" s="216">
        <f t="shared" ref="K53" si="358">K54+K55+K70+K74</f>
        <v>0</v>
      </c>
      <c r="L53" s="162">
        <f t="shared" si="278"/>
        <v>0</v>
      </c>
      <c r="M53" s="216">
        <f t="shared" ref="M53" si="359">M54+M55+M70+M74</f>
        <v>0</v>
      </c>
      <c r="N53" s="163" t="e">
        <f t="shared" si="138"/>
        <v>#DIV/0!</v>
      </c>
      <c r="O53" s="216">
        <f t="shared" ref="O53:P53" si="360">O54+O55+O70+O74</f>
        <v>300</v>
      </c>
      <c r="P53" s="216">
        <f t="shared" si="360"/>
        <v>300</v>
      </c>
      <c r="Q53" s="216">
        <f t="shared" ref="Q53" si="361">Q54+Q55+Q70+Q74</f>
        <v>288</v>
      </c>
      <c r="R53" s="163">
        <f t="shared" si="19"/>
        <v>96</v>
      </c>
      <c r="S53" s="216">
        <f t="shared" ref="S53:T53" si="362">S54+S55+S70+S74</f>
        <v>300</v>
      </c>
      <c r="T53" s="216">
        <f t="shared" si="362"/>
        <v>300</v>
      </c>
      <c r="U53" s="216">
        <f t="shared" ref="U53" si="363">U54+U55+U70+U74</f>
        <v>309</v>
      </c>
      <c r="V53" s="163">
        <f t="shared" si="20"/>
        <v>103</v>
      </c>
      <c r="W53" s="216">
        <f t="shared" ref="W53:X53" si="364">W54+W55+W70+W74</f>
        <v>1800</v>
      </c>
      <c r="X53" s="216">
        <f t="shared" si="364"/>
        <v>1800</v>
      </c>
      <c r="Y53" s="216">
        <f t="shared" ref="Y53" si="365">Y54+Y55+Y70+Y74</f>
        <v>1806</v>
      </c>
      <c r="Z53" s="163">
        <f t="shared" si="21"/>
        <v>100.33333333333334</v>
      </c>
      <c r="AA53" s="216">
        <f t="shared" ref="AA53:AB53" si="366">AA54+AA55+AA70+AA74</f>
        <v>18306</v>
      </c>
      <c r="AB53" s="216">
        <f t="shared" si="366"/>
        <v>18306</v>
      </c>
      <c r="AC53" s="216">
        <f t="shared" ref="AC53" si="367">AC54+AC55+AC70+AC74</f>
        <v>18639</v>
      </c>
      <c r="AD53" s="163">
        <f t="shared" si="22"/>
        <v>101.81907571288103</v>
      </c>
      <c r="AE53" s="216">
        <f t="shared" ref="AE53:AF53" si="368">AE54+AE55+AE70+AE74</f>
        <v>11541</v>
      </c>
      <c r="AF53" s="216">
        <f t="shared" si="368"/>
        <v>11541</v>
      </c>
      <c r="AG53" s="216">
        <f t="shared" ref="AG53" si="369">AG54+AG55+AG70+AG74</f>
        <v>19015</v>
      </c>
      <c r="AH53" s="163">
        <f t="shared" si="23"/>
        <v>164.76041937440428</v>
      </c>
      <c r="AI53" s="216">
        <f t="shared" ref="AI53:AJ53" si="370">AI54+AI55+AI70+AI74</f>
        <v>5000</v>
      </c>
      <c r="AJ53" s="216">
        <f t="shared" si="370"/>
        <v>5000</v>
      </c>
      <c r="AK53" s="216">
        <f t="shared" ref="AK53" si="371">AK54+AK55+AK70+AK74</f>
        <v>4927</v>
      </c>
      <c r="AL53" s="163">
        <f t="shared" si="24"/>
        <v>98.54</v>
      </c>
      <c r="AM53" s="216">
        <f t="shared" ref="AM53:AN53" si="372">AM54+AM55+AM70+AM74</f>
        <v>7318</v>
      </c>
      <c r="AN53" s="216">
        <f t="shared" si="372"/>
        <v>7318</v>
      </c>
      <c r="AO53" s="216">
        <f t="shared" ref="AO53" si="373">AO54+AO55+AO70+AO74</f>
        <v>11325</v>
      </c>
      <c r="AP53" s="163">
        <f t="shared" si="25"/>
        <v>154.75539764963105</v>
      </c>
      <c r="AQ53" s="216">
        <f t="shared" ref="AQ53:AR53" si="374">AQ54+AQ55+AQ70+AQ74</f>
        <v>650</v>
      </c>
      <c r="AR53" s="216">
        <f t="shared" si="374"/>
        <v>650</v>
      </c>
      <c r="AS53" s="216">
        <f t="shared" ref="AS53" si="375">AS54+AS55+AS70+AS74</f>
        <v>552</v>
      </c>
      <c r="AT53" s="163">
        <f t="shared" si="26"/>
        <v>84.92307692307692</v>
      </c>
      <c r="AU53" s="216">
        <f t="shared" ref="AU53:AV53" si="376">AU54+AU55+AU70+AU74</f>
        <v>51853</v>
      </c>
      <c r="AV53" s="216">
        <f t="shared" si="376"/>
        <v>51853</v>
      </c>
      <c r="AW53" s="216">
        <f t="shared" ref="AW53" si="377">AW54+AW55+AW70+AW74</f>
        <v>64880</v>
      </c>
      <c r="AX53" s="163">
        <f t="shared" si="27"/>
        <v>125.1229437062465</v>
      </c>
      <c r="AY53" s="216">
        <f t="shared" ref="AY53:AZ53" si="378">AY54+AY55+AY70+AY74</f>
        <v>30701.5</v>
      </c>
      <c r="AZ53" s="216">
        <f t="shared" si="378"/>
        <v>30701.5</v>
      </c>
      <c r="BA53" s="216">
        <f t="shared" ref="BA53" si="379">BA54+BA55+BA70+BA74</f>
        <v>57387</v>
      </c>
      <c r="BB53" s="163">
        <f t="shared" si="28"/>
        <v>186.91920590199175</v>
      </c>
      <c r="BC53" s="216">
        <f t="shared" ref="BC53:BD53" si="380">BC54+BC55+BC70+BC74</f>
        <v>37322</v>
      </c>
      <c r="BD53" s="216">
        <f t="shared" si="380"/>
        <v>37322</v>
      </c>
      <c r="BE53" s="216">
        <f t="shared" ref="BE53" si="381">BE54+BE55+BE70+BE74</f>
        <v>46889</v>
      </c>
      <c r="BF53" s="163">
        <f t="shared" si="29"/>
        <v>125.63367450833289</v>
      </c>
      <c r="BG53" s="216">
        <f t="shared" ref="BG53:BH53" si="382">BG54+BG55+BG70+BG74</f>
        <v>23388</v>
      </c>
      <c r="BH53" s="216">
        <f t="shared" si="382"/>
        <v>23388</v>
      </c>
      <c r="BI53" s="216">
        <f t="shared" ref="BI53" si="383">BI54+BI55+BI70+BI74</f>
        <v>33517</v>
      </c>
      <c r="BJ53" s="163">
        <f t="shared" si="30"/>
        <v>143.30853429108944</v>
      </c>
      <c r="BK53" s="216">
        <f t="shared" ref="BK53" si="384">BK54+BK55+BK70+BK74</f>
        <v>0</v>
      </c>
      <c r="BL53" s="162">
        <f t="shared" si="278"/>
        <v>0</v>
      </c>
      <c r="BM53" s="216">
        <f t="shared" ref="BM53" si="385">BM54+BM55+BM70+BM74</f>
        <v>0</v>
      </c>
      <c r="BN53" s="163">
        <f t="shared" si="31"/>
        <v>0</v>
      </c>
      <c r="BO53" s="216">
        <f t="shared" ref="BO53" si="386">BO54+BO55+BO70+BO74</f>
        <v>0</v>
      </c>
      <c r="BP53" s="162">
        <f t="shared" si="278"/>
        <v>0</v>
      </c>
      <c r="BQ53" s="216">
        <f t="shared" ref="BQ53" si="387">BQ54+BQ55+BQ70+BQ74</f>
        <v>0</v>
      </c>
      <c r="BR53" s="163">
        <f t="shared" si="32"/>
        <v>0</v>
      </c>
      <c r="BS53" s="216">
        <f t="shared" ref="BS53" si="388">BS54+BS55+BS70+BS74</f>
        <v>0</v>
      </c>
      <c r="BT53" s="162">
        <f t="shared" si="276"/>
        <v>0</v>
      </c>
      <c r="BU53" s="216">
        <f t="shared" ref="BU53" si="389">BU54+BU55+BU70+BU74</f>
        <v>0</v>
      </c>
      <c r="BV53" s="163">
        <f t="shared" si="33"/>
        <v>0</v>
      </c>
      <c r="BW53" s="216">
        <f t="shared" ref="BW53" si="390">BW54+BW55+BW70+BW74</f>
        <v>0</v>
      </c>
      <c r="BX53" s="162">
        <f t="shared" si="276"/>
        <v>0</v>
      </c>
      <c r="BY53" s="216">
        <f t="shared" ref="BY53" si="391">BY54+BY55+BY70+BY74</f>
        <v>0</v>
      </c>
      <c r="BZ53" s="163">
        <f t="shared" si="34"/>
        <v>0</v>
      </c>
      <c r="CA53" s="216">
        <f t="shared" ref="CA53" si="392">CA54+CA55+CA70+CA74</f>
        <v>0</v>
      </c>
      <c r="CB53" s="162">
        <f t="shared" si="276"/>
        <v>0</v>
      </c>
      <c r="CC53" s="216">
        <f t="shared" ref="CC53" si="393">CC54+CC55+CC70+CC74</f>
        <v>0</v>
      </c>
      <c r="CD53" s="163">
        <f t="shared" si="35"/>
        <v>0</v>
      </c>
      <c r="CE53" s="216">
        <f t="shared" ref="CE53" si="394">CE54+CE55+CE70+CE74</f>
        <v>0</v>
      </c>
      <c r="CF53" s="162">
        <f t="shared" si="276"/>
        <v>0</v>
      </c>
      <c r="CG53" s="216">
        <f t="shared" ref="CG53" si="395">CG54+CG55+CG70+CG74</f>
        <v>0</v>
      </c>
      <c r="CH53" s="163">
        <f t="shared" si="36"/>
        <v>0</v>
      </c>
      <c r="CI53" s="216">
        <f t="shared" ref="CI53" si="396">CI54+CI55+CI70+CI74</f>
        <v>0</v>
      </c>
      <c r="CJ53" s="162">
        <f t="shared" si="276"/>
        <v>0</v>
      </c>
      <c r="CK53" s="216">
        <f t="shared" ref="CK53" si="397">CK54+CK55+CK70+CK74</f>
        <v>0</v>
      </c>
      <c r="CL53" s="163">
        <f t="shared" si="37"/>
        <v>0</v>
      </c>
      <c r="CM53" s="216">
        <f t="shared" ref="CM53" si="398">CM54+CM55+CM70+CM74</f>
        <v>0</v>
      </c>
      <c r="CN53" s="162">
        <f t="shared" si="276"/>
        <v>0</v>
      </c>
      <c r="CO53" s="216">
        <f t="shared" ref="CO53" si="399">CO54+CO55+CO70+CO74</f>
        <v>0</v>
      </c>
      <c r="CP53" s="163">
        <f t="shared" si="38"/>
        <v>0</v>
      </c>
      <c r="CQ53" s="216">
        <f t="shared" ref="CQ53" si="400">CQ54+CQ55+CQ70+CQ74</f>
        <v>0</v>
      </c>
      <c r="CR53" s="162">
        <f t="shared" si="276"/>
        <v>0</v>
      </c>
      <c r="CS53" s="216">
        <f t="shared" ref="CS53" si="401">CS54+CS55+CS70+CS74</f>
        <v>0</v>
      </c>
      <c r="CT53" s="163">
        <f t="shared" si="39"/>
        <v>0</v>
      </c>
      <c r="CU53" s="216">
        <f t="shared" ref="CU53" si="402">CU54+CU55+CU70+CU74</f>
        <v>0</v>
      </c>
      <c r="CV53" s="162">
        <f t="shared" si="276"/>
        <v>0</v>
      </c>
      <c r="CW53" s="216">
        <f t="shared" ref="CW53" si="403">CW54+CW55+CW70+CW74</f>
        <v>0</v>
      </c>
      <c r="CX53" s="163">
        <f t="shared" si="40"/>
        <v>0</v>
      </c>
      <c r="CY53" s="216">
        <f t="shared" ref="CY53:CZ53" si="404">CY54+CY55+CY70+CY74</f>
        <v>300</v>
      </c>
      <c r="CZ53" s="216">
        <f t="shared" si="404"/>
        <v>300</v>
      </c>
      <c r="DA53" s="216">
        <f t="shared" ref="DA53" si="405">DA54+DA55+DA70+DA74</f>
        <v>293</v>
      </c>
      <c r="DB53" s="163">
        <f t="shared" si="41"/>
        <v>97.666666666666671</v>
      </c>
      <c r="DC53" s="216">
        <f t="shared" ref="DC53" si="406">DC54+DC55+DC70+DC74</f>
        <v>0</v>
      </c>
      <c r="DD53" s="162">
        <f t="shared" si="276"/>
        <v>0</v>
      </c>
      <c r="DE53" s="216">
        <f t="shared" ref="DE53" si="407">DE54+DE55+DE70+DE74</f>
        <v>0</v>
      </c>
      <c r="DF53" s="163">
        <f t="shared" si="42"/>
        <v>0</v>
      </c>
      <c r="DG53" s="216">
        <f t="shared" ref="DG53" si="408">DG54+DG55+DG70+DG74</f>
        <v>0</v>
      </c>
      <c r="DH53" s="162">
        <f t="shared" si="276"/>
        <v>0</v>
      </c>
      <c r="DI53" s="216">
        <f t="shared" ref="DI53" si="409">DI54+DI55+DI70+DI74</f>
        <v>0</v>
      </c>
      <c r="DJ53" s="163" t="e">
        <f t="shared" si="139"/>
        <v>#DIV/0!</v>
      </c>
      <c r="DK53" s="216">
        <f t="shared" ref="DK53:DL53" si="410">DK54+DK55+DK70+DK74</f>
        <v>29424</v>
      </c>
      <c r="DL53" s="216">
        <f t="shared" si="410"/>
        <v>29424</v>
      </c>
      <c r="DM53" s="216">
        <f t="shared" ref="DM53" si="411">DM54+DM55+DM70+DM74</f>
        <v>25378</v>
      </c>
      <c r="DN53" s="163">
        <f t="shared" si="43"/>
        <v>86.249320282762369</v>
      </c>
      <c r="DO53" s="216">
        <f t="shared" ref="DO53:DP53" si="412">DO54+DO55+DO70+DO74</f>
        <v>61754</v>
      </c>
      <c r="DP53" s="216">
        <f t="shared" si="412"/>
        <v>61754</v>
      </c>
      <c r="DQ53" s="216">
        <f t="shared" ref="DQ53" si="413">DQ54+DQ55+DQ70+DQ74</f>
        <v>80246</v>
      </c>
      <c r="DR53" s="163">
        <f t="shared" si="44"/>
        <v>129.94461897205039</v>
      </c>
      <c r="DS53" s="216">
        <f t="shared" ref="DS53" si="414">DS54+DS55+DS70+DS74</f>
        <v>0</v>
      </c>
      <c r="DT53" s="162">
        <f t="shared" si="276"/>
        <v>0</v>
      </c>
      <c r="DU53" s="216">
        <f t="shared" ref="DU53" si="415">DU54+DU55+DU70+DU74</f>
        <v>0</v>
      </c>
      <c r="DV53" s="163" t="e">
        <f t="shared" si="140"/>
        <v>#DIV/0!</v>
      </c>
      <c r="DW53" s="216">
        <f t="shared" ref="DW53" si="416">DW54+DW55+DW70+DW74</f>
        <v>0</v>
      </c>
      <c r="DX53" s="162">
        <f t="shared" si="279"/>
        <v>0</v>
      </c>
      <c r="DY53" s="216">
        <f t="shared" ref="DY53" si="417">DY54+DY55+DY70+DY74</f>
        <v>0</v>
      </c>
      <c r="DZ53" s="163" t="e">
        <f t="shared" si="142"/>
        <v>#DIV/0!</v>
      </c>
      <c r="EA53" s="216">
        <f t="shared" ref="EA53:EB53" si="418">EA54+EA55+EA70+EA74</f>
        <v>576</v>
      </c>
      <c r="EB53" s="216">
        <f t="shared" si="418"/>
        <v>576</v>
      </c>
      <c r="EC53" s="216">
        <f t="shared" ref="EC53" si="419">EC54+EC55+EC70+EC74</f>
        <v>611</v>
      </c>
      <c r="ED53" s="163">
        <f t="shared" si="45"/>
        <v>106.07638888888889</v>
      </c>
      <c r="EE53" s="216">
        <f t="shared" ref="EE53:EF53" si="420">EE54+EE55+EE70+EE74</f>
        <v>25053</v>
      </c>
      <c r="EF53" s="216">
        <f t="shared" si="420"/>
        <v>25053</v>
      </c>
      <c r="EG53" s="216">
        <f t="shared" ref="EG53" si="421">EG54+EG55+EG70+EG74</f>
        <v>20705</v>
      </c>
      <c r="EH53" s="163">
        <f t="shared" si="46"/>
        <v>82.64479303875784</v>
      </c>
      <c r="EI53" s="216">
        <f t="shared" ref="EI53:EJ53" si="422">EI54+EI55+EI70+EI74</f>
        <v>399</v>
      </c>
      <c r="EJ53" s="216">
        <f t="shared" si="422"/>
        <v>399</v>
      </c>
      <c r="EK53" s="216">
        <f t="shared" ref="EK53" si="423">EK54+EK55+EK70+EK74</f>
        <v>305</v>
      </c>
      <c r="EL53" s="163">
        <f t="shared" si="47"/>
        <v>76.441102756892235</v>
      </c>
      <c r="EM53" s="216">
        <f t="shared" ref="EM53:EN53" si="424">EM54+EM55+EM70+EM74</f>
        <v>386</v>
      </c>
      <c r="EN53" s="216">
        <f t="shared" si="424"/>
        <v>386</v>
      </c>
      <c r="EO53" s="216">
        <f t="shared" ref="EO53" si="425">EO54+EO55+EO70+EO74</f>
        <v>157</v>
      </c>
      <c r="EP53" s="163">
        <f t="shared" si="48"/>
        <v>40.673575129533681</v>
      </c>
      <c r="EQ53" s="216">
        <f t="shared" ref="EQ53" si="426">EQ54+EQ55+EQ70+EQ74</f>
        <v>0</v>
      </c>
      <c r="ER53" s="162">
        <f t="shared" si="279"/>
        <v>0</v>
      </c>
      <c r="ES53" s="216">
        <f t="shared" ref="ES53" si="427">ES54+ES55+ES70+ES74</f>
        <v>0</v>
      </c>
      <c r="ET53" s="163">
        <f t="shared" si="49"/>
        <v>0</v>
      </c>
      <c r="EU53" s="216">
        <f t="shared" ref="EU53" si="428">EU54+EU55+EU70+EU74</f>
        <v>0</v>
      </c>
      <c r="EV53" s="162">
        <f t="shared" si="279"/>
        <v>0</v>
      </c>
      <c r="EW53" s="216">
        <f t="shared" ref="EW53" si="429">EW54+EW55+EW70+EW74</f>
        <v>0</v>
      </c>
      <c r="EX53" s="163">
        <f t="shared" si="50"/>
        <v>0</v>
      </c>
      <c r="EY53" s="152">
        <f t="shared" si="51"/>
        <v>306871.5</v>
      </c>
      <c r="EZ53" s="152">
        <f t="shared" si="17"/>
        <v>306871.5</v>
      </c>
      <c r="FA53" s="152">
        <f t="shared" si="17"/>
        <v>387349</v>
      </c>
      <c r="FB53" s="152">
        <f t="shared" si="52"/>
        <v>126.22514635604804</v>
      </c>
    </row>
    <row r="54" spans="1:158" s="153" customFormat="1" ht="31.5" x14ac:dyDescent="0.25">
      <c r="A54" s="265" t="s">
        <v>155</v>
      </c>
      <c r="B54" s="266"/>
      <c r="C54" s="267"/>
      <c r="D54" s="195">
        <f t="shared" si="277"/>
        <v>0</v>
      </c>
      <c r="E54" s="268"/>
      <c r="F54" s="99" t="e">
        <f t="shared" si="3"/>
        <v>#DIV/0!</v>
      </c>
      <c r="G54" s="269">
        <v>500</v>
      </c>
      <c r="H54" s="195">
        <f t="shared" ref="H54" si="430">ROUND(G54/12*$A$7,0)</f>
        <v>500</v>
      </c>
      <c r="I54" s="269">
        <v>120</v>
      </c>
      <c r="J54" s="99">
        <f t="shared" si="18"/>
        <v>24</v>
      </c>
      <c r="K54" s="269"/>
      <c r="L54" s="195">
        <f t="shared" si="278"/>
        <v>0</v>
      </c>
      <c r="M54" s="269"/>
      <c r="N54" s="99" t="e">
        <f t="shared" si="138"/>
        <v>#DIV/0!</v>
      </c>
      <c r="O54" s="269">
        <v>300</v>
      </c>
      <c r="P54" s="195">
        <f t="shared" ref="P54" si="431">ROUND(O54/12*$A$7,0)</f>
        <v>300</v>
      </c>
      <c r="Q54" s="269">
        <v>288</v>
      </c>
      <c r="R54" s="99">
        <f t="shared" si="19"/>
        <v>96</v>
      </c>
      <c r="S54" s="269">
        <v>300</v>
      </c>
      <c r="T54" s="195">
        <f t="shared" ref="T54" si="432">ROUND(S54/12*$A$7,0)</f>
        <v>300</v>
      </c>
      <c r="U54" s="269">
        <v>309</v>
      </c>
      <c r="V54" s="99">
        <f t="shared" si="20"/>
        <v>103</v>
      </c>
      <c r="W54" s="269">
        <v>1800</v>
      </c>
      <c r="X54" s="195">
        <f t="shared" ref="X54" si="433">ROUND(W54/12*$A$7,0)</f>
        <v>1800</v>
      </c>
      <c r="Y54" s="269">
        <v>1806</v>
      </c>
      <c r="Z54" s="99">
        <f t="shared" si="21"/>
        <v>100.33333333333334</v>
      </c>
      <c r="AA54" s="269">
        <v>2400</v>
      </c>
      <c r="AB54" s="195">
        <f t="shared" ref="AB54" si="434">ROUND(AA54/12*$A$7,0)</f>
        <v>2400</v>
      </c>
      <c r="AC54" s="269">
        <v>2387</v>
      </c>
      <c r="AD54" s="99">
        <f t="shared" si="22"/>
        <v>99.458333333333343</v>
      </c>
      <c r="AE54" s="269">
        <v>3528</v>
      </c>
      <c r="AF54" s="195">
        <f t="shared" ref="AF54" si="435">ROUND(AE54/12*$A$7,0)</f>
        <v>3528</v>
      </c>
      <c r="AG54" s="269">
        <v>3363</v>
      </c>
      <c r="AH54" s="99">
        <f t="shared" si="23"/>
        <v>95.323129251700678</v>
      </c>
      <c r="AI54" s="269">
        <v>5000</v>
      </c>
      <c r="AJ54" s="195">
        <f t="shared" ref="AJ54" si="436">ROUND(AI54/12*$A$7,0)</f>
        <v>5000</v>
      </c>
      <c r="AK54" s="269">
        <v>4927</v>
      </c>
      <c r="AL54" s="99">
        <f t="shared" si="24"/>
        <v>98.54</v>
      </c>
      <c r="AM54" s="269">
        <v>280</v>
      </c>
      <c r="AN54" s="195">
        <f t="shared" ref="AN54" si="437">ROUND(AM54/12*$A$7,0)</f>
        <v>280</v>
      </c>
      <c r="AO54" s="269">
        <v>743</v>
      </c>
      <c r="AP54" s="99">
        <f t="shared" si="25"/>
        <v>265.35714285714283</v>
      </c>
      <c r="AQ54" s="269">
        <v>650</v>
      </c>
      <c r="AR54" s="195">
        <f t="shared" ref="AR54" si="438">ROUND(AQ54/12*$A$7,0)</f>
        <v>650</v>
      </c>
      <c r="AS54" s="269">
        <v>552</v>
      </c>
      <c r="AT54" s="99">
        <f t="shared" si="26"/>
        <v>84.92307692307692</v>
      </c>
      <c r="AU54" s="269"/>
      <c r="AV54" s="195">
        <f t="shared" si="278"/>
        <v>0</v>
      </c>
      <c r="AW54" s="269"/>
      <c r="AX54" s="99">
        <f t="shared" si="27"/>
        <v>0</v>
      </c>
      <c r="AY54" s="269"/>
      <c r="AZ54" s="195">
        <f t="shared" si="278"/>
        <v>0</v>
      </c>
      <c r="BA54" s="269"/>
      <c r="BB54" s="99">
        <f t="shared" si="28"/>
        <v>0</v>
      </c>
      <c r="BC54" s="269"/>
      <c r="BD54" s="195">
        <f t="shared" si="278"/>
        <v>0</v>
      </c>
      <c r="BE54" s="269"/>
      <c r="BF54" s="99">
        <f t="shared" si="29"/>
        <v>0</v>
      </c>
      <c r="BG54" s="269"/>
      <c r="BH54" s="195">
        <f t="shared" si="278"/>
        <v>0</v>
      </c>
      <c r="BI54" s="269"/>
      <c r="BJ54" s="99">
        <f t="shared" si="30"/>
        <v>0</v>
      </c>
      <c r="BK54" s="269"/>
      <c r="BL54" s="195">
        <f t="shared" si="278"/>
        <v>0</v>
      </c>
      <c r="BM54" s="269"/>
      <c r="BN54" s="99">
        <f t="shared" si="31"/>
        <v>0</v>
      </c>
      <c r="BO54" s="269"/>
      <c r="BP54" s="195">
        <f t="shared" si="278"/>
        <v>0</v>
      </c>
      <c r="BQ54" s="269"/>
      <c r="BR54" s="99">
        <f t="shared" si="32"/>
        <v>0</v>
      </c>
      <c r="BS54" s="269"/>
      <c r="BT54" s="195">
        <f t="shared" si="276"/>
        <v>0</v>
      </c>
      <c r="BU54" s="269"/>
      <c r="BV54" s="99">
        <f t="shared" si="33"/>
        <v>0</v>
      </c>
      <c r="BW54" s="269"/>
      <c r="BX54" s="195">
        <f t="shared" si="276"/>
        <v>0</v>
      </c>
      <c r="BY54" s="269"/>
      <c r="BZ54" s="99">
        <f t="shared" si="34"/>
        <v>0</v>
      </c>
      <c r="CA54" s="269"/>
      <c r="CB54" s="195">
        <f t="shared" si="276"/>
        <v>0</v>
      </c>
      <c r="CC54" s="269"/>
      <c r="CD54" s="99">
        <f t="shared" si="35"/>
        <v>0</v>
      </c>
      <c r="CE54" s="269"/>
      <c r="CF54" s="195">
        <f t="shared" si="276"/>
        <v>0</v>
      </c>
      <c r="CG54" s="269"/>
      <c r="CH54" s="99">
        <f t="shared" si="36"/>
        <v>0</v>
      </c>
      <c r="CI54" s="269"/>
      <c r="CJ54" s="195">
        <f t="shared" si="276"/>
        <v>0</v>
      </c>
      <c r="CK54" s="269"/>
      <c r="CL54" s="99">
        <f t="shared" si="37"/>
        <v>0</v>
      </c>
      <c r="CM54" s="269"/>
      <c r="CN54" s="195">
        <f t="shared" si="276"/>
        <v>0</v>
      </c>
      <c r="CO54" s="269"/>
      <c r="CP54" s="99">
        <f t="shared" si="38"/>
        <v>0</v>
      </c>
      <c r="CQ54" s="269"/>
      <c r="CR54" s="195">
        <f t="shared" si="276"/>
        <v>0</v>
      </c>
      <c r="CS54" s="269"/>
      <c r="CT54" s="99">
        <f t="shared" si="39"/>
        <v>0</v>
      </c>
      <c r="CU54" s="269"/>
      <c r="CV54" s="195">
        <f t="shared" si="276"/>
        <v>0</v>
      </c>
      <c r="CW54" s="269"/>
      <c r="CX54" s="99">
        <f t="shared" si="40"/>
        <v>0</v>
      </c>
      <c r="CY54" s="269">
        <v>300</v>
      </c>
      <c r="CZ54" s="195">
        <f t="shared" ref="CZ54" si="439">ROUND(CY54/12*$A$7,0)</f>
        <v>300</v>
      </c>
      <c r="DA54" s="269">
        <v>293</v>
      </c>
      <c r="DB54" s="99">
        <f t="shared" si="41"/>
        <v>97.666666666666671</v>
      </c>
      <c r="DC54" s="269"/>
      <c r="DD54" s="195">
        <f t="shared" si="276"/>
        <v>0</v>
      </c>
      <c r="DE54" s="269"/>
      <c r="DF54" s="99">
        <f t="shared" si="42"/>
        <v>0</v>
      </c>
      <c r="DG54" s="269"/>
      <c r="DH54" s="195">
        <f t="shared" si="276"/>
        <v>0</v>
      </c>
      <c r="DI54" s="269"/>
      <c r="DJ54" s="99" t="e">
        <f t="shared" si="139"/>
        <v>#DIV/0!</v>
      </c>
      <c r="DK54" s="269"/>
      <c r="DL54" s="195">
        <f t="shared" si="276"/>
        <v>0</v>
      </c>
      <c r="DM54" s="269"/>
      <c r="DN54" s="99">
        <f t="shared" si="43"/>
        <v>0</v>
      </c>
      <c r="DO54" s="269"/>
      <c r="DP54" s="195">
        <f t="shared" si="276"/>
        <v>0</v>
      </c>
      <c r="DQ54" s="269"/>
      <c r="DR54" s="99">
        <f t="shared" si="44"/>
        <v>0</v>
      </c>
      <c r="DS54" s="269"/>
      <c r="DT54" s="195">
        <f t="shared" si="276"/>
        <v>0</v>
      </c>
      <c r="DU54" s="269"/>
      <c r="DV54" s="99" t="e">
        <f t="shared" si="140"/>
        <v>#DIV/0!</v>
      </c>
      <c r="DW54" s="269"/>
      <c r="DX54" s="195">
        <f t="shared" si="279"/>
        <v>0</v>
      </c>
      <c r="DY54" s="269"/>
      <c r="DZ54" s="99" t="e">
        <f t="shared" si="142"/>
        <v>#DIV/0!</v>
      </c>
      <c r="EA54" s="269">
        <v>576</v>
      </c>
      <c r="EB54" s="195">
        <f t="shared" ref="EB54" si="440">ROUND(EA54/12*$A$7,0)</f>
        <v>576</v>
      </c>
      <c r="EC54" s="269">
        <v>611</v>
      </c>
      <c r="ED54" s="99">
        <f t="shared" si="45"/>
        <v>106.07638888888889</v>
      </c>
      <c r="EE54" s="269">
        <v>6380</v>
      </c>
      <c r="EF54" s="195">
        <f t="shared" ref="EF54" si="441">ROUND(EE54/12*$A$7,0)</f>
        <v>6380</v>
      </c>
      <c r="EG54" s="269">
        <v>4756</v>
      </c>
      <c r="EH54" s="99">
        <f t="shared" si="46"/>
        <v>74.545454545454547</v>
      </c>
      <c r="EI54" s="269">
        <v>399</v>
      </c>
      <c r="EJ54" s="195">
        <f t="shared" ref="EJ54" si="442">ROUND(EI54/12*$A$7,0)</f>
        <v>399</v>
      </c>
      <c r="EK54" s="269">
        <v>305</v>
      </c>
      <c r="EL54" s="99">
        <f t="shared" si="47"/>
        <v>76.441102756892235</v>
      </c>
      <c r="EM54" s="269">
        <v>386</v>
      </c>
      <c r="EN54" s="195">
        <f t="shared" ref="EN54" si="443">ROUND(EM54/12*$A$7,0)</f>
        <v>386</v>
      </c>
      <c r="EO54" s="269">
        <v>157</v>
      </c>
      <c r="EP54" s="99">
        <f t="shared" si="48"/>
        <v>40.673575129533681</v>
      </c>
      <c r="EQ54" s="269"/>
      <c r="ER54" s="195">
        <f t="shared" si="279"/>
        <v>0</v>
      </c>
      <c r="ES54" s="269"/>
      <c r="ET54" s="99">
        <f t="shared" si="49"/>
        <v>0</v>
      </c>
      <c r="EU54" s="269"/>
      <c r="EV54" s="195">
        <f t="shared" si="279"/>
        <v>0</v>
      </c>
      <c r="EW54" s="269"/>
      <c r="EX54" s="99">
        <f t="shared" si="50"/>
        <v>0</v>
      </c>
      <c r="EY54" s="152">
        <f t="shared" si="51"/>
        <v>22799</v>
      </c>
      <c r="EZ54" s="152">
        <f t="shared" si="17"/>
        <v>22799</v>
      </c>
      <c r="FA54" s="152">
        <f t="shared" si="17"/>
        <v>20617</v>
      </c>
      <c r="FB54" s="152">
        <f t="shared" si="52"/>
        <v>90.429404798456076</v>
      </c>
    </row>
    <row r="55" spans="1:158" ht="31.5" x14ac:dyDescent="0.25">
      <c r="A55" s="180" t="s">
        <v>156</v>
      </c>
      <c r="B55" s="113" t="s">
        <v>3</v>
      </c>
      <c r="C55" s="181">
        <f t="shared" ref="C55" si="444">C56*4+C57+C58*3+C59*6+C60*2+C61*7+C62*2+C63*4+C64*8+C65*8+C66*3+C67*2+C68*7+C69*9</f>
        <v>0</v>
      </c>
      <c r="D55" s="115">
        <f t="shared" si="277"/>
        <v>0</v>
      </c>
      <c r="E55" s="182">
        <f t="shared" ref="E55" si="445">E56*4+E57+E58*3+E59*6+E60*2+E61*7+E62*2+E63*4+E64*8+E65*8+E66*3+E67*2+E68*7+E69*9</f>
        <v>0</v>
      </c>
      <c r="F55" s="117" t="e">
        <f t="shared" si="3"/>
        <v>#DIV/0!</v>
      </c>
      <c r="G55" s="217">
        <f t="shared" ref="G55" si="446">G56*4+G57+G58*3+G59*6+G60*2+G61*7+G62*2+G63*4+G64*8+G65*8+G66*3+G67*2+G68*7+G69*9</f>
        <v>0</v>
      </c>
      <c r="H55" s="115">
        <f t="shared" si="278"/>
        <v>0</v>
      </c>
      <c r="I55" s="217">
        <f t="shared" ref="I55" si="447">I56*4+I57+I58*3+I59*6+I60*2+I61*7+I62*2+I63*4+I64*8+I65*8+I66*3+I67*2+I68*7+I69*9</f>
        <v>0</v>
      </c>
      <c r="J55" s="117">
        <f t="shared" si="18"/>
        <v>0</v>
      </c>
      <c r="K55" s="217">
        <f t="shared" ref="K55" si="448">K56*4+K57+K58*3+K59*6+K60*2+K61*7+K62*2+K63*4+K64*8+K65*8+K66*3+K67*2+K68*7+K69*9</f>
        <v>0</v>
      </c>
      <c r="L55" s="115">
        <f t="shared" si="278"/>
        <v>0</v>
      </c>
      <c r="M55" s="217">
        <f t="shared" ref="M55" si="449">M56*4+M57+M58*3+M59*6+M60*2+M61*7+M62*2+M63*4+M64*8+M65*8+M66*3+M67*2+M68*7+M69*9</f>
        <v>0</v>
      </c>
      <c r="N55" s="117" t="e">
        <f t="shared" si="138"/>
        <v>#DIV/0!</v>
      </c>
      <c r="O55" s="217">
        <f t="shared" ref="O55" si="450">O56*4+O57+O58*3+O59*6+O60*2+O61*7+O62*2+O63*4+O64*8+O65*8+O66*3+O67*2+O68*7+O69*9</f>
        <v>0</v>
      </c>
      <c r="P55" s="115">
        <f t="shared" si="278"/>
        <v>0</v>
      </c>
      <c r="Q55" s="217">
        <f t="shared" ref="Q55" si="451">Q56*4+Q57+Q58*3+Q59*6+Q60*2+Q61*7+Q62*2+Q63*4+Q64*8+Q65*8+Q66*3+Q67*2+Q68*7+Q69*9</f>
        <v>0</v>
      </c>
      <c r="R55" s="117">
        <f t="shared" si="19"/>
        <v>0</v>
      </c>
      <c r="S55" s="217">
        <f t="shared" ref="S55" si="452">S56*4+S57+S58*3+S59*6+S60*2+S61*7+S62*2+S63*4+S64*8+S65*8+S66*3+S67*2+S68*7+S69*9</f>
        <v>0</v>
      </c>
      <c r="T55" s="115">
        <f t="shared" si="278"/>
        <v>0</v>
      </c>
      <c r="U55" s="217">
        <f t="shared" ref="U55" si="453">U56*4+U57+U58*3+U59*6+U60*2+U61*7+U62*2+U63*4+U64*8+U65*8+U66*3+U67*2+U68*7+U69*9</f>
        <v>0</v>
      </c>
      <c r="V55" s="117">
        <f t="shared" si="20"/>
        <v>0</v>
      </c>
      <c r="W55" s="217">
        <f t="shared" ref="W55" si="454">W56*4+W57+W58*3+W59*6+W60*2+W61*7+W62*2+W63*4+W64*8+W65*8+W66*3+W67*2+W68*7+W69*9</f>
        <v>0</v>
      </c>
      <c r="X55" s="115">
        <f t="shared" si="278"/>
        <v>0</v>
      </c>
      <c r="Y55" s="217">
        <f t="shared" ref="Y55" si="455">Y56*4+Y57+Y58*3+Y59*6+Y60*2+Y61*7+Y62*2+Y63*4+Y64*8+Y65*8+Y66*3+Y67*2+Y68*7+Y69*9</f>
        <v>0</v>
      </c>
      <c r="Z55" s="117">
        <f t="shared" si="21"/>
        <v>0</v>
      </c>
      <c r="AA55" s="217">
        <f t="shared" ref="AA55:AB55" si="456">AA56*4+AA57+AA58*3+AA59*6+AA60*2+AA61*7+AA62*2+AA63*4+AA64*8+AA65*8+AA66*3+AA67*2+AA68*7+AA69*9</f>
        <v>9856</v>
      </c>
      <c r="AB55" s="217">
        <f t="shared" si="456"/>
        <v>9856</v>
      </c>
      <c r="AC55" s="217">
        <f t="shared" ref="AC55" si="457">AC56*4+AC57+AC58*3+AC59*6+AC60*2+AC61*7+AC62*2+AC63*4+AC64*8+AC65*8+AC66*3+AC67*2+AC68*7+AC69*9</f>
        <v>11508</v>
      </c>
      <c r="AD55" s="117">
        <f t="shared" si="22"/>
        <v>116.76136363636364</v>
      </c>
      <c r="AE55" s="217">
        <f t="shared" ref="AE55:AF55" si="458">AE56*4+AE57+AE58*3+AE59*6+AE60*2+AE61*7+AE62*2+AE63*4+AE64*8+AE65*8+AE66*3+AE67*2+AE68*7+AE69*9</f>
        <v>4832</v>
      </c>
      <c r="AF55" s="217">
        <f t="shared" si="458"/>
        <v>4832</v>
      </c>
      <c r="AG55" s="217">
        <f t="shared" ref="AG55" si="459">AG56*4+AG57+AG58*3+AG59*6+AG60*2+AG61*7+AG62*2+AG63*4+AG64*8+AG65*8+AG66*3+AG67*2+AG68*7+AG69*9</f>
        <v>12457</v>
      </c>
      <c r="AH55" s="117">
        <f t="shared" si="23"/>
        <v>257.80215231788077</v>
      </c>
      <c r="AI55" s="217">
        <f t="shared" ref="AI55" si="460">AI56*4+AI57+AI58*3+AI59*6+AI60*2+AI61*7+AI62*2+AI63*4+AI64*8+AI65*8+AI66*3+AI67*2+AI68*7+AI69*9</f>
        <v>0</v>
      </c>
      <c r="AJ55" s="115">
        <f t="shared" si="278"/>
        <v>0</v>
      </c>
      <c r="AK55" s="217">
        <f t="shared" ref="AK55" si="461">AK56*4+AK57+AK58*3+AK59*6+AK60*2+AK61*7+AK62*2+AK63*4+AK64*8+AK65*8+AK66*3+AK67*2+AK68*7+AK69*9</f>
        <v>0</v>
      </c>
      <c r="AL55" s="117">
        <f t="shared" si="24"/>
        <v>0</v>
      </c>
      <c r="AM55" s="217">
        <f t="shared" ref="AM55:AN55" si="462">AM56*4+AM57+AM58*3+AM59*6+AM60*2+AM61*7+AM62*2+AM63*4+AM64*8+AM65*8+AM66*3+AM67*2+AM68*7+AM69*9</f>
        <v>3798</v>
      </c>
      <c r="AN55" s="217">
        <f t="shared" si="462"/>
        <v>3798</v>
      </c>
      <c r="AO55" s="217">
        <f t="shared" ref="AO55" si="463">AO56*4+AO57+AO58*3+AO59*6+AO60*2+AO61*7+AO62*2+AO63*4+AO64*8+AO65*8+AO66*3+AO67*2+AO68*7+AO69*9</f>
        <v>7512</v>
      </c>
      <c r="AP55" s="117">
        <f t="shared" si="25"/>
        <v>197.78830963665087</v>
      </c>
      <c r="AQ55" s="217">
        <f t="shared" ref="AQ55" si="464">AQ56*4+AQ57+AQ58*3+AQ59*6+AQ60*2+AQ61*7+AQ62*2+AQ63*4+AQ64*8+AQ65*8+AQ66*3+AQ67*2+AQ68*7+AQ69*9</f>
        <v>0</v>
      </c>
      <c r="AR55" s="115">
        <f t="shared" si="278"/>
        <v>0</v>
      </c>
      <c r="AS55" s="217">
        <f t="shared" ref="AS55" si="465">AS56*4+AS57+AS58*3+AS59*6+AS60*2+AS61*7+AS62*2+AS63*4+AS64*8+AS65*8+AS66*3+AS67*2+AS68*7+AS69*9</f>
        <v>0</v>
      </c>
      <c r="AT55" s="117">
        <f t="shared" si="26"/>
        <v>0</v>
      </c>
      <c r="AU55" s="217">
        <f t="shared" ref="AU55:AV55" si="466">AU56*4+AU57+AU58*3+AU59*6+AU60*2+AU61*7+AU62*2+AU63*4+AU64*8+AU65*8+AU66*3+AU67*2+AU68*7+AU69*9</f>
        <v>43453</v>
      </c>
      <c r="AV55" s="217">
        <f t="shared" si="466"/>
        <v>43453</v>
      </c>
      <c r="AW55" s="217">
        <f t="shared" ref="AW55" si="467">AW56*4+AW57+AW58*3+AW59*6+AW60*2+AW61*7+AW62*2+AW63*4+AW64*8+AW65*8+AW66*3+AW67*2+AW68*7+AW69*9</f>
        <v>59317</v>
      </c>
      <c r="AX55" s="117">
        <f t="shared" si="27"/>
        <v>136.50841138701585</v>
      </c>
      <c r="AY55" s="217">
        <f t="shared" ref="AY55:AZ55" si="468">AY56*4+AY57+AY58*3+AY59*6+AY60*2+AY61*7+AY62*2+AY63*4+AY64*8+AY65*8+AY66*3+AY67*2+AY68*7+AY69*9</f>
        <v>24298.5</v>
      </c>
      <c r="AZ55" s="217">
        <f t="shared" si="468"/>
        <v>24298.5</v>
      </c>
      <c r="BA55" s="217">
        <f t="shared" ref="BA55" si="469">BA56*4+BA57+BA58*3+BA59*6+BA60*2+BA61*7+BA62*2+BA63*4+BA64*8+BA65*8+BA66*3+BA67*2+BA68*7+BA69*9</f>
        <v>50813</v>
      </c>
      <c r="BB55" s="117">
        <f t="shared" si="28"/>
        <v>209.11990452085521</v>
      </c>
      <c r="BC55" s="217">
        <f t="shared" ref="BC55:BD55" si="470">BC56*4+BC57+BC58*3+BC59*6+BC60*2+BC61*7+BC62*2+BC63*4+BC64*8+BC65*8+BC66*3+BC67*2+BC68*7+BC69*9</f>
        <v>35792</v>
      </c>
      <c r="BD55" s="217">
        <f t="shared" si="470"/>
        <v>35792</v>
      </c>
      <c r="BE55" s="217">
        <f t="shared" ref="BE55" si="471">BE56*4+BE57+BE58*3+BE59*6+BE60*2+BE61*7+BE62*2+BE63*4+BE64*8+BE65*8+BE66*3+BE67*2+BE68*7+BE69*9</f>
        <v>44691</v>
      </c>
      <c r="BF55" s="117">
        <f t="shared" si="29"/>
        <v>124.86309789897183</v>
      </c>
      <c r="BG55" s="217">
        <f t="shared" ref="BG55:BH55" si="472">BG56*4+BG57+BG58*3+BG59*6+BG60*2+BG61*7+BG62*2+BG63*4+BG64*8+BG65*8+BG66*3+BG67*2+BG68*7+BG69*9</f>
        <v>21308</v>
      </c>
      <c r="BH55" s="217">
        <f t="shared" si="472"/>
        <v>21308</v>
      </c>
      <c r="BI55" s="217">
        <f t="shared" ref="BI55" si="473">BI56*4+BI57+BI58*3+BI59*6+BI60*2+BI61*7+BI62*2+BI63*4+BI64*8+BI65*8+BI66*3+BI67*2+BI68*7+BI69*9</f>
        <v>29146</v>
      </c>
      <c r="BJ55" s="117">
        <f t="shared" si="30"/>
        <v>136.78430636380702</v>
      </c>
      <c r="BK55" s="217">
        <f t="shared" ref="BK55" si="474">BK56*4+BK57+BK58*3+BK59*6+BK60*2+BK61*7+BK62*2+BK63*4+BK64*8+BK65*8+BK66*3+BK67*2+BK68*7+BK69*9</f>
        <v>0</v>
      </c>
      <c r="BL55" s="115">
        <f t="shared" si="278"/>
        <v>0</v>
      </c>
      <c r="BM55" s="217">
        <f t="shared" ref="BM55" si="475">BM56*4+BM57+BM58*3+BM59*6+BM60*2+BM61*7+BM62*2+BM63*4+BM64*8+BM65*8+BM66*3+BM67*2+BM68*7+BM69*9</f>
        <v>0</v>
      </c>
      <c r="BN55" s="117">
        <f t="shared" si="31"/>
        <v>0</v>
      </c>
      <c r="BO55" s="217">
        <f t="shared" ref="BO55" si="476">BO56*4+BO57+BO58*3+BO59*6+BO60*2+BO61*7+BO62*2+BO63*4+BO64*8+BO65*8+BO66*3+BO67*2+BO68*7+BO69*9</f>
        <v>0</v>
      </c>
      <c r="BP55" s="115">
        <f t="shared" si="278"/>
        <v>0</v>
      </c>
      <c r="BQ55" s="217">
        <f t="shared" ref="BQ55" si="477">BQ56*4+BQ57+BQ58*3+BQ59*6+BQ60*2+BQ61*7+BQ62*2+BQ63*4+BQ64*8+BQ65*8+BQ66*3+BQ67*2+BQ68*7+BQ69*9</f>
        <v>0</v>
      </c>
      <c r="BR55" s="117">
        <f t="shared" si="32"/>
        <v>0</v>
      </c>
      <c r="BS55" s="217">
        <f t="shared" ref="BS55" si="478">BS56*4+BS57+BS58*3+BS59*6+BS60*2+BS61*7+BS62*2+BS63*4+BS64*8+BS65*8+BS66*3+BS67*2+BS68*7+BS69*9</f>
        <v>0</v>
      </c>
      <c r="BT55" s="115">
        <f t="shared" si="276"/>
        <v>0</v>
      </c>
      <c r="BU55" s="217">
        <f t="shared" ref="BU55" si="479">BU56*4+BU57+BU58*3+BU59*6+BU60*2+BU61*7+BU62*2+BU63*4+BU64*8+BU65*8+BU66*3+BU67*2+BU68*7+BU69*9</f>
        <v>0</v>
      </c>
      <c r="BV55" s="117">
        <f t="shared" si="33"/>
        <v>0</v>
      </c>
      <c r="BW55" s="217">
        <f t="shared" ref="BW55" si="480">BW56*4+BW57+BW58*3+BW59*6+BW60*2+BW61*7+BW62*2+BW63*4+BW64*8+BW65*8+BW66*3+BW67*2+BW68*7+BW69*9</f>
        <v>0</v>
      </c>
      <c r="BX55" s="115">
        <f t="shared" si="276"/>
        <v>0</v>
      </c>
      <c r="BY55" s="217">
        <f t="shared" ref="BY55" si="481">BY56*4+BY57+BY58*3+BY59*6+BY60*2+BY61*7+BY62*2+BY63*4+BY64*8+BY65*8+BY66*3+BY67*2+BY68*7+BY69*9</f>
        <v>0</v>
      </c>
      <c r="BZ55" s="117">
        <f t="shared" si="34"/>
        <v>0</v>
      </c>
      <c r="CA55" s="217">
        <f t="shared" ref="CA55" si="482">CA56*4+CA57+CA58*3+CA59*6+CA60*2+CA61*7+CA62*2+CA63*4+CA64*8+CA65*8+CA66*3+CA67*2+CA68*7+CA69*9</f>
        <v>0</v>
      </c>
      <c r="CB55" s="115">
        <f t="shared" si="276"/>
        <v>0</v>
      </c>
      <c r="CC55" s="217">
        <f t="shared" ref="CC55" si="483">CC56*4+CC57+CC58*3+CC59*6+CC60*2+CC61*7+CC62*2+CC63*4+CC64*8+CC65*8+CC66*3+CC67*2+CC68*7+CC69*9</f>
        <v>0</v>
      </c>
      <c r="CD55" s="117">
        <f t="shared" si="35"/>
        <v>0</v>
      </c>
      <c r="CE55" s="217">
        <f t="shared" ref="CE55" si="484">CE56*4+CE57+CE58*3+CE59*6+CE60*2+CE61*7+CE62*2+CE63*4+CE64*8+CE65*8+CE66*3+CE67*2+CE68*7+CE69*9</f>
        <v>0</v>
      </c>
      <c r="CF55" s="115">
        <f t="shared" si="276"/>
        <v>0</v>
      </c>
      <c r="CG55" s="217">
        <f t="shared" ref="CG55" si="485">CG56*4+CG57+CG58*3+CG59*6+CG60*2+CG61*7+CG62*2+CG63*4+CG64*8+CG65*8+CG66*3+CG67*2+CG68*7+CG69*9</f>
        <v>0</v>
      </c>
      <c r="CH55" s="117">
        <f t="shared" si="36"/>
        <v>0</v>
      </c>
      <c r="CI55" s="217">
        <f t="shared" ref="CI55" si="486">CI56*4+CI57+CI58*3+CI59*6+CI60*2+CI61*7+CI62*2+CI63*4+CI64*8+CI65*8+CI66*3+CI67*2+CI68*7+CI69*9</f>
        <v>0</v>
      </c>
      <c r="CJ55" s="115">
        <f t="shared" si="276"/>
        <v>0</v>
      </c>
      <c r="CK55" s="217">
        <f t="shared" ref="CK55" si="487">CK56*4+CK57+CK58*3+CK59*6+CK60*2+CK61*7+CK62*2+CK63*4+CK64*8+CK65*8+CK66*3+CK67*2+CK68*7+CK69*9</f>
        <v>0</v>
      </c>
      <c r="CL55" s="117">
        <f t="shared" si="37"/>
        <v>0</v>
      </c>
      <c r="CM55" s="217">
        <f t="shared" ref="CM55" si="488">CM56*4+CM57+CM58*3+CM59*6+CM60*2+CM61*7+CM62*2+CM63*4+CM64*8+CM65*8+CM66*3+CM67*2+CM68*7+CM69*9</f>
        <v>0</v>
      </c>
      <c r="CN55" s="115">
        <f t="shared" si="276"/>
        <v>0</v>
      </c>
      <c r="CO55" s="217">
        <f t="shared" ref="CO55" si="489">CO56*4+CO57+CO58*3+CO59*6+CO60*2+CO61*7+CO62*2+CO63*4+CO64*8+CO65*8+CO66*3+CO67*2+CO68*7+CO69*9</f>
        <v>0</v>
      </c>
      <c r="CP55" s="117">
        <f t="shared" si="38"/>
        <v>0</v>
      </c>
      <c r="CQ55" s="217">
        <f t="shared" ref="CQ55" si="490">CQ56*4+CQ57+CQ58*3+CQ59*6+CQ60*2+CQ61*7+CQ62*2+CQ63*4+CQ64*8+CQ65*8+CQ66*3+CQ67*2+CQ68*7+CQ69*9</f>
        <v>0</v>
      </c>
      <c r="CR55" s="115">
        <f t="shared" si="276"/>
        <v>0</v>
      </c>
      <c r="CS55" s="217">
        <f t="shared" ref="CS55" si="491">CS56*4+CS57+CS58*3+CS59*6+CS60*2+CS61*7+CS62*2+CS63*4+CS64*8+CS65*8+CS66*3+CS67*2+CS68*7+CS69*9</f>
        <v>0</v>
      </c>
      <c r="CT55" s="117">
        <f t="shared" si="39"/>
        <v>0</v>
      </c>
      <c r="CU55" s="217">
        <f t="shared" ref="CU55" si="492">CU56*4+CU57+CU58*3+CU59*6+CU60*2+CU61*7+CU62*2+CU63*4+CU64*8+CU65*8+CU66*3+CU67*2+CU68*7+CU69*9</f>
        <v>0</v>
      </c>
      <c r="CV55" s="115">
        <f t="shared" si="276"/>
        <v>0</v>
      </c>
      <c r="CW55" s="217">
        <f t="shared" ref="CW55" si="493">CW56*4+CW57+CW58*3+CW59*6+CW60*2+CW61*7+CW62*2+CW63*4+CW64*8+CW65*8+CW66*3+CW67*2+CW68*7+CW69*9</f>
        <v>0</v>
      </c>
      <c r="CX55" s="117">
        <f t="shared" si="40"/>
        <v>0</v>
      </c>
      <c r="CY55" s="217">
        <f t="shared" ref="CY55" si="494">CY56*4+CY57+CY58*3+CY59*6+CY60*2+CY61*7+CY62*2+CY63*4+CY64*8+CY65*8+CY66*3+CY67*2+CY68*7+CY69*9</f>
        <v>0</v>
      </c>
      <c r="CZ55" s="115">
        <f t="shared" si="276"/>
        <v>0</v>
      </c>
      <c r="DA55" s="217">
        <f t="shared" ref="DA55" si="495">DA56*4+DA57+DA58*3+DA59*6+DA60*2+DA61*7+DA62*2+DA63*4+DA64*8+DA65*8+DA66*3+DA67*2+DA68*7+DA69*9</f>
        <v>0</v>
      </c>
      <c r="DB55" s="117">
        <f t="shared" si="41"/>
        <v>0</v>
      </c>
      <c r="DC55" s="217">
        <f t="shared" ref="DC55" si="496">DC56*4+DC57+DC58*3+DC59*6+DC60*2+DC61*7+DC62*2+DC63*4+DC64*8+DC65*8+DC66*3+DC67*2+DC68*7+DC69*9</f>
        <v>0</v>
      </c>
      <c r="DD55" s="115">
        <f t="shared" si="276"/>
        <v>0</v>
      </c>
      <c r="DE55" s="217">
        <f t="shared" ref="DE55" si="497">DE56*4+DE57+DE58*3+DE59*6+DE60*2+DE61*7+DE62*2+DE63*4+DE64*8+DE65*8+DE66*3+DE67*2+DE68*7+DE69*9</f>
        <v>0</v>
      </c>
      <c r="DF55" s="117">
        <f t="shared" si="42"/>
        <v>0</v>
      </c>
      <c r="DG55" s="217">
        <f t="shared" ref="DG55" si="498">DG56*4+DG57+DG58*3+DG59*6+DG60*2+DG61*7+DG62*2+DG63*4+DG64*8+DG65*8+DG66*3+DG67*2+DG68*7+DG69*9</f>
        <v>0</v>
      </c>
      <c r="DH55" s="115">
        <f t="shared" si="276"/>
        <v>0</v>
      </c>
      <c r="DI55" s="217">
        <f t="shared" ref="DI55" si="499">DI56*4+DI57+DI58*3+DI59*6+DI60*2+DI61*7+DI62*2+DI63*4+DI64*8+DI65*8+DI66*3+DI67*2+DI68*7+DI69*9</f>
        <v>0</v>
      </c>
      <c r="DJ55" s="117" t="e">
        <f t="shared" si="139"/>
        <v>#DIV/0!</v>
      </c>
      <c r="DK55" s="217">
        <f t="shared" ref="DK55:DL55" si="500">DK56*4+DK57+DK58*3+DK59*6+DK60*2+DK61*7+DK62*2+DK63*4+DK64*8+DK65*8+DK66*3+DK67*2+DK68*7+DK69*9</f>
        <v>20866</v>
      </c>
      <c r="DL55" s="217">
        <f t="shared" si="500"/>
        <v>20866</v>
      </c>
      <c r="DM55" s="217">
        <f t="shared" ref="DM55" si="501">DM56*4+DM57+DM58*3+DM59*6+DM60*2+DM61*7+DM62*2+DM63*4+DM64*8+DM65*8+DM66*3+DM67*2+DM68*7+DM69*9</f>
        <v>17940</v>
      </c>
      <c r="DN55" s="117">
        <f t="shared" si="43"/>
        <v>85.977187769577299</v>
      </c>
      <c r="DO55" s="217">
        <f t="shared" ref="DO55:DP55" si="502">DO56*4+DO57+DO58*3+DO59*6+DO60*2+DO61*7+DO62*2+DO63*4+DO64*8+DO65*8+DO66*3+DO67*2+DO68*7+DO69*9</f>
        <v>48030</v>
      </c>
      <c r="DP55" s="217">
        <f t="shared" si="502"/>
        <v>48030</v>
      </c>
      <c r="DQ55" s="217">
        <f t="shared" ref="DQ55" si="503">DQ56*4+DQ57+DQ58*3+DQ59*6+DQ60*2+DQ61*7+DQ62*2+DQ63*4+DQ64*8+DQ65*8+DQ66*3+DQ67*2+DQ68*7+DQ69*9</f>
        <v>66583</v>
      </c>
      <c r="DR55" s="117">
        <f t="shared" si="44"/>
        <v>138.62794087028939</v>
      </c>
      <c r="DS55" s="217">
        <f t="shared" ref="DS55" si="504">DS56*4+DS57+DS58*3+DS59*6+DS60*2+DS61*7+DS62*2+DS63*4+DS64*8+DS65*8+DS66*3+DS67*2+DS68*7+DS69*9</f>
        <v>0</v>
      </c>
      <c r="DT55" s="115">
        <f t="shared" si="276"/>
        <v>0</v>
      </c>
      <c r="DU55" s="217">
        <f t="shared" ref="DU55" si="505">DU56*4+DU57+DU58*3+DU59*6+DU60*2+DU61*7+DU62*2+DU63*4+DU64*8+DU65*8+DU66*3+DU67*2+DU68*7+DU69*9</f>
        <v>0</v>
      </c>
      <c r="DV55" s="117" t="e">
        <f t="shared" si="140"/>
        <v>#DIV/0!</v>
      </c>
      <c r="DW55" s="217">
        <f t="shared" ref="DW55" si="506">DW56*4+DW57+DW58*3+DW59*6+DW60*2+DW61*7+DW62*2+DW63*4+DW64*8+DW65*8+DW66*3+DW67*2+DW68*7+DW69*9</f>
        <v>0</v>
      </c>
      <c r="DX55" s="115">
        <f t="shared" si="279"/>
        <v>0</v>
      </c>
      <c r="DY55" s="217">
        <f t="shared" ref="DY55" si="507">DY56*4+DY57+DY58*3+DY59*6+DY60*2+DY61*7+DY62*2+DY63*4+DY64*8+DY65*8+DY66*3+DY67*2+DY68*7+DY69*9</f>
        <v>0</v>
      </c>
      <c r="DZ55" s="117" t="e">
        <f t="shared" si="142"/>
        <v>#DIV/0!</v>
      </c>
      <c r="EA55" s="217"/>
      <c r="EB55" s="115">
        <f t="shared" si="279"/>
        <v>0</v>
      </c>
      <c r="EC55" s="217">
        <f t="shared" ref="EC55" si="508">EC56*4+EC57+EC58*3+EC59*6+EC60*2+EC61*7+EC62*2+EC63*4+EC64*8+EC65*8+EC66*3+EC67*2+EC68*7+EC69*9</f>
        <v>0</v>
      </c>
      <c r="ED55" s="117">
        <f t="shared" si="45"/>
        <v>0</v>
      </c>
      <c r="EE55" s="217">
        <f t="shared" ref="EE55:EF55" si="509">EE56*4+EE57+EE58*3+EE59*6+EE60*2+EE61*7+EE62*2+EE63*4+EE64*8+EE65*8+EE66*3+EE67*2+EE68*7+EE69*9</f>
        <v>12409</v>
      </c>
      <c r="EF55" s="217">
        <f t="shared" si="509"/>
        <v>12409</v>
      </c>
      <c r="EG55" s="217">
        <f t="shared" ref="EG55" si="510">EG56*4+EG57+EG58*3+EG59*6+EG60*2+EG61*7+EG62*2+EG63*4+EG64*8+EG65*8+EG66*3+EG67*2+EG68*7+EG69*9</f>
        <v>13961</v>
      </c>
      <c r="EH55" s="117">
        <f t="shared" si="46"/>
        <v>112.5070513337094</v>
      </c>
      <c r="EI55" s="217">
        <f t="shared" ref="EI55" si="511">EI56*4+EI57+EI58*3+EI59*6+EI60*2+EI61*7+EI62*2+EI63*4+EI64*8+EI65*8+EI66*3+EI67*2+EI68*7+EI69*9</f>
        <v>0</v>
      </c>
      <c r="EJ55" s="115">
        <f t="shared" si="279"/>
        <v>0</v>
      </c>
      <c r="EK55" s="217">
        <f t="shared" ref="EK55" si="512">EK56*4+EK57+EK58*3+EK59*6+EK60*2+EK61*7+EK62*2+EK63*4+EK64*8+EK65*8+EK66*3+EK67*2+EK68*7+EK69*9</f>
        <v>0</v>
      </c>
      <c r="EL55" s="117">
        <f t="shared" si="47"/>
        <v>0</v>
      </c>
      <c r="EM55" s="217">
        <f t="shared" ref="EM55" si="513">EM56*4+EM57+EM58*3+EM59*6+EM60*2+EM61*7+EM62*2+EM63*4+EM64*8+EM65*8+EM66*3+EM67*2+EM68*7+EM69*9</f>
        <v>0</v>
      </c>
      <c r="EN55" s="115">
        <f t="shared" si="279"/>
        <v>0</v>
      </c>
      <c r="EO55" s="217">
        <f t="shared" ref="EO55" si="514">EO56*4+EO57+EO58*3+EO59*6+EO60*2+EO61*7+EO62*2+EO63*4+EO64*8+EO65*8+EO66*3+EO67*2+EO68*7+EO69*9</f>
        <v>0</v>
      </c>
      <c r="EP55" s="117">
        <f t="shared" si="48"/>
        <v>0</v>
      </c>
      <c r="EQ55" s="217">
        <f t="shared" ref="EQ55" si="515">EQ56*4+EQ57+EQ58*3+EQ59*6+EQ60*2+EQ61*7+EQ62*2+EQ63*4+EQ64*8+EQ65*8+EQ66*3+EQ67*2+EQ68*7+EQ69*9</f>
        <v>0</v>
      </c>
      <c r="ER55" s="115">
        <f t="shared" si="279"/>
        <v>0</v>
      </c>
      <c r="ES55" s="217">
        <f t="shared" ref="ES55" si="516">ES56*4+ES57+ES58*3+ES59*6+ES60*2+ES61*7+ES62*2+ES63*4+ES64*8+ES65*8+ES66*3+ES67*2+ES68*7+ES69*9</f>
        <v>0</v>
      </c>
      <c r="ET55" s="117">
        <f t="shared" si="49"/>
        <v>0</v>
      </c>
      <c r="EU55" s="217">
        <f t="shared" ref="EU55" si="517">EU56*4+EU57+EU58*3+EU59*6+EU60*2+EU61*7+EU62*2+EU63*4+EU64*8+EU65*8+EU66*3+EU67*2+EU68*7+EU69*9</f>
        <v>0</v>
      </c>
      <c r="EV55" s="115">
        <f t="shared" si="279"/>
        <v>0</v>
      </c>
      <c r="EW55" s="217">
        <f t="shared" ref="EW55" si="518">EW56*4+EW57+EW58*3+EW59*6+EW60*2+EW61*7+EW62*2+EW63*4+EW64*8+EW65*8+EW66*3+EW67*2+EW68*7+EW69*9</f>
        <v>0</v>
      </c>
      <c r="EX55" s="117">
        <f t="shared" si="50"/>
        <v>0</v>
      </c>
      <c r="EY55" s="152">
        <f t="shared" si="51"/>
        <v>224642.5</v>
      </c>
      <c r="EZ55" s="152">
        <f t="shared" si="17"/>
        <v>224642.5</v>
      </c>
      <c r="FA55" s="152">
        <f t="shared" si="17"/>
        <v>313928</v>
      </c>
      <c r="FB55" s="152">
        <f t="shared" si="52"/>
        <v>139.74559577996149</v>
      </c>
    </row>
    <row r="56" spans="1:158" ht="15.75" x14ac:dyDescent="0.2">
      <c r="A56" s="183" t="s">
        <v>157</v>
      </c>
      <c r="B56" s="170" t="s">
        <v>339</v>
      </c>
      <c r="C56" s="96"/>
      <c r="D56" s="97">
        <f t="shared" si="277"/>
        <v>0</v>
      </c>
      <c r="E56" s="98"/>
      <c r="F56" s="99" t="e">
        <f t="shared" si="3"/>
        <v>#DIV/0!</v>
      </c>
      <c r="G56" s="214"/>
      <c r="H56" s="97">
        <f t="shared" si="278"/>
        <v>0</v>
      </c>
      <c r="I56" s="214"/>
      <c r="J56" s="99">
        <f t="shared" si="18"/>
        <v>0</v>
      </c>
      <c r="K56" s="214"/>
      <c r="L56" s="97">
        <f t="shared" si="278"/>
        <v>0</v>
      </c>
      <c r="M56" s="214"/>
      <c r="N56" s="99" t="e">
        <f t="shared" si="138"/>
        <v>#DIV/0!</v>
      </c>
      <c r="O56" s="214"/>
      <c r="P56" s="97">
        <f t="shared" si="278"/>
        <v>0</v>
      </c>
      <c r="Q56" s="214"/>
      <c r="R56" s="99">
        <f t="shared" si="19"/>
        <v>0</v>
      </c>
      <c r="S56" s="214"/>
      <c r="T56" s="97">
        <f t="shared" si="278"/>
        <v>0</v>
      </c>
      <c r="U56" s="214"/>
      <c r="V56" s="99">
        <f t="shared" si="20"/>
        <v>0</v>
      </c>
      <c r="W56" s="214"/>
      <c r="X56" s="97">
        <f t="shared" si="278"/>
        <v>0</v>
      </c>
      <c r="Y56" s="214"/>
      <c r="Z56" s="99">
        <f t="shared" si="21"/>
        <v>0</v>
      </c>
      <c r="AA56" s="214">
        <v>165</v>
      </c>
      <c r="AB56" s="97">
        <f t="shared" si="278"/>
        <v>165</v>
      </c>
      <c r="AC56" s="214">
        <v>78</v>
      </c>
      <c r="AD56" s="99">
        <f t="shared" si="22"/>
        <v>47.272727272727273</v>
      </c>
      <c r="AE56" s="214"/>
      <c r="AF56" s="97">
        <f t="shared" si="278"/>
        <v>0</v>
      </c>
      <c r="AG56" s="214">
        <v>11</v>
      </c>
      <c r="AH56" s="99">
        <f t="shared" si="23"/>
        <v>0</v>
      </c>
      <c r="AI56" s="214"/>
      <c r="AJ56" s="97">
        <f t="shared" si="278"/>
        <v>0</v>
      </c>
      <c r="AK56" s="214"/>
      <c r="AL56" s="99">
        <f t="shared" si="24"/>
        <v>0</v>
      </c>
      <c r="AM56" s="214"/>
      <c r="AN56" s="97">
        <f t="shared" si="278"/>
        <v>0</v>
      </c>
      <c r="AO56" s="214">
        <v>5</v>
      </c>
      <c r="AP56" s="99">
        <f t="shared" si="25"/>
        <v>0</v>
      </c>
      <c r="AQ56" s="214"/>
      <c r="AR56" s="97">
        <f t="shared" si="278"/>
        <v>0</v>
      </c>
      <c r="AS56" s="214"/>
      <c r="AT56" s="99">
        <f t="shared" si="26"/>
        <v>0</v>
      </c>
      <c r="AU56" s="214">
        <v>380</v>
      </c>
      <c r="AV56" s="214">
        <v>380</v>
      </c>
      <c r="AW56" s="214">
        <v>402</v>
      </c>
      <c r="AX56" s="99">
        <f t="shared" si="27"/>
        <v>105.78947368421052</v>
      </c>
      <c r="AY56" s="214">
        <v>3</v>
      </c>
      <c r="AZ56" s="214">
        <v>3</v>
      </c>
      <c r="BA56" s="214">
        <v>51</v>
      </c>
      <c r="BB56" s="99">
        <f t="shared" si="28"/>
        <v>1700</v>
      </c>
      <c r="BC56" s="214">
        <v>386</v>
      </c>
      <c r="BD56" s="97">
        <v>386</v>
      </c>
      <c r="BE56" s="214">
        <v>418</v>
      </c>
      <c r="BF56" s="99">
        <f t="shared" si="29"/>
        <v>108.29015544041451</v>
      </c>
      <c r="BG56" s="214">
        <v>399</v>
      </c>
      <c r="BH56" s="97">
        <v>399</v>
      </c>
      <c r="BI56" s="214">
        <v>513</v>
      </c>
      <c r="BJ56" s="99">
        <f t="shared" si="30"/>
        <v>128.57142857142858</v>
      </c>
      <c r="BK56" s="214"/>
      <c r="BL56" s="97">
        <f t="shared" si="278"/>
        <v>0</v>
      </c>
      <c r="BM56" s="214"/>
      <c r="BN56" s="99">
        <f t="shared" si="31"/>
        <v>0</v>
      </c>
      <c r="BO56" s="214"/>
      <c r="BP56" s="97">
        <f t="shared" si="278"/>
        <v>0</v>
      </c>
      <c r="BQ56" s="214"/>
      <c r="BR56" s="99">
        <f t="shared" si="32"/>
        <v>0</v>
      </c>
      <c r="BS56" s="214"/>
      <c r="BT56" s="97">
        <f t="shared" si="276"/>
        <v>0</v>
      </c>
      <c r="BU56" s="214"/>
      <c r="BV56" s="99">
        <f t="shared" si="33"/>
        <v>0</v>
      </c>
      <c r="BW56" s="214"/>
      <c r="BX56" s="97">
        <f t="shared" si="276"/>
        <v>0</v>
      </c>
      <c r="BY56" s="214"/>
      <c r="BZ56" s="99">
        <f t="shared" si="34"/>
        <v>0</v>
      </c>
      <c r="CA56" s="214"/>
      <c r="CB56" s="97">
        <f t="shared" si="276"/>
        <v>0</v>
      </c>
      <c r="CC56" s="214"/>
      <c r="CD56" s="99">
        <f t="shared" si="35"/>
        <v>0</v>
      </c>
      <c r="CE56" s="214"/>
      <c r="CF56" s="97">
        <f t="shared" si="276"/>
        <v>0</v>
      </c>
      <c r="CG56" s="214"/>
      <c r="CH56" s="99">
        <f t="shared" si="36"/>
        <v>0</v>
      </c>
      <c r="CI56" s="214"/>
      <c r="CJ56" s="97">
        <f t="shared" si="276"/>
        <v>0</v>
      </c>
      <c r="CK56" s="214"/>
      <c r="CL56" s="99">
        <f t="shared" si="37"/>
        <v>0</v>
      </c>
      <c r="CM56" s="214"/>
      <c r="CN56" s="97">
        <f t="shared" si="276"/>
        <v>0</v>
      </c>
      <c r="CO56" s="214"/>
      <c r="CP56" s="99">
        <f t="shared" si="38"/>
        <v>0</v>
      </c>
      <c r="CQ56" s="214"/>
      <c r="CR56" s="97">
        <f t="shared" si="276"/>
        <v>0</v>
      </c>
      <c r="CS56" s="214"/>
      <c r="CT56" s="99">
        <f t="shared" si="39"/>
        <v>0</v>
      </c>
      <c r="CU56" s="214"/>
      <c r="CV56" s="97">
        <f t="shared" si="276"/>
        <v>0</v>
      </c>
      <c r="CW56" s="214"/>
      <c r="CX56" s="99">
        <f t="shared" si="40"/>
        <v>0</v>
      </c>
      <c r="CY56" s="214"/>
      <c r="CZ56" s="97">
        <f t="shared" si="276"/>
        <v>0</v>
      </c>
      <c r="DA56" s="214"/>
      <c r="DB56" s="99">
        <f t="shared" si="41"/>
        <v>0</v>
      </c>
      <c r="DC56" s="214"/>
      <c r="DD56" s="97">
        <f t="shared" si="276"/>
        <v>0</v>
      </c>
      <c r="DE56" s="214"/>
      <c r="DF56" s="99">
        <f t="shared" si="42"/>
        <v>0</v>
      </c>
      <c r="DG56" s="214"/>
      <c r="DH56" s="97">
        <f t="shared" si="276"/>
        <v>0</v>
      </c>
      <c r="DI56" s="214"/>
      <c r="DJ56" s="99" t="e">
        <f t="shared" si="139"/>
        <v>#DIV/0!</v>
      </c>
      <c r="DK56" s="214">
        <v>313</v>
      </c>
      <c r="DL56" s="97">
        <f t="shared" si="276"/>
        <v>313</v>
      </c>
      <c r="DM56" s="214">
        <v>146</v>
      </c>
      <c r="DN56" s="99">
        <f t="shared" si="43"/>
        <v>46.645367412140573</v>
      </c>
      <c r="DO56" s="214">
        <v>82</v>
      </c>
      <c r="DP56" s="97">
        <v>82</v>
      </c>
      <c r="DQ56" s="214">
        <v>155</v>
      </c>
      <c r="DR56" s="99">
        <f t="shared" si="44"/>
        <v>189.02439024390242</v>
      </c>
      <c r="DS56" s="214"/>
      <c r="DT56" s="97">
        <f t="shared" si="276"/>
        <v>0</v>
      </c>
      <c r="DU56" s="214"/>
      <c r="DV56" s="99" t="e">
        <f t="shared" si="140"/>
        <v>#DIV/0!</v>
      </c>
      <c r="DW56" s="214"/>
      <c r="DX56" s="97">
        <f t="shared" si="279"/>
        <v>0</v>
      </c>
      <c r="DY56" s="214"/>
      <c r="DZ56" s="99" t="e">
        <f t="shared" si="142"/>
        <v>#DIV/0!</v>
      </c>
      <c r="EA56" s="214"/>
      <c r="EB56" s="97">
        <f t="shared" si="279"/>
        <v>0</v>
      </c>
      <c r="EC56" s="214"/>
      <c r="ED56" s="99">
        <f t="shared" si="45"/>
        <v>0</v>
      </c>
      <c r="EE56" s="214">
        <v>16</v>
      </c>
      <c r="EF56" s="97">
        <f t="shared" si="279"/>
        <v>16</v>
      </c>
      <c r="EG56" s="214">
        <v>136</v>
      </c>
      <c r="EH56" s="99">
        <f t="shared" si="46"/>
        <v>850</v>
      </c>
      <c r="EI56" s="214"/>
      <c r="EJ56" s="97">
        <f t="shared" si="279"/>
        <v>0</v>
      </c>
      <c r="EK56" s="214"/>
      <c r="EL56" s="99">
        <f t="shared" si="47"/>
        <v>0</v>
      </c>
      <c r="EM56" s="214"/>
      <c r="EN56" s="97">
        <f t="shared" si="279"/>
        <v>0</v>
      </c>
      <c r="EO56" s="214"/>
      <c r="EP56" s="99">
        <f t="shared" si="48"/>
        <v>0</v>
      </c>
      <c r="EQ56" s="214"/>
      <c r="ER56" s="97">
        <f t="shared" si="279"/>
        <v>0</v>
      </c>
      <c r="ES56" s="214"/>
      <c r="ET56" s="99">
        <f t="shared" si="49"/>
        <v>0</v>
      </c>
      <c r="EU56" s="214"/>
      <c r="EV56" s="97">
        <f t="shared" si="279"/>
        <v>0</v>
      </c>
      <c r="EW56" s="214"/>
      <c r="EX56" s="99">
        <f t="shared" si="50"/>
        <v>0</v>
      </c>
      <c r="EY56" s="152">
        <f t="shared" si="51"/>
        <v>1744</v>
      </c>
      <c r="EZ56" s="152">
        <f t="shared" si="17"/>
        <v>1744</v>
      </c>
      <c r="FA56" s="152">
        <f t="shared" si="17"/>
        <v>1915</v>
      </c>
      <c r="FB56" s="152">
        <f t="shared" si="52"/>
        <v>109.80504587155964</v>
      </c>
    </row>
    <row r="57" spans="1:158" ht="47.25" x14ac:dyDescent="0.2">
      <c r="A57" s="183" t="s">
        <v>158</v>
      </c>
      <c r="B57" s="170" t="s">
        <v>339</v>
      </c>
      <c r="C57" s="96"/>
      <c r="D57" s="97">
        <f t="shared" si="277"/>
        <v>0</v>
      </c>
      <c r="E57" s="98"/>
      <c r="F57" s="99" t="e">
        <f t="shared" si="3"/>
        <v>#DIV/0!</v>
      </c>
      <c r="G57" s="214"/>
      <c r="H57" s="97">
        <f t="shared" si="278"/>
        <v>0</v>
      </c>
      <c r="I57" s="214"/>
      <c r="J57" s="99">
        <f t="shared" si="18"/>
        <v>0</v>
      </c>
      <c r="K57" s="214"/>
      <c r="L57" s="97">
        <f t="shared" si="278"/>
        <v>0</v>
      </c>
      <c r="M57" s="214"/>
      <c r="N57" s="99" t="e">
        <f t="shared" si="138"/>
        <v>#DIV/0!</v>
      </c>
      <c r="O57" s="214"/>
      <c r="P57" s="97">
        <f t="shared" si="278"/>
        <v>0</v>
      </c>
      <c r="Q57" s="214"/>
      <c r="R57" s="99">
        <f t="shared" si="19"/>
        <v>0</v>
      </c>
      <c r="S57" s="214"/>
      <c r="T57" s="97">
        <f t="shared" si="278"/>
        <v>0</v>
      </c>
      <c r="U57" s="214"/>
      <c r="V57" s="99">
        <f t="shared" si="20"/>
        <v>0</v>
      </c>
      <c r="W57" s="214"/>
      <c r="X57" s="97">
        <f t="shared" si="278"/>
        <v>0</v>
      </c>
      <c r="Y57" s="214"/>
      <c r="Z57" s="99">
        <f t="shared" si="21"/>
        <v>0</v>
      </c>
      <c r="AA57" s="214">
        <v>817</v>
      </c>
      <c r="AB57" s="97">
        <f t="shared" si="278"/>
        <v>817</v>
      </c>
      <c r="AC57" s="214">
        <v>1553</v>
      </c>
      <c r="AD57" s="99">
        <f t="shared" si="22"/>
        <v>190.08567931456548</v>
      </c>
      <c r="AE57" s="214">
        <v>354</v>
      </c>
      <c r="AF57" s="97">
        <f t="shared" si="278"/>
        <v>354</v>
      </c>
      <c r="AG57" s="214">
        <v>1277</v>
      </c>
      <c r="AH57" s="99">
        <f t="shared" si="23"/>
        <v>360.73446327683615</v>
      </c>
      <c r="AI57" s="214"/>
      <c r="AJ57" s="97">
        <f t="shared" si="278"/>
        <v>0</v>
      </c>
      <c r="AK57" s="214"/>
      <c r="AL57" s="99">
        <f t="shared" si="24"/>
        <v>0</v>
      </c>
      <c r="AM57" s="214">
        <v>1458</v>
      </c>
      <c r="AN57" s="97">
        <f t="shared" si="278"/>
        <v>1458</v>
      </c>
      <c r="AO57" s="214">
        <v>560</v>
      </c>
      <c r="AP57" s="99">
        <f t="shared" si="25"/>
        <v>38.408779149519887</v>
      </c>
      <c r="AQ57" s="214"/>
      <c r="AR57" s="97">
        <f t="shared" si="278"/>
        <v>0</v>
      </c>
      <c r="AS57" s="214"/>
      <c r="AT57" s="99">
        <f t="shared" si="26"/>
        <v>0</v>
      </c>
      <c r="AU57" s="214">
        <v>5435</v>
      </c>
      <c r="AV57" s="214">
        <v>5435</v>
      </c>
      <c r="AW57" s="214">
        <v>4817</v>
      </c>
      <c r="AX57" s="99">
        <f t="shared" si="27"/>
        <v>88.629254829806797</v>
      </c>
      <c r="AY57" s="214">
        <v>3381</v>
      </c>
      <c r="AZ57" s="214">
        <v>3381</v>
      </c>
      <c r="BA57" s="214">
        <v>3982</v>
      </c>
      <c r="BB57" s="99">
        <f t="shared" si="28"/>
        <v>117.77580597456374</v>
      </c>
      <c r="BC57" s="214">
        <v>4482</v>
      </c>
      <c r="BD57" s="97">
        <v>4482</v>
      </c>
      <c r="BE57" s="214">
        <v>5773</v>
      </c>
      <c r="BF57" s="99">
        <f t="shared" si="29"/>
        <v>128.80410531012942</v>
      </c>
      <c r="BG57" s="214">
        <v>4673</v>
      </c>
      <c r="BH57" s="97">
        <v>4673</v>
      </c>
      <c r="BI57" s="214">
        <v>6216</v>
      </c>
      <c r="BJ57" s="99">
        <f t="shared" si="30"/>
        <v>133.01947357158141</v>
      </c>
      <c r="BK57" s="214"/>
      <c r="BL57" s="97">
        <f t="shared" si="278"/>
        <v>0</v>
      </c>
      <c r="BM57" s="214"/>
      <c r="BN57" s="99">
        <f t="shared" si="31"/>
        <v>0</v>
      </c>
      <c r="BO57" s="214"/>
      <c r="BP57" s="97">
        <f t="shared" si="278"/>
        <v>0</v>
      </c>
      <c r="BQ57" s="214"/>
      <c r="BR57" s="99">
        <f t="shared" si="32"/>
        <v>0</v>
      </c>
      <c r="BS57" s="214"/>
      <c r="BT57" s="97">
        <f t="shared" si="276"/>
        <v>0</v>
      </c>
      <c r="BU57" s="214"/>
      <c r="BV57" s="99">
        <f t="shared" si="33"/>
        <v>0</v>
      </c>
      <c r="BW57" s="214"/>
      <c r="BX57" s="97">
        <f t="shared" si="276"/>
        <v>0</v>
      </c>
      <c r="BY57" s="214"/>
      <c r="BZ57" s="99">
        <f t="shared" si="34"/>
        <v>0</v>
      </c>
      <c r="CA57" s="214"/>
      <c r="CB57" s="97">
        <f t="shared" si="276"/>
        <v>0</v>
      </c>
      <c r="CC57" s="214"/>
      <c r="CD57" s="99">
        <f t="shared" si="35"/>
        <v>0</v>
      </c>
      <c r="CE57" s="214"/>
      <c r="CF57" s="97">
        <f t="shared" si="276"/>
        <v>0</v>
      </c>
      <c r="CG57" s="214"/>
      <c r="CH57" s="99">
        <f t="shared" si="36"/>
        <v>0</v>
      </c>
      <c r="CI57" s="214"/>
      <c r="CJ57" s="97">
        <f t="shared" si="276"/>
        <v>0</v>
      </c>
      <c r="CK57" s="214"/>
      <c r="CL57" s="99">
        <f t="shared" si="37"/>
        <v>0</v>
      </c>
      <c r="CM57" s="214"/>
      <c r="CN57" s="97">
        <f t="shared" si="276"/>
        <v>0</v>
      </c>
      <c r="CO57" s="214"/>
      <c r="CP57" s="99">
        <f t="shared" si="38"/>
        <v>0</v>
      </c>
      <c r="CQ57" s="214"/>
      <c r="CR57" s="97">
        <f t="shared" si="276"/>
        <v>0</v>
      </c>
      <c r="CS57" s="214"/>
      <c r="CT57" s="99">
        <f t="shared" si="39"/>
        <v>0</v>
      </c>
      <c r="CU57" s="214"/>
      <c r="CV57" s="97">
        <f t="shared" si="276"/>
        <v>0</v>
      </c>
      <c r="CW57" s="214"/>
      <c r="CX57" s="99">
        <f t="shared" si="40"/>
        <v>0</v>
      </c>
      <c r="CY57" s="214"/>
      <c r="CZ57" s="97">
        <f t="shared" si="276"/>
        <v>0</v>
      </c>
      <c r="DA57" s="214"/>
      <c r="DB57" s="99">
        <f t="shared" si="41"/>
        <v>0</v>
      </c>
      <c r="DC57" s="214"/>
      <c r="DD57" s="97">
        <f t="shared" si="276"/>
        <v>0</v>
      </c>
      <c r="DE57" s="214"/>
      <c r="DF57" s="99">
        <f t="shared" si="42"/>
        <v>0</v>
      </c>
      <c r="DG57" s="214"/>
      <c r="DH57" s="97">
        <f t="shared" si="276"/>
        <v>0</v>
      </c>
      <c r="DI57" s="214"/>
      <c r="DJ57" s="99" t="e">
        <f t="shared" si="139"/>
        <v>#DIV/0!</v>
      </c>
      <c r="DK57" s="214">
        <v>3402</v>
      </c>
      <c r="DL57" s="97">
        <f t="shared" si="276"/>
        <v>3402</v>
      </c>
      <c r="DM57" s="214">
        <v>2439</v>
      </c>
      <c r="DN57" s="99">
        <f t="shared" si="43"/>
        <v>71.693121693121697</v>
      </c>
      <c r="DO57" s="214">
        <v>3500</v>
      </c>
      <c r="DP57" s="97">
        <v>3500</v>
      </c>
      <c r="DQ57" s="214">
        <v>5176</v>
      </c>
      <c r="DR57" s="99">
        <f t="shared" si="44"/>
        <v>147.8857142857143</v>
      </c>
      <c r="DS57" s="214"/>
      <c r="DT57" s="97">
        <f t="shared" si="276"/>
        <v>0</v>
      </c>
      <c r="DU57" s="214"/>
      <c r="DV57" s="99" t="e">
        <f t="shared" si="140"/>
        <v>#DIV/0!</v>
      </c>
      <c r="DW57" s="214"/>
      <c r="DX57" s="97">
        <f t="shared" si="279"/>
        <v>0</v>
      </c>
      <c r="DY57" s="214"/>
      <c r="DZ57" s="99" t="e">
        <f t="shared" si="142"/>
        <v>#DIV/0!</v>
      </c>
      <c r="EA57" s="214"/>
      <c r="EB57" s="97">
        <f t="shared" si="279"/>
        <v>0</v>
      </c>
      <c r="EC57" s="214"/>
      <c r="ED57" s="99">
        <f t="shared" si="45"/>
        <v>0</v>
      </c>
      <c r="EE57" s="214">
        <v>787</v>
      </c>
      <c r="EF57" s="97">
        <f t="shared" si="279"/>
        <v>787</v>
      </c>
      <c r="EG57" s="214">
        <v>1163</v>
      </c>
      <c r="EH57" s="99">
        <f t="shared" si="46"/>
        <v>147.77636594663278</v>
      </c>
      <c r="EI57" s="214"/>
      <c r="EJ57" s="97">
        <f t="shared" si="279"/>
        <v>0</v>
      </c>
      <c r="EK57" s="214"/>
      <c r="EL57" s="99">
        <f t="shared" si="47"/>
        <v>0</v>
      </c>
      <c r="EM57" s="214"/>
      <c r="EN57" s="97">
        <f t="shared" si="279"/>
        <v>0</v>
      </c>
      <c r="EO57" s="214"/>
      <c r="EP57" s="99">
        <f t="shared" si="48"/>
        <v>0</v>
      </c>
      <c r="EQ57" s="214"/>
      <c r="ER57" s="97">
        <f t="shared" si="279"/>
        <v>0</v>
      </c>
      <c r="ES57" s="214"/>
      <c r="ET57" s="99">
        <f t="shared" si="49"/>
        <v>0</v>
      </c>
      <c r="EU57" s="214"/>
      <c r="EV57" s="97">
        <f t="shared" si="279"/>
        <v>0</v>
      </c>
      <c r="EW57" s="214"/>
      <c r="EX57" s="99">
        <f t="shared" si="50"/>
        <v>0</v>
      </c>
      <c r="EY57" s="152">
        <f t="shared" si="51"/>
        <v>28289</v>
      </c>
      <c r="EZ57" s="152">
        <f t="shared" si="17"/>
        <v>28289</v>
      </c>
      <c r="FA57" s="152">
        <f t="shared" si="17"/>
        <v>32956</v>
      </c>
      <c r="FB57" s="152">
        <f t="shared" si="52"/>
        <v>116.49757856410619</v>
      </c>
    </row>
    <row r="58" spans="1:158" ht="31.5" x14ac:dyDescent="0.2">
      <c r="A58" s="183" t="s">
        <v>198</v>
      </c>
      <c r="B58" s="170" t="s">
        <v>339</v>
      </c>
      <c r="C58" s="96"/>
      <c r="D58" s="97">
        <f t="shared" si="277"/>
        <v>0</v>
      </c>
      <c r="E58" s="98"/>
      <c r="F58" s="99" t="e">
        <f t="shared" si="3"/>
        <v>#DIV/0!</v>
      </c>
      <c r="G58" s="214"/>
      <c r="H58" s="97">
        <f t="shared" si="278"/>
        <v>0</v>
      </c>
      <c r="I58" s="214"/>
      <c r="J58" s="99">
        <f t="shared" si="18"/>
        <v>0</v>
      </c>
      <c r="K58" s="214"/>
      <c r="L58" s="97">
        <f t="shared" si="278"/>
        <v>0</v>
      </c>
      <c r="M58" s="214"/>
      <c r="N58" s="99" t="e">
        <f t="shared" si="138"/>
        <v>#DIV/0!</v>
      </c>
      <c r="O58" s="214"/>
      <c r="P58" s="97">
        <f t="shared" si="278"/>
        <v>0</v>
      </c>
      <c r="Q58" s="214"/>
      <c r="R58" s="99">
        <f t="shared" si="19"/>
        <v>0</v>
      </c>
      <c r="S58" s="214"/>
      <c r="T58" s="97">
        <f t="shared" si="278"/>
        <v>0</v>
      </c>
      <c r="U58" s="214"/>
      <c r="V58" s="99">
        <f t="shared" si="20"/>
        <v>0</v>
      </c>
      <c r="W58" s="214"/>
      <c r="X58" s="97">
        <f t="shared" si="278"/>
        <v>0</v>
      </c>
      <c r="Y58" s="214"/>
      <c r="Z58" s="99">
        <f t="shared" si="21"/>
        <v>0</v>
      </c>
      <c r="AA58" s="214">
        <v>395</v>
      </c>
      <c r="AB58" s="97">
        <f t="shared" si="278"/>
        <v>395</v>
      </c>
      <c r="AC58" s="214">
        <v>212</v>
      </c>
      <c r="AD58" s="99">
        <f t="shared" si="22"/>
        <v>53.670886075949362</v>
      </c>
      <c r="AE58" s="214">
        <v>15</v>
      </c>
      <c r="AF58" s="97">
        <f t="shared" si="278"/>
        <v>15</v>
      </c>
      <c r="AG58" s="214">
        <v>69</v>
      </c>
      <c r="AH58" s="99">
        <f t="shared" si="23"/>
        <v>459.99999999999994</v>
      </c>
      <c r="AI58" s="214"/>
      <c r="AJ58" s="97">
        <f t="shared" si="278"/>
        <v>0</v>
      </c>
      <c r="AK58" s="214"/>
      <c r="AL58" s="99">
        <f t="shared" si="24"/>
        <v>0</v>
      </c>
      <c r="AM58" s="214"/>
      <c r="AN58" s="97">
        <f t="shared" si="278"/>
        <v>0</v>
      </c>
      <c r="AO58" s="214">
        <v>9</v>
      </c>
      <c r="AP58" s="99">
        <f t="shared" si="25"/>
        <v>0</v>
      </c>
      <c r="AQ58" s="214"/>
      <c r="AR58" s="97">
        <f t="shared" si="278"/>
        <v>0</v>
      </c>
      <c r="AS58" s="214"/>
      <c r="AT58" s="99">
        <f t="shared" si="26"/>
        <v>0</v>
      </c>
      <c r="AU58" s="214">
        <v>893</v>
      </c>
      <c r="AV58" s="214">
        <v>893</v>
      </c>
      <c r="AW58" s="214">
        <v>922</v>
      </c>
      <c r="AX58" s="99">
        <f t="shared" si="27"/>
        <v>103.2474804031355</v>
      </c>
      <c r="AY58" s="214"/>
      <c r="AZ58" s="214"/>
      <c r="BA58" s="214">
        <v>249</v>
      </c>
      <c r="BB58" s="99">
        <f t="shared" si="28"/>
        <v>0</v>
      </c>
      <c r="BC58" s="214">
        <v>857</v>
      </c>
      <c r="BD58" s="97">
        <v>857</v>
      </c>
      <c r="BE58" s="214">
        <v>1010</v>
      </c>
      <c r="BF58" s="99">
        <f t="shared" si="29"/>
        <v>117.85297549591598</v>
      </c>
      <c r="BG58" s="214">
        <v>396</v>
      </c>
      <c r="BH58" s="97">
        <v>396</v>
      </c>
      <c r="BI58" s="214">
        <v>549</v>
      </c>
      <c r="BJ58" s="99">
        <f t="shared" si="30"/>
        <v>138.63636363636365</v>
      </c>
      <c r="BK58" s="214"/>
      <c r="BL58" s="97">
        <f t="shared" si="278"/>
        <v>0</v>
      </c>
      <c r="BM58" s="214"/>
      <c r="BN58" s="99">
        <f t="shared" si="31"/>
        <v>0</v>
      </c>
      <c r="BO58" s="214"/>
      <c r="BP58" s="97">
        <f t="shared" si="278"/>
        <v>0</v>
      </c>
      <c r="BQ58" s="214"/>
      <c r="BR58" s="99">
        <f t="shared" si="32"/>
        <v>0</v>
      </c>
      <c r="BS58" s="214"/>
      <c r="BT58" s="97">
        <f t="shared" si="276"/>
        <v>0</v>
      </c>
      <c r="BU58" s="214"/>
      <c r="BV58" s="99">
        <f t="shared" si="33"/>
        <v>0</v>
      </c>
      <c r="BW58" s="214"/>
      <c r="BX58" s="97">
        <f t="shared" si="276"/>
        <v>0</v>
      </c>
      <c r="BY58" s="214"/>
      <c r="BZ58" s="99">
        <f t="shared" si="34"/>
        <v>0</v>
      </c>
      <c r="CA58" s="214"/>
      <c r="CB58" s="97">
        <f t="shared" si="276"/>
        <v>0</v>
      </c>
      <c r="CC58" s="214"/>
      <c r="CD58" s="99">
        <f t="shared" si="35"/>
        <v>0</v>
      </c>
      <c r="CE58" s="214"/>
      <c r="CF58" s="97">
        <f t="shared" si="276"/>
        <v>0</v>
      </c>
      <c r="CG58" s="214"/>
      <c r="CH58" s="99">
        <f t="shared" si="36"/>
        <v>0</v>
      </c>
      <c r="CI58" s="214"/>
      <c r="CJ58" s="97">
        <f t="shared" si="276"/>
        <v>0</v>
      </c>
      <c r="CK58" s="214"/>
      <c r="CL58" s="99">
        <f t="shared" si="37"/>
        <v>0</v>
      </c>
      <c r="CM58" s="214"/>
      <c r="CN58" s="97">
        <f t="shared" si="276"/>
        <v>0</v>
      </c>
      <c r="CO58" s="214"/>
      <c r="CP58" s="99">
        <f t="shared" si="38"/>
        <v>0</v>
      </c>
      <c r="CQ58" s="214"/>
      <c r="CR58" s="97">
        <f t="shared" si="276"/>
        <v>0</v>
      </c>
      <c r="CS58" s="214"/>
      <c r="CT58" s="99">
        <f t="shared" si="39"/>
        <v>0</v>
      </c>
      <c r="CU58" s="214"/>
      <c r="CV58" s="97">
        <f t="shared" si="276"/>
        <v>0</v>
      </c>
      <c r="CW58" s="214"/>
      <c r="CX58" s="99">
        <f t="shared" si="40"/>
        <v>0</v>
      </c>
      <c r="CY58" s="214"/>
      <c r="CZ58" s="97">
        <f t="shared" si="276"/>
        <v>0</v>
      </c>
      <c r="DA58" s="214"/>
      <c r="DB58" s="99">
        <f t="shared" si="41"/>
        <v>0</v>
      </c>
      <c r="DC58" s="214"/>
      <c r="DD58" s="97">
        <f t="shared" si="276"/>
        <v>0</v>
      </c>
      <c r="DE58" s="214"/>
      <c r="DF58" s="99">
        <f t="shared" si="42"/>
        <v>0</v>
      </c>
      <c r="DG58" s="214"/>
      <c r="DH58" s="97">
        <f t="shared" si="276"/>
        <v>0</v>
      </c>
      <c r="DI58" s="214"/>
      <c r="DJ58" s="99" t="e">
        <f t="shared" si="139"/>
        <v>#DIV/0!</v>
      </c>
      <c r="DK58" s="214">
        <v>438</v>
      </c>
      <c r="DL58" s="97">
        <f t="shared" si="276"/>
        <v>438</v>
      </c>
      <c r="DM58" s="214">
        <v>207</v>
      </c>
      <c r="DN58" s="99">
        <f t="shared" si="43"/>
        <v>47.260273972602739</v>
      </c>
      <c r="DO58" s="214">
        <v>380</v>
      </c>
      <c r="DP58" s="97">
        <v>380</v>
      </c>
      <c r="DQ58" s="214">
        <v>305</v>
      </c>
      <c r="DR58" s="99">
        <f t="shared" si="44"/>
        <v>80.26315789473685</v>
      </c>
      <c r="DS58" s="214"/>
      <c r="DT58" s="97">
        <f t="shared" si="276"/>
        <v>0</v>
      </c>
      <c r="DU58" s="214"/>
      <c r="DV58" s="99" t="e">
        <f t="shared" si="140"/>
        <v>#DIV/0!</v>
      </c>
      <c r="DW58" s="214"/>
      <c r="DX58" s="97">
        <f t="shared" si="279"/>
        <v>0</v>
      </c>
      <c r="DY58" s="214"/>
      <c r="DZ58" s="99" t="e">
        <f t="shared" si="142"/>
        <v>#DIV/0!</v>
      </c>
      <c r="EA58" s="214"/>
      <c r="EB58" s="97">
        <f t="shared" si="279"/>
        <v>0</v>
      </c>
      <c r="EC58" s="214"/>
      <c r="ED58" s="99">
        <f t="shared" si="45"/>
        <v>0</v>
      </c>
      <c r="EE58" s="214">
        <v>32</v>
      </c>
      <c r="EF58" s="97">
        <f t="shared" si="279"/>
        <v>32</v>
      </c>
      <c r="EG58" s="214">
        <v>217</v>
      </c>
      <c r="EH58" s="99">
        <f t="shared" si="46"/>
        <v>678.125</v>
      </c>
      <c r="EI58" s="214"/>
      <c r="EJ58" s="97">
        <f t="shared" si="279"/>
        <v>0</v>
      </c>
      <c r="EK58" s="214"/>
      <c r="EL58" s="99">
        <f t="shared" si="47"/>
        <v>0</v>
      </c>
      <c r="EM58" s="214"/>
      <c r="EN58" s="97">
        <f t="shared" si="279"/>
        <v>0</v>
      </c>
      <c r="EO58" s="214"/>
      <c r="EP58" s="99">
        <f t="shared" si="48"/>
        <v>0</v>
      </c>
      <c r="EQ58" s="214"/>
      <c r="ER58" s="97">
        <f t="shared" si="279"/>
        <v>0</v>
      </c>
      <c r="ES58" s="214"/>
      <c r="ET58" s="99">
        <f t="shared" si="49"/>
        <v>0</v>
      </c>
      <c r="EU58" s="214"/>
      <c r="EV58" s="97">
        <f t="shared" si="279"/>
        <v>0</v>
      </c>
      <c r="EW58" s="214"/>
      <c r="EX58" s="99">
        <f t="shared" si="50"/>
        <v>0</v>
      </c>
      <c r="EY58" s="152">
        <f t="shared" si="51"/>
        <v>3406</v>
      </c>
      <c r="EZ58" s="152">
        <f t="shared" si="17"/>
        <v>3406</v>
      </c>
      <c r="FA58" s="152">
        <f t="shared" si="17"/>
        <v>3749</v>
      </c>
      <c r="FB58" s="152">
        <f t="shared" si="52"/>
        <v>110.07046388725779</v>
      </c>
    </row>
    <row r="59" spans="1:158" ht="31.5" x14ac:dyDescent="0.2">
      <c r="A59" s="183" t="s">
        <v>159</v>
      </c>
      <c r="B59" s="170" t="s">
        <v>339</v>
      </c>
      <c r="C59" s="96"/>
      <c r="D59" s="97">
        <f t="shared" si="277"/>
        <v>0</v>
      </c>
      <c r="E59" s="98"/>
      <c r="F59" s="99" t="e">
        <f t="shared" si="3"/>
        <v>#DIV/0!</v>
      </c>
      <c r="G59" s="214"/>
      <c r="H59" s="97">
        <f t="shared" si="278"/>
        <v>0</v>
      </c>
      <c r="I59" s="214"/>
      <c r="J59" s="99">
        <f t="shared" si="18"/>
        <v>0</v>
      </c>
      <c r="K59" s="214"/>
      <c r="L59" s="97">
        <f t="shared" si="278"/>
        <v>0</v>
      </c>
      <c r="M59" s="214"/>
      <c r="N59" s="99" t="e">
        <f t="shared" si="138"/>
        <v>#DIV/0!</v>
      </c>
      <c r="O59" s="214"/>
      <c r="P59" s="97">
        <f t="shared" si="278"/>
        <v>0</v>
      </c>
      <c r="Q59" s="214"/>
      <c r="R59" s="99">
        <f t="shared" si="19"/>
        <v>0</v>
      </c>
      <c r="S59" s="214"/>
      <c r="T59" s="97">
        <f t="shared" si="278"/>
        <v>0</v>
      </c>
      <c r="U59" s="214"/>
      <c r="V59" s="99">
        <f t="shared" si="20"/>
        <v>0</v>
      </c>
      <c r="W59" s="214"/>
      <c r="X59" s="97">
        <f t="shared" si="278"/>
        <v>0</v>
      </c>
      <c r="Y59" s="214"/>
      <c r="Z59" s="99">
        <f t="shared" si="21"/>
        <v>0</v>
      </c>
      <c r="AA59" s="214">
        <v>192</v>
      </c>
      <c r="AB59" s="97">
        <f t="shared" si="278"/>
        <v>192</v>
      </c>
      <c r="AC59" s="214">
        <v>57</v>
      </c>
      <c r="AD59" s="99">
        <f t="shared" si="22"/>
        <v>29.6875</v>
      </c>
      <c r="AE59" s="214">
        <v>9</v>
      </c>
      <c r="AF59" s="97">
        <f t="shared" si="278"/>
        <v>9</v>
      </c>
      <c r="AG59" s="214">
        <v>17</v>
      </c>
      <c r="AH59" s="99">
        <f t="shared" si="23"/>
        <v>188.88888888888889</v>
      </c>
      <c r="AI59" s="214"/>
      <c r="AJ59" s="97">
        <f t="shared" si="278"/>
        <v>0</v>
      </c>
      <c r="AK59" s="214"/>
      <c r="AL59" s="99">
        <f t="shared" si="24"/>
        <v>0</v>
      </c>
      <c r="AM59" s="214"/>
      <c r="AN59" s="97">
        <f t="shared" si="278"/>
        <v>0</v>
      </c>
      <c r="AO59" s="214">
        <v>23</v>
      </c>
      <c r="AP59" s="99">
        <f t="shared" si="25"/>
        <v>0</v>
      </c>
      <c r="AQ59" s="214"/>
      <c r="AR59" s="97">
        <f t="shared" si="278"/>
        <v>0</v>
      </c>
      <c r="AS59" s="214"/>
      <c r="AT59" s="99">
        <f t="shared" si="26"/>
        <v>0</v>
      </c>
      <c r="AU59" s="214">
        <v>657</v>
      </c>
      <c r="AV59" s="214">
        <v>657</v>
      </c>
      <c r="AW59" s="214">
        <v>765</v>
      </c>
      <c r="AX59" s="99">
        <f t="shared" si="27"/>
        <v>116.43835616438356</v>
      </c>
      <c r="AY59" s="214">
        <v>190.5</v>
      </c>
      <c r="AZ59" s="214">
        <v>190.5</v>
      </c>
      <c r="BA59" s="214">
        <v>282</v>
      </c>
      <c r="BB59" s="99">
        <f t="shared" si="28"/>
        <v>148.03149606299212</v>
      </c>
      <c r="BC59" s="214">
        <v>279</v>
      </c>
      <c r="BD59" s="97">
        <v>279</v>
      </c>
      <c r="BE59" s="214">
        <v>344</v>
      </c>
      <c r="BF59" s="99">
        <f t="shared" si="29"/>
        <v>123.29749103942653</v>
      </c>
      <c r="BG59" s="214">
        <v>195</v>
      </c>
      <c r="BH59" s="97">
        <v>195</v>
      </c>
      <c r="BI59" s="214">
        <v>241</v>
      </c>
      <c r="BJ59" s="99">
        <f t="shared" si="30"/>
        <v>123.58974358974359</v>
      </c>
      <c r="BK59" s="214"/>
      <c r="BL59" s="97">
        <f t="shared" si="278"/>
        <v>0</v>
      </c>
      <c r="BM59" s="214"/>
      <c r="BN59" s="99">
        <f t="shared" si="31"/>
        <v>0</v>
      </c>
      <c r="BO59" s="214"/>
      <c r="BP59" s="97">
        <f t="shared" si="278"/>
        <v>0</v>
      </c>
      <c r="BQ59" s="214"/>
      <c r="BR59" s="99">
        <f t="shared" si="32"/>
        <v>0</v>
      </c>
      <c r="BS59" s="214"/>
      <c r="BT59" s="97">
        <f t="shared" si="276"/>
        <v>0</v>
      </c>
      <c r="BU59" s="214"/>
      <c r="BV59" s="99">
        <f t="shared" si="33"/>
        <v>0</v>
      </c>
      <c r="BW59" s="214"/>
      <c r="BX59" s="97">
        <f t="shared" si="276"/>
        <v>0</v>
      </c>
      <c r="BY59" s="214"/>
      <c r="BZ59" s="99">
        <f t="shared" si="34"/>
        <v>0</v>
      </c>
      <c r="CA59" s="214"/>
      <c r="CB59" s="97">
        <f t="shared" si="276"/>
        <v>0</v>
      </c>
      <c r="CC59" s="214"/>
      <c r="CD59" s="99">
        <f t="shared" si="35"/>
        <v>0</v>
      </c>
      <c r="CE59" s="214"/>
      <c r="CF59" s="97">
        <f t="shared" si="276"/>
        <v>0</v>
      </c>
      <c r="CG59" s="214"/>
      <c r="CH59" s="99">
        <f t="shared" si="36"/>
        <v>0</v>
      </c>
      <c r="CI59" s="214"/>
      <c r="CJ59" s="97">
        <f t="shared" si="276"/>
        <v>0</v>
      </c>
      <c r="CK59" s="214"/>
      <c r="CL59" s="99">
        <f t="shared" si="37"/>
        <v>0</v>
      </c>
      <c r="CM59" s="214"/>
      <c r="CN59" s="97">
        <f t="shared" si="276"/>
        <v>0</v>
      </c>
      <c r="CO59" s="214"/>
      <c r="CP59" s="99">
        <f t="shared" si="38"/>
        <v>0</v>
      </c>
      <c r="CQ59" s="214"/>
      <c r="CR59" s="97">
        <f t="shared" si="276"/>
        <v>0</v>
      </c>
      <c r="CS59" s="214"/>
      <c r="CT59" s="99">
        <f t="shared" si="39"/>
        <v>0</v>
      </c>
      <c r="CU59" s="214"/>
      <c r="CV59" s="97">
        <f t="shared" si="276"/>
        <v>0</v>
      </c>
      <c r="CW59" s="214"/>
      <c r="CX59" s="99">
        <f t="shared" si="40"/>
        <v>0</v>
      </c>
      <c r="CY59" s="214"/>
      <c r="CZ59" s="97">
        <f t="shared" si="276"/>
        <v>0</v>
      </c>
      <c r="DA59" s="214"/>
      <c r="DB59" s="99">
        <f t="shared" si="41"/>
        <v>0</v>
      </c>
      <c r="DC59" s="214"/>
      <c r="DD59" s="97">
        <f t="shared" si="276"/>
        <v>0</v>
      </c>
      <c r="DE59" s="214"/>
      <c r="DF59" s="99">
        <f t="shared" si="42"/>
        <v>0</v>
      </c>
      <c r="DG59" s="214"/>
      <c r="DH59" s="97">
        <f t="shared" si="276"/>
        <v>0</v>
      </c>
      <c r="DI59" s="214"/>
      <c r="DJ59" s="99" t="e">
        <f t="shared" si="139"/>
        <v>#DIV/0!</v>
      </c>
      <c r="DK59" s="214">
        <v>247</v>
      </c>
      <c r="DL59" s="97">
        <f t="shared" si="276"/>
        <v>247</v>
      </c>
      <c r="DM59" s="214">
        <v>231</v>
      </c>
      <c r="DN59" s="99">
        <f t="shared" si="43"/>
        <v>93.522267206477736</v>
      </c>
      <c r="DO59" s="214">
        <v>700</v>
      </c>
      <c r="DP59" s="97">
        <v>700</v>
      </c>
      <c r="DQ59" s="214">
        <v>382</v>
      </c>
      <c r="DR59" s="99">
        <f t="shared" si="44"/>
        <v>54.571428571428569</v>
      </c>
      <c r="DS59" s="214"/>
      <c r="DT59" s="97">
        <f t="shared" si="276"/>
        <v>0</v>
      </c>
      <c r="DU59" s="214"/>
      <c r="DV59" s="99" t="e">
        <f t="shared" si="140"/>
        <v>#DIV/0!</v>
      </c>
      <c r="DW59" s="214"/>
      <c r="DX59" s="97">
        <f t="shared" si="279"/>
        <v>0</v>
      </c>
      <c r="DY59" s="214"/>
      <c r="DZ59" s="99" t="e">
        <f t="shared" si="142"/>
        <v>#DIV/0!</v>
      </c>
      <c r="EA59" s="214"/>
      <c r="EB59" s="97">
        <f t="shared" si="279"/>
        <v>0</v>
      </c>
      <c r="EC59" s="214"/>
      <c r="ED59" s="99">
        <f t="shared" si="45"/>
        <v>0</v>
      </c>
      <c r="EE59" s="214">
        <v>154</v>
      </c>
      <c r="EF59" s="97">
        <f t="shared" si="279"/>
        <v>154</v>
      </c>
      <c r="EG59" s="214">
        <v>108</v>
      </c>
      <c r="EH59" s="99">
        <f t="shared" si="46"/>
        <v>70.129870129870127</v>
      </c>
      <c r="EI59" s="214"/>
      <c r="EJ59" s="97">
        <f t="shared" si="279"/>
        <v>0</v>
      </c>
      <c r="EK59" s="214"/>
      <c r="EL59" s="99">
        <f t="shared" si="47"/>
        <v>0</v>
      </c>
      <c r="EM59" s="214"/>
      <c r="EN59" s="97">
        <f t="shared" si="279"/>
        <v>0</v>
      </c>
      <c r="EO59" s="214"/>
      <c r="EP59" s="99">
        <f t="shared" si="48"/>
        <v>0</v>
      </c>
      <c r="EQ59" s="214"/>
      <c r="ER59" s="97">
        <f t="shared" si="279"/>
        <v>0</v>
      </c>
      <c r="ES59" s="214"/>
      <c r="ET59" s="99">
        <f t="shared" si="49"/>
        <v>0</v>
      </c>
      <c r="EU59" s="214"/>
      <c r="EV59" s="97">
        <f t="shared" si="279"/>
        <v>0</v>
      </c>
      <c r="EW59" s="214"/>
      <c r="EX59" s="99">
        <f t="shared" si="50"/>
        <v>0</v>
      </c>
      <c r="EY59" s="152">
        <f t="shared" si="51"/>
        <v>2623.5</v>
      </c>
      <c r="EZ59" s="152">
        <f t="shared" si="17"/>
        <v>2623.5</v>
      </c>
      <c r="FA59" s="152">
        <f t="shared" si="17"/>
        <v>2450</v>
      </c>
      <c r="FB59" s="152">
        <f t="shared" si="52"/>
        <v>93.386697160282068</v>
      </c>
    </row>
    <row r="60" spans="1:158" ht="31.5" x14ac:dyDescent="0.2">
      <c r="A60" s="183" t="s">
        <v>160</v>
      </c>
      <c r="B60" s="170" t="s">
        <v>339</v>
      </c>
      <c r="C60" s="96"/>
      <c r="D60" s="97">
        <f t="shared" si="277"/>
        <v>0</v>
      </c>
      <c r="E60" s="98"/>
      <c r="F60" s="99" t="e">
        <f t="shared" si="3"/>
        <v>#DIV/0!</v>
      </c>
      <c r="G60" s="214"/>
      <c r="H60" s="97">
        <f t="shared" si="278"/>
        <v>0</v>
      </c>
      <c r="I60" s="214"/>
      <c r="J60" s="99">
        <f t="shared" si="18"/>
        <v>0</v>
      </c>
      <c r="K60" s="214"/>
      <c r="L60" s="97">
        <f t="shared" si="278"/>
        <v>0</v>
      </c>
      <c r="M60" s="214"/>
      <c r="N60" s="99" t="e">
        <f t="shared" si="138"/>
        <v>#DIV/0!</v>
      </c>
      <c r="O60" s="214"/>
      <c r="P60" s="97">
        <f t="shared" si="278"/>
        <v>0</v>
      </c>
      <c r="Q60" s="214"/>
      <c r="R60" s="99">
        <f t="shared" si="19"/>
        <v>0</v>
      </c>
      <c r="S60" s="214"/>
      <c r="T60" s="97">
        <f t="shared" si="278"/>
        <v>0</v>
      </c>
      <c r="U60" s="214"/>
      <c r="V60" s="99">
        <f t="shared" si="20"/>
        <v>0</v>
      </c>
      <c r="W60" s="214"/>
      <c r="X60" s="97">
        <f t="shared" si="278"/>
        <v>0</v>
      </c>
      <c r="Y60" s="214"/>
      <c r="Z60" s="99">
        <f t="shared" si="21"/>
        <v>0</v>
      </c>
      <c r="AA60" s="214">
        <v>53</v>
      </c>
      <c r="AB60" s="97">
        <f t="shared" si="278"/>
        <v>53</v>
      </c>
      <c r="AC60" s="214">
        <v>75</v>
      </c>
      <c r="AD60" s="99">
        <f t="shared" si="22"/>
        <v>141.50943396226415</v>
      </c>
      <c r="AE60" s="214">
        <v>80</v>
      </c>
      <c r="AF60" s="97">
        <f t="shared" si="278"/>
        <v>80</v>
      </c>
      <c r="AG60" s="214">
        <v>67</v>
      </c>
      <c r="AH60" s="99">
        <f t="shared" si="23"/>
        <v>83.75</v>
      </c>
      <c r="AI60" s="214"/>
      <c r="AJ60" s="97">
        <f t="shared" si="278"/>
        <v>0</v>
      </c>
      <c r="AK60" s="214"/>
      <c r="AL60" s="99">
        <f t="shared" si="24"/>
        <v>0</v>
      </c>
      <c r="AM60" s="214">
        <v>27</v>
      </c>
      <c r="AN60" s="97">
        <f t="shared" si="278"/>
        <v>27</v>
      </c>
      <c r="AO60" s="214">
        <v>71</v>
      </c>
      <c r="AP60" s="99">
        <f t="shared" si="25"/>
        <v>262.96296296296299</v>
      </c>
      <c r="AQ60" s="214"/>
      <c r="AR60" s="97">
        <f t="shared" si="278"/>
        <v>0</v>
      </c>
      <c r="AS60" s="214"/>
      <c r="AT60" s="99">
        <f t="shared" si="26"/>
        <v>0</v>
      </c>
      <c r="AU60" s="214">
        <v>654</v>
      </c>
      <c r="AV60" s="214">
        <v>654</v>
      </c>
      <c r="AW60" s="214">
        <v>771</v>
      </c>
      <c r="AX60" s="99">
        <f t="shared" si="27"/>
        <v>117.88990825688073</v>
      </c>
      <c r="AY60" s="214">
        <v>325.5</v>
      </c>
      <c r="AZ60" s="214">
        <v>325.5</v>
      </c>
      <c r="BA60" s="214">
        <v>432</v>
      </c>
      <c r="BB60" s="99">
        <f t="shared" si="28"/>
        <v>132.7188940092166</v>
      </c>
      <c r="BC60" s="214">
        <v>262.5</v>
      </c>
      <c r="BD60" s="97">
        <v>262.5</v>
      </c>
      <c r="BE60" s="214">
        <v>345</v>
      </c>
      <c r="BF60" s="99">
        <f t="shared" si="29"/>
        <v>131.42857142857142</v>
      </c>
      <c r="BG60" s="214">
        <v>73.5</v>
      </c>
      <c r="BH60" s="97">
        <v>73.5</v>
      </c>
      <c r="BI60" s="214">
        <v>74</v>
      </c>
      <c r="BJ60" s="99">
        <f t="shared" si="30"/>
        <v>100.68027210884354</v>
      </c>
      <c r="BK60" s="214"/>
      <c r="BL60" s="97">
        <f t="shared" si="278"/>
        <v>0</v>
      </c>
      <c r="BM60" s="214"/>
      <c r="BN60" s="99">
        <f t="shared" si="31"/>
        <v>0</v>
      </c>
      <c r="BO60" s="214"/>
      <c r="BP60" s="97">
        <f t="shared" si="278"/>
        <v>0</v>
      </c>
      <c r="BQ60" s="214"/>
      <c r="BR60" s="99">
        <f t="shared" si="32"/>
        <v>0</v>
      </c>
      <c r="BS60" s="214"/>
      <c r="BT60" s="97">
        <f t="shared" si="276"/>
        <v>0</v>
      </c>
      <c r="BU60" s="214"/>
      <c r="BV60" s="99">
        <f t="shared" si="33"/>
        <v>0</v>
      </c>
      <c r="BW60" s="214"/>
      <c r="BX60" s="97">
        <f t="shared" si="276"/>
        <v>0</v>
      </c>
      <c r="BY60" s="214"/>
      <c r="BZ60" s="99">
        <f t="shared" si="34"/>
        <v>0</v>
      </c>
      <c r="CA60" s="214"/>
      <c r="CB60" s="97">
        <f t="shared" si="276"/>
        <v>0</v>
      </c>
      <c r="CC60" s="214"/>
      <c r="CD60" s="99">
        <f t="shared" si="35"/>
        <v>0</v>
      </c>
      <c r="CE60" s="214"/>
      <c r="CF60" s="97">
        <f t="shared" si="276"/>
        <v>0</v>
      </c>
      <c r="CG60" s="214"/>
      <c r="CH60" s="99">
        <f t="shared" si="36"/>
        <v>0</v>
      </c>
      <c r="CI60" s="214"/>
      <c r="CJ60" s="97">
        <f t="shared" si="276"/>
        <v>0</v>
      </c>
      <c r="CK60" s="214"/>
      <c r="CL60" s="99">
        <f t="shared" si="37"/>
        <v>0</v>
      </c>
      <c r="CM60" s="214"/>
      <c r="CN60" s="97">
        <f t="shared" si="276"/>
        <v>0</v>
      </c>
      <c r="CO60" s="214"/>
      <c r="CP60" s="99">
        <f t="shared" si="38"/>
        <v>0</v>
      </c>
      <c r="CQ60" s="214"/>
      <c r="CR60" s="97">
        <f t="shared" si="276"/>
        <v>0</v>
      </c>
      <c r="CS60" s="214"/>
      <c r="CT60" s="99">
        <f t="shared" si="39"/>
        <v>0</v>
      </c>
      <c r="CU60" s="214"/>
      <c r="CV60" s="97">
        <f t="shared" si="276"/>
        <v>0</v>
      </c>
      <c r="CW60" s="214"/>
      <c r="CX60" s="99">
        <f t="shared" si="40"/>
        <v>0</v>
      </c>
      <c r="CY60" s="214"/>
      <c r="CZ60" s="97">
        <f t="shared" si="276"/>
        <v>0</v>
      </c>
      <c r="DA60" s="214"/>
      <c r="DB60" s="99">
        <f t="shared" si="41"/>
        <v>0</v>
      </c>
      <c r="DC60" s="214"/>
      <c r="DD60" s="97">
        <f t="shared" si="276"/>
        <v>0</v>
      </c>
      <c r="DE60" s="214"/>
      <c r="DF60" s="99">
        <f t="shared" si="42"/>
        <v>0</v>
      </c>
      <c r="DG60" s="214"/>
      <c r="DH60" s="97">
        <f t="shared" si="276"/>
        <v>0</v>
      </c>
      <c r="DI60" s="214"/>
      <c r="DJ60" s="99" t="e">
        <f t="shared" si="139"/>
        <v>#DIV/0!</v>
      </c>
      <c r="DK60" s="214">
        <v>190</v>
      </c>
      <c r="DL60" s="97">
        <f t="shared" si="276"/>
        <v>190</v>
      </c>
      <c r="DM60" s="214">
        <v>244</v>
      </c>
      <c r="DN60" s="99">
        <f t="shared" si="43"/>
        <v>128.42105263157896</v>
      </c>
      <c r="DO60" s="214">
        <v>700</v>
      </c>
      <c r="DP60" s="97">
        <v>700</v>
      </c>
      <c r="DQ60" s="214">
        <v>490</v>
      </c>
      <c r="DR60" s="99">
        <f t="shared" si="44"/>
        <v>70</v>
      </c>
      <c r="DS60" s="214"/>
      <c r="DT60" s="97">
        <f t="shared" si="276"/>
        <v>0</v>
      </c>
      <c r="DU60" s="214"/>
      <c r="DV60" s="99" t="e">
        <f t="shared" si="140"/>
        <v>#DIV/0!</v>
      </c>
      <c r="DW60" s="214"/>
      <c r="DX60" s="97">
        <f t="shared" si="279"/>
        <v>0</v>
      </c>
      <c r="DY60" s="214"/>
      <c r="DZ60" s="99" t="e">
        <f t="shared" si="142"/>
        <v>#DIV/0!</v>
      </c>
      <c r="EA60" s="214"/>
      <c r="EB60" s="97">
        <f t="shared" si="279"/>
        <v>0</v>
      </c>
      <c r="EC60" s="214"/>
      <c r="ED60" s="99">
        <f t="shared" si="45"/>
        <v>0</v>
      </c>
      <c r="EE60" s="214">
        <v>160</v>
      </c>
      <c r="EF60" s="97">
        <f t="shared" si="279"/>
        <v>160</v>
      </c>
      <c r="EG60" s="214">
        <v>61</v>
      </c>
      <c r="EH60" s="99">
        <f t="shared" si="46"/>
        <v>38.125</v>
      </c>
      <c r="EI60" s="214"/>
      <c r="EJ60" s="97">
        <f t="shared" si="279"/>
        <v>0</v>
      </c>
      <c r="EK60" s="214"/>
      <c r="EL60" s="99">
        <f t="shared" si="47"/>
        <v>0</v>
      </c>
      <c r="EM60" s="214"/>
      <c r="EN60" s="97">
        <f t="shared" si="279"/>
        <v>0</v>
      </c>
      <c r="EO60" s="214"/>
      <c r="EP60" s="99">
        <f t="shared" si="48"/>
        <v>0</v>
      </c>
      <c r="EQ60" s="214"/>
      <c r="ER60" s="97">
        <f t="shared" si="279"/>
        <v>0</v>
      </c>
      <c r="ES60" s="214"/>
      <c r="ET60" s="99">
        <f t="shared" si="49"/>
        <v>0</v>
      </c>
      <c r="EU60" s="214"/>
      <c r="EV60" s="97">
        <f t="shared" si="279"/>
        <v>0</v>
      </c>
      <c r="EW60" s="214"/>
      <c r="EX60" s="99">
        <f t="shared" si="50"/>
        <v>0</v>
      </c>
      <c r="EY60" s="152">
        <f t="shared" si="51"/>
        <v>2525.5</v>
      </c>
      <c r="EZ60" s="152">
        <f t="shared" si="17"/>
        <v>2525.5</v>
      </c>
      <c r="FA60" s="152">
        <f t="shared" si="17"/>
        <v>2630</v>
      </c>
      <c r="FB60" s="152">
        <f t="shared" si="52"/>
        <v>104.13779449613938</v>
      </c>
    </row>
    <row r="61" spans="1:158" ht="31.5" x14ac:dyDescent="0.2">
      <c r="A61" s="183" t="s">
        <v>161</v>
      </c>
      <c r="B61" s="170" t="s">
        <v>339</v>
      </c>
      <c r="C61" s="96"/>
      <c r="D61" s="97">
        <f t="shared" si="277"/>
        <v>0</v>
      </c>
      <c r="E61" s="98"/>
      <c r="F61" s="99" t="e">
        <f t="shared" si="3"/>
        <v>#DIV/0!</v>
      </c>
      <c r="G61" s="214"/>
      <c r="H61" s="97">
        <f t="shared" si="278"/>
        <v>0</v>
      </c>
      <c r="I61" s="214"/>
      <c r="J61" s="99">
        <f t="shared" si="18"/>
        <v>0</v>
      </c>
      <c r="K61" s="214"/>
      <c r="L61" s="97">
        <f t="shared" si="278"/>
        <v>0</v>
      </c>
      <c r="M61" s="214"/>
      <c r="N61" s="99" t="e">
        <f t="shared" si="138"/>
        <v>#DIV/0!</v>
      </c>
      <c r="O61" s="214"/>
      <c r="P61" s="97">
        <f t="shared" si="278"/>
        <v>0</v>
      </c>
      <c r="Q61" s="214"/>
      <c r="R61" s="99">
        <f t="shared" si="19"/>
        <v>0</v>
      </c>
      <c r="S61" s="214"/>
      <c r="T61" s="97">
        <f t="shared" si="278"/>
        <v>0</v>
      </c>
      <c r="U61" s="214"/>
      <c r="V61" s="99">
        <f t="shared" si="20"/>
        <v>0</v>
      </c>
      <c r="W61" s="214"/>
      <c r="X61" s="97">
        <f t="shared" si="278"/>
        <v>0</v>
      </c>
      <c r="Y61" s="214"/>
      <c r="Z61" s="99">
        <f t="shared" si="21"/>
        <v>0</v>
      </c>
      <c r="AA61" s="214">
        <v>118</v>
      </c>
      <c r="AB61" s="97">
        <f t="shared" si="278"/>
        <v>118</v>
      </c>
      <c r="AC61" s="214">
        <v>101</v>
      </c>
      <c r="AD61" s="99">
        <f t="shared" si="22"/>
        <v>85.593220338983059</v>
      </c>
      <c r="AE61" s="214">
        <v>59</v>
      </c>
      <c r="AF61" s="97">
        <f t="shared" si="278"/>
        <v>59</v>
      </c>
      <c r="AG61" s="214">
        <v>215</v>
      </c>
      <c r="AH61" s="99">
        <f t="shared" si="23"/>
        <v>364.40677966101697</v>
      </c>
      <c r="AI61" s="214"/>
      <c r="AJ61" s="97">
        <f t="shared" si="278"/>
        <v>0</v>
      </c>
      <c r="AK61" s="214"/>
      <c r="AL61" s="99">
        <f t="shared" si="24"/>
        <v>0</v>
      </c>
      <c r="AM61" s="214"/>
      <c r="AN61" s="97">
        <f t="shared" si="278"/>
        <v>0</v>
      </c>
      <c r="AO61" s="214">
        <v>21</v>
      </c>
      <c r="AP61" s="99">
        <f t="shared" si="25"/>
        <v>0</v>
      </c>
      <c r="AQ61" s="214"/>
      <c r="AR61" s="97">
        <f t="shared" si="278"/>
        <v>0</v>
      </c>
      <c r="AS61" s="214"/>
      <c r="AT61" s="99">
        <f t="shared" si="26"/>
        <v>0</v>
      </c>
      <c r="AU61" s="214">
        <v>396</v>
      </c>
      <c r="AV61" s="214">
        <v>396</v>
      </c>
      <c r="AW61" s="214">
        <v>629</v>
      </c>
      <c r="AX61" s="99">
        <f t="shared" si="27"/>
        <v>158.83838383838383</v>
      </c>
      <c r="AY61" s="214">
        <v>204</v>
      </c>
      <c r="AZ61" s="214">
        <v>204</v>
      </c>
      <c r="BA61" s="214">
        <v>848</v>
      </c>
      <c r="BB61" s="99">
        <f t="shared" si="28"/>
        <v>415.68627450980398</v>
      </c>
      <c r="BC61" s="214">
        <v>574.5</v>
      </c>
      <c r="BD61" s="97">
        <v>574.5</v>
      </c>
      <c r="BE61" s="214">
        <v>565</v>
      </c>
      <c r="BF61" s="99">
        <f t="shared" si="29"/>
        <v>98.346388163620531</v>
      </c>
      <c r="BG61" s="214">
        <v>1.5</v>
      </c>
      <c r="BH61" s="97">
        <v>1.5</v>
      </c>
      <c r="BI61" s="214">
        <v>3</v>
      </c>
      <c r="BJ61" s="99">
        <f t="shared" si="30"/>
        <v>200</v>
      </c>
      <c r="BK61" s="214"/>
      <c r="BL61" s="97">
        <f t="shared" si="278"/>
        <v>0</v>
      </c>
      <c r="BM61" s="214"/>
      <c r="BN61" s="99">
        <f t="shared" si="31"/>
        <v>0</v>
      </c>
      <c r="BO61" s="214"/>
      <c r="BP61" s="97">
        <f t="shared" ref="BP61:DT76" si="519">ROUND(BO61/12*$A$7,0)</f>
        <v>0</v>
      </c>
      <c r="BQ61" s="214"/>
      <c r="BR61" s="99">
        <f t="shared" si="32"/>
        <v>0</v>
      </c>
      <c r="BS61" s="214"/>
      <c r="BT61" s="97">
        <f t="shared" si="519"/>
        <v>0</v>
      </c>
      <c r="BU61" s="214"/>
      <c r="BV61" s="99">
        <f t="shared" si="33"/>
        <v>0</v>
      </c>
      <c r="BW61" s="214"/>
      <c r="BX61" s="97">
        <f t="shared" si="519"/>
        <v>0</v>
      </c>
      <c r="BY61" s="214"/>
      <c r="BZ61" s="99">
        <f t="shared" si="34"/>
        <v>0</v>
      </c>
      <c r="CA61" s="214"/>
      <c r="CB61" s="97">
        <f t="shared" si="519"/>
        <v>0</v>
      </c>
      <c r="CC61" s="214"/>
      <c r="CD61" s="99">
        <f t="shared" si="35"/>
        <v>0</v>
      </c>
      <c r="CE61" s="214"/>
      <c r="CF61" s="97">
        <f t="shared" si="519"/>
        <v>0</v>
      </c>
      <c r="CG61" s="214"/>
      <c r="CH61" s="99">
        <f t="shared" si="36"/>
        <v>0</v>
      </c>
      <c r="CI61" s="214"/>
      <c r="CJ61" s="97">
        <f t="shared" si="519"/>
        <v>0</v>
      </c>
      <c r="CK61" s="214"/>
      <c r="CL61" s="99">
        <f t="shared" si="37"/>
        <v>0</v>
      </c>
      <c r="CM61" s="214"/>
      <c r="CN61" s="97">
        <f t="shared" si="519"/>
        <v>0</v>
      </c>
      <c r="CO61" s="214"/>
      <c r="CP61" s="99">
        <f t="shared" si="38"/>
        <v>0</v>
      </c>
      <c r="CQ61" s="214"/>
      <c r="CR61" s="97">
        <f t="shared" si="519"/>
        <v>0</v>
      </c>
      <c r="CS61" s="214"/>
      <c r="CT61" s="99">
        <f t="shared" si="39"/>
        <v>0</v>
      </c>
      <c r="CU61" s="214"/>
      <c r="CV61" s="97">
        <f t="shared" si="519"/>
        <v>0</v>
      </c>
      <c r="CW61" s="214"/>
      <c r="CX61" s="99">
        <f t="shared" si="40"/>
        <v>0</v>
      </c>
      <c r="CY61" s="214"/>
      <c r="CZ61" s="97">
        <f t="shared" si="519"/>
        <v>0</v>
      </c>
      <c r="DA61" s="214"/>
      <c r="DB61" s="99">
        <f t="shared" si="41"/>
        <v>0</v>
      </c>
      <c r="DC61" s="214"/>
      <c r="DD61" s="97">
        <f t="shared" si="519"/>
        <v>0</v>
      </c>
      <c r="DE61" s="214"/>
      <c r="DF61" s="99">
        <f t="shared" si="42"/>
        <v>0</v>
      </c>
      <c r="DG61" s="214"/>
      <c r="DH61" s="97">
        <f t="shared" si="519"/>
        <v>0</v>
      </c>
      <c r="DI61" s="214"/>
      <c r="DJ61" s="99" t="e">
        <f t="shared" si="139"/>
        <v>#DIV/0!</v>
      </c>
      <c r="DK61" s="214">
        <v>178</v>
      </c>
      <c r="DL61" s="97">
        <f t="shared" si="519"/>
        <v>178</v>
      </c>
      <c r="DM61" s="214">
        <v>80</v>
      </c>
      <c r="DN61" s="99">
        <f t="shared" si="43"/>
        <v>44.943820224719097</v>
      </c>
      <c r="DO61" s="214">
        <v>565</v>
      </c>
      <c r="DP61" s="97">
        <v>565</v>
      </c>
      <c r="DQ61" s="214">
        <v>556</v>
      </c>
      <c r="DR61" s="99">
        <f t="shared" si="44"/>
        <v>98.407079646017706</v>
      </c>
      <c r="DS61" s="214"/>
      <c r="DT61" s="97">
        <f t="shared" si="519"/>
        <v>0</v>
      </c>
      <c r="DU61" s="214"/>
      <c r="DV61" s="99" t="e">
        <f t="shared" si="140"/>
        <v>#DIV/0!</v>
      </c>
      <c r="DW61" s="214"/>
      <c r="DX61" s="97">
        <f t="shared" si="279"/>
        <v>0</v>
      </c>
      <c r="DY61" s="214"/>
      <c r="DZ61" s="99" t="e">
        <f t="shared" si="142"/>
        <v>#DIV/0!</v>
      </c>
      <c r="EA61" s="214"/>
      <c r="EB61" s="97">
        <f t="shared" si="279"/>
        <v>0</v>
      </c>
      <c r="EC61" s="214"/>
      <c r="ED61" s="99">
        <f t="shared" si="45"/>
        <v>0</v>
      </c>
      <c r="EE61" s="214">
        <v>177</v>
      </c>
      <c r="EF61" s="97">
        <f t="shared" si="279"/>
        <v>177</v>
      </c>
      <c r="EG61" s="214">
        <v>62</v>
      </c>
      <c r="EH61" s="99">
        <f t="shared" si="46"/>
        <v>35.028248587570623</v>
      </c>
      <c r="EI61" s="214"/>
      <c r="EJ61" s="97">
        <f t="shared" si="279"/>
        <v>0</v>
      </c>
      <c r="EK61" s="214"/>
      <c r="EL61" s="99">
        <f t="shared" si="47"/>
        <v>0</v>
      </c>
      <c r="EM61" s="214"/>
      <c r="EN61" s="97">
        <f t="shared" si="279"/>
        <v>0</v>
      </c>
      <c r="EO61" s="214"/>
      <c r="EP61" s="99">
        <f t="shared" si="48"/>
        <v>0</v>
      </c>
      <c r="EQ61" s="214"/>
      <c r="ER61" s="97">
        <f t="shared" si="279"/>
        <v>0</v>
      </c>
      <c r="ES61" s="214"/>
      <c r="ET61" s="99">
        <f t="shared" si="49"/>
        <v>0</v>
      </c>
      <c r="EU61" s="214"/>
      <c r="EV61" s="97">
        <f t="shared" si="279"/>
        <v>0</v>
      </c>
      <c r="EW61" s="214"/>
      <c r="EX61" s="99">
        <f t="shared" si="50"/>
        <v>0</v>
      </c>
      <c r="EY61" s="152">
        <f t="shared" si="51"/>
        <v>2273</v>
      </c>
      <c r="EZ61" s="152">
        <f t="shared" si="17"/>
        <v>2273</v>
      </c>
      <c r="FA61" s="152">
        <f t="shared" si="17"/>
        <v>3080</v>
      </c>
      <c r="FB61" s="152">
        <f t="shared" si="52"/>
        <v>135.50373955125386</v>
      </c>
    </row>
    <row r="62" spans="1:158" ht="31.5" x14ac:dyDescent="0.2">
      <c r="A62" s="183" t="s">
        <v>162</v>
      </c>
      <c r="B62" s="170" t="s">
        <v>339</v>
      </c>
      <c r="C62" s="96"/>
      <c r="D62" s="97">
        <f t="shared" ref="D62:D77" si="520">ROUND(C62/12*$A$7,0)</f>
        <v>0</v>
      </c>
      <c r="E62" s="98"/>
      <c r="F62" s="99" t="e">
        <f t="shared" si="3"/>
        <v>#DIV/0!</v>
      </c>
      <c r="G62" s="214"/>
      <c r="H62" s="97">
        <f t="shared" ref="H62:BP77" si="521">ROUND(G62/12*$A$7,0)</f>
        <v>0</v>
      </c>
      <c r="I62" s="214"/>
      <c r="J62" s="99">
        <f t="shared" si="18"/>
        <v>0</v>
      </c>
      <c r="K62" s="214"/>
      <c r="L62" s="97">
        <f t="shared" si="521"/>
        <v>0</v>
      </c>
      <c r="M62" s="214"/>
      <c r="N62" s="99" t="e">
        <f t="shared" si="138"/>
        <v>#DIV/0!</v>
      </c>
      <c r="O62" s="214"/>
      <c r="P62" s="97">
        <f t="shared" si="521"/>
        <v>0</v>
      </c>
      <c r="Q62" s="214"/>
      <c r="R62" s="99">
        <f t="shared" si="19"/>
        <v>0</v>
      </c>
      <c r="S62" s="214"/>
      <c r="T62" s="97">
        <f t="shared" si="521"/>
        <v>0</v>
      </c>
      <c r="U62" s="214"/>
      <c r="V62" s="99">
        <f t="shared" si="20"/>
        <v>0</v>
      </c>
      <c r="W62" s="214"/>
      <c r="X62" s="97">
        <f t="shared" si="521"/>
        <v>0</v>
      </c>
      <c r="Y62" s="214"/>
      <c r="Z62" s="99">
        <f t="shared" si="21"/>
        <v>0</v>
      </c>
      <c r="AA62" s="214">
        <v>133</v>
      </c>
      <c r="AB62" s="97">
        <f t="shared" si="521"/>
        <v>133</v>
      </c>
      <c r="AC62" s="214">
        <v>180</v>
      </c>
      <c r="AD62" s="99">
        <f t="shared" si="22"/>
        <v>135.33834586466165</v>
      </c>
      <c r="AE62" s="214">
        <v>107</v>
      </c>
      <c r="AF62" s="97">
        <f t="shared" si="521"/>
        <v>107</v>
      </c>
      <c r="AG62" s="214">
        <v>416</v>
      </c>
      <c r="AH62" s="99">
        <f t="shared" si="23"/>
        <v>388.78504672897196</v>
      </c>
      <c r="AI62" s="214"/>
      <c r="AJ62" s="97">
        <f t="shared" si="521"/>
        <v>0</v>
      </c>
      <c r="AK62" s="214"/>
      <c r="AL62" s="99">
        <f t="shared" si="24"/>
        <v>0</v>
      </c>
      <c r="AM62" s="214">
        <v>500</v>
      </c>
      <c r="AN62" s="97">
        <f t="shared" si="521"/>
        <v>500</v>
      </c>
      <c r="AO62" s="214">
        <v>420</v>
      </c>
      <c r="AP62" s="99">
        <f t="shared" si="25"/>
        <v>84</v>
      </c>
      <c r="AQ62" s="214"/>
      <c r="AR62" s="97">
        <f t="shared" si="521"/>
        <v>0</v>
      </c>
      <c r="AS62" s="214"/>
      <c r="AT62" s="99">
        <f t="shared" si="26"/>
        <v>0</v>
      </c>
      <c r="AU62" s="214">
        <v>1654.5</v>
      </c>
      <c r="AV62" s="214">
        <v>1654.5</v>
      </c>
      <c r="AW62" s="214">
        <v>1524</v>
      </c>
      <c r="AX62" s="99">
        <f t="shared" si="27"/>
        <v>92.112420670897549</v>
      </c>
      <c r="AY62" s="214">
        <v>1785</v>
      </c>
      <c r="AZ62" s="214">
        <v>1785</v>
      </c>
      <c r="BA62" s="214">
        <v>1409</v>
      </c>
      <c r="BB62" s="99">
        <f t="shared" si="28"/>
        <v>78.935574229691881</v>
      </c>
      <c r="BC62" s="214">
        <v>1714.5</v>
      </c>
      <c r="BD62" s="97">
        <v>1714.5</v>
      </c>
      <c r="BE62" s="214">
        <v>1606</v>
      </c>
      <c r="BF62" s="99">
        <f t="shared" si="29"/>
        <v>93.671624380285806</v>
      </c>
      <c r="BG62" s="214">
        <v>687</v>
      </c>
      <c r="BH62" s="97">
        <v>687</v>
      </c>
      <c r="BI62" s="214">
        <v>902</v>
      </c>
      <c r="BJ62" s="99">
        <f t="shared" si="30"/>
        <v>131.29548762736536</v>
      </c>
      <c r="BK62" s="214"/>
      <c r="BL62" s="97">
        <f t="shared" si="521"/>
        <v>0</v>
      </c>
      <c r="BM62" s="214"/>
      <c r="BN62" s="99">
        <f t="shared" si="31"/>
        <v>0</v>
      </c>
      <c r="BO62" s="214"/>
      <c r="BP62" s="97">
        <f t="shared" si="521"/>
        <v>0</v>
      </c>
      <c r="BQ62" s="214"/>
      <c r="BR62" s="99">
        <f t="shared" si="32"/>
        <v>0</v>
      </c>
      <c r="BS62" s="214"/>
      <c r="BT62" s="97">
        <f t="shared" si="519"/>
        <v>0</v>
      </c>
      <c r="BU62" s="214"/>
      <c r="BV62" s="99">
        <f t="shared" si="33"/>
        <v>0</v>
      </c>
      <c r="BW62" s="214"/>
      <c r="BX62" s="97">
        <f t="shared" si="519"/>
        <v>0</v>
      </c>
      <c r="BY62" s="214"/>
      <c r="BZ62" s="99">
        <f t="shared" si="34"/>
        <v>0</v>
      </c>
      <c r="CA62" s="214"/>
      <c r="CB62" s="97">
        <f t="shared" si="519"/>
        <v>0</v>
      </c>
      <c r="CC62" s="214"/>
      <c r="CD62" s="99">
        <f t="shared" si="35"/>
        <v>0</v>
      </c>
      <c r="CE62" s="214"/>
      <c r="CF62" s="97">
        <f t="shared" si="519"/>
        <v>0</v>
      </c>
      <c r="CG62" s="214"/>
      <c r="CH62" s="99">
        <f t="shared" si="36"/>
        <v>0</v>
      </c>
      <c r="CI62" s="214"/>
      <c r="CJ62" s="97">
        <f t="shared" si="519"/>
        <v>0</v>
      </c>
      <c r="CK62" s="214"/>
      <c r="CL62" s="99">
        <f t="shared" si="37"/>
        <v>0</v>
      </c>
      <c r="CM62" s="214"/>
      <c r="CN62" s="97">
        <f t="shared" si="519"/>
        <v>0</v>
      </c>
      <c r="CO62" s="214"/>
      <c r="CP62" s="99">
        <f t="shared" si="38"/>
        <v>0</v>
      </c>
      <c r="CQ62" s="214"/>
      <c r="CR62" s="97">
        <f t="shared" si="519"/>
        <v>0</v>
      </c>
      <c r="CS62" s="214"/>
      <c r="CT62" s="99">
        <f t="shared" si="39"/>
        <v>0</v>
      </c>
      <c r="CU62" s="214"/>
      <c r="CV62" s="97">
        <f t="shared" si="519"/>
        <v>0</v>
      </c>
      <c r="CW62" s="214"/>
      <c r="CX62" s="99">
        <f t="shared" si="40"/>
        <v>0</v>
      </c>
      <c r="CY62" s="214"/>
      <c r="CZ62" s="97">
        <f t="shared" si="519"/>
        <v>0</v>
      </c>
      <c r="DA62" s="214"/>
      <c r="DB62" s="99">
        <f t="shared" si="41"/>
        <v>0</v>
      </c>
      <c r="DC62" s="214"/>
      <c r="DD62" s="97">
        <f t="shared" si="519"/>
        <v>0</v>
      </c>
      <c r="DE62" s="214"/>
      <c r="DF62" s="99">
        <f t="shared" si="42"/>
        <v>0</v>
      </c>
      <c r="DG62" s="214"/>
      <c r="DH62" s="97">
        <f t="shared" si="519"/>
        <v>0</v>
      </c>
      <c r="DI62" s="214"/>
      <c r="DJ62" s="99" t="e">
        <f t="shared" si="139"/>
        <v>#DIV/0!</v>
      </c>
      <c r="DK62" s="214">
        <v>381</v>
      </c>
      <c r="DL62" s="97">
        <f t="shared" si="519"/>
        <v>381</v>
      </c>
      <c r="DM62" s="214">
        <v>388</v>
      </c>
      <c r="DN62" s="99">
        <f t="shared" si="43"/>
        <v>101.83727034120736</v>
      </c>
      <c r="DO62" s="214">
        <v>1550</v>
      </c>
      <c r="DP62" s="97">
        <v>1550</v>
      </c>
      <c r="DQ62" s="214">
        <v>1761</v>
      </c>
      <c r="DR62" s="99">
        <f t="shared" si="44"/>
        <v>113.61290322580646</v>
      </c>
      <c r="DS62" s="214"/>
      <c r="DT62" s="97">
        <f t="shared" si="519"/>
        <v>0</v>
      </c>
      <c r="DU62" s="214"/>
      <c r="DV62" s="99" t="e">
        <f t="shared" si="140"/>
        <v>#DIV/0!</v>
      </c>
      <c r="DW62" s="214"/>
      <c r="DX62" s="97">
        <f t="shared" ref="DX62:EV77" si="522">ROUND(DW62/12*$A$7,0)</f>
        <v>0</v>
      </c>
      <c r="DY62" s="214"/>
      <c r="DZ62" s="99" t="e">
        <f t="shared" si="142"/>
        <v>#DIV/0!</v>
      </c>
      <c r="EA62" s="214"/>
      <c r="EB62" s="97">
        <f t="shared" si="522"/>
        <v>0</v>
      </c>
      <c r="EC62" s="214"/>
      <c r="ED62" s="99">
        <f t="shared" si="45"/>
        <v>0</v>
      </c>
      <c r="EE62" s="214">
        <v>350</v>
      </c>
      <c r="EF62" s="97">
        <f t="shared" si="522"/>
        <v>350</v>
      </c>
      <c r="EG62" s="214">
        <v>126</v>
      </c>
      <c r="EH62" s="99">
        <f t="shared" si="46"/>
        <v>36</v>
      </c>
      <c r="EI62" s="214"/>
      <c r="EJ62" s="97">
        <f t="shared" si="522"/>
        <v>0</v>
      </c>
      <c r="EK62" s="214"/>
      <c r="EL62" s="99">
        <f t="shared" si="47"/>
        <v>0</v>
      </c>
      <c r="EM62" s="214"/>
      <c r="EN62" s="97">
        <f t="shared" si="522"/>
        <v>0</v>
      </c>
      <c r="EO62" s="214"/>
      <c r="EP62" s="99">
        <f t="shared" si="48"/>
        <v>0</v>
      </c>
      <c r="EQ62" s="214"/>
      <c r="ER62" s="97">
        <f t="shared" si="522"/>
        <v>0</v>
      </c>
      <c r="ES62" s="214"/>
      <c r="ET62" s="99">
        <f t="shared" si="49"/>
        <v>0</v>
      </c>
      <c r="EU62" s="214"/>
      <c r="EV62" s="97">
        <f t="shared" si="522"/>
        <v>0</v>
      </c>
      <c r="EW62" s="214"/>
      <c r="EX62" s="99">
        <f t="shared" si="50"/>
        <v>0</v>
      </c>
      <c r="EY62" s="152">
        <f t="shared" si="51"/>
        <v>8862</v>
      </c>
      <c r="EZ62" s="152">
        <f t="shared" si="17"/>
        <v>8862</v>
      </c>
      <c r="FA62" s="152">
        <f t="shared" si="17"/>
        <v>8732</v>
      </c>
      <c r="FB62" s="152">
        <f t="shared" si="52"/>
        <v>98.533062514105168</v>
      </c>
    </row>
    <row r="63" spans="1:158" ht="31.5" x14ac:dyDescent="0.2">
      <c r="A63" s="183" t="s">
        <v>163</v>
      </c>
      <c r="B63" s="170" t="s">
        <v>339</v>
      </c>
      <c r="C63" s="96"/>
      <c r="D63" s="97">
        <f t="shared" si="520"/>
        <v>0</v>
      </c>
      <c r="E63" s="98"/>
      <c r="F63" s="99" t="e">
        <f t="shared" si="3"/>
        <v>#DIV/0!</v>
      </c>
      <c r="G63" s="214"/>
      <c r="H63" s="97">
        <f t="shared" si="521"/>
        <v>0</v>
      </c>
      <c r="I63" s="214"/>
      <c r="J63" s="99">
        <f t="shared" si="18"/>
        <v>0</v>
      </c>
      <c r="K63" s="214"/>
      <c r="L63" s="97">
        <f t="shared" si="521"/>
        <v>0</v>
      </c>
      <c r="M63" s="214"/>
      <c r="N63" s="99" t="e">
        <f t="shared" si="138"/>
        <v>#DIV/0!</v>
      </c>
      <c r="O63" s="214"/>
      <c r="P63" s="97">
        <f t="shared" si="521"/>
        <v>0</v>
      </c>
      <c r="Q63" s="214"/>
      <c r="R63" s="99">
        <f t="shared" si="19"/>
        <v>0</v>
      </c>
      <c r="S63" s="214"/>
      <c r="T63" s="97">
        <f t="shared" si="521"/>
        <v>0</v>
      </c>
      <c r="U63" s="214"/>
      <c r="V63" s="99">
        <f t="shared" si="20"/>
        <v>0</v>
      </c>
      <c r="W63" s="214"/>
      <c r="X63" s="97">
        <f t="shared" si="521"/>
        <v>0</v>
      </c>
      <c r="Y63" s="214"/>
      <c r="Z63" s="99">
        <f t="shared" si="21"/>
        <v>0</v>
      </c>
      <c r="AA63" s="214">
        <v>101</v>
      </c>
      <c r="AB63" s="97">
        <f t="shared" si="521"/>
        <v>101</v>
      </c>
      <c r="AC63" s="214">
        <v>181</v>
      </c>
      <c r="AD63" s="99">
        <f t="shared" si="22"/>
        <v>179.20792079207922</v>
      </c>
      <c r="AE63" s="214">
        <v>55</v>
      </c>
      <c r="AF63" s="97">
        <f t="shared" si="521"/>
        <v>55</v>
      </c>
      <c r="AG63" s="214">
        <v>99</v>
      </c>
      <c r="AH63" s="99">
        <f t="shared" si="23"/>
        <v>180</v>
      </c>
      <c r="AI63" s="214"/>
      <c r="AJ63" s="97">
        <f t="shared" si="521"/>
        <v>0</v>
      </c>
      <c r="AK63" s="214"/>
      <c r="AL63" s="99">
        <f t="shared" si="24"/>
        <v>0</v>
      </c>
      <c r="AM63" s="214"/>
      <c r="AN63" s="97">
        <f t="shared" si="521"/>
        <v>0</v>
      </c>
      <c r="AO63" s="214">
        <v>78</v>
      </c>
      <c r="AP63" s="99">
        <f t="shared" si="25"/>
        <v>0</v>
      </c>
      <c r="AQ63" s="214"/>
      <c r="AR63" s="97">
        <f t="shared" si="521"/>
        <v>0</v>
      </c>
      <c r="AS63" s="214"/>
      <c r="AT63" s="99">
        <f t="shared" si="26"/>
        <v>0</v>
      </c>
      <c r="AU63" s="214">
        <v>702</v>
      </c>
      <c r="AV63" s="214">
        <v>702</v>
      </c>
      <c r="AW63" s="214">
        <v>620</v>
      </c>
      <c r="AX63" s="99">
        <f t="shared" si="27"/>
        <v>88.319088319088323</v>
      </c>
      <c r="AY63" s="214">
        <v>1027.5</v>
      </c>
      <c r="AZ63" s="214">
        <v>1027.5</v>
      </c>
      <c r="BA63" s="214">
        <v>798</v>
      </c>
      <c r="BB63" s="99">
        <f t="shared" si="28"/>
        <v>77.664233576642346</v>
      </c>
      <c r="BC63" s="214">
        <v>765</v>
      </c>
      <c r="BD63" s="97">
        <v>765</v>
      </c>
      <c r="BE63" s="214">
        <v>607</v>
      </c>
      <c r="BF63" s="99">
        <f t="shared" si="29"/>
        <v>79.346405228758172</v>
      </c>
      <c r="BG63" s="214">
        <v>649.5</v>
      </c>
      <c r="BH63" s="97">
        <v>649.5</v>
      </c>
      <c r="BI63" s="214">
        <v>433</v>
      </c>
      <c r="BJ63" s="99">
        <f t="shared" si="30"/>
        <v>66.666666666666657</v>
      </c>
      <c r="BK63" s="214"/>
      <c r="BL63" s="97">
        <f t="shared" si="521"/>
        <v>0</v>
      </c>
      <c r="BM63" s="214"/>
      <c r="BN63" s="99">
        <f t="shared" si="31"/>
        <v>0</v>
      </c>
      <c r="BO63" s="214"/>
      <c r="BP63" s="97">
        <f t="shared" si="521"/>
        <v>0</v>
      </c>
      <c r="BQ63" s="214"/>
      <c r="BR63" s="99">
        <f t="shared" si="32"/>
        <v>0</v>
      </c>
      <c r="BS63" s="214"/>
      <c r="BT63" s="97">
        <f t="shared" si="519"/>
        <v>0</v>
      </c>
      <c r="BU63" s="214"/>
      <c r="BV63" s="99">
        <f t="shared" si="33"/>
        <v>0</v>
      </c>
      <c r="BW63" s="214"/>
      <c r="BX63" s="97">
        <f t="shared" si="519"/>
        <v>0</v>
      </c>
      <c r="BY63" s="214"/>
      <c r="BZ63" s="99">
        <f t="shared" si="34"/>
        <v>0</v>
      </c>
      <c r="CA63" s="214"/>
      <c r="CB63" s="97">
        <f t="shared" si="519"/>
        <v>0</v>
      </c>
      <c r="CC63" s="214"/>
      <c r="CD63" s="99">
        <f t="shared" si="35"/>
        <v>0</v>
      </c>
      <c r="CE63" s="214"/>
      <c r="CF63" s="97">
        <f t="shared" si="519"/>
        <v>0</v>
      </c>
      <c r="CG63" s="214"/>
      <c r="CH63" s="99">
        <f t="shared" si="36"/>
        <v>0</v>
      </c>
      <c r="CI63" s="214"/>
      <c r="CJ63" s="97">
        <f t="shared" si="519"/>
        <v>0</v>
      </c>
      <c r="CK63" s="214"/>
      <c r="CL63" s="99">
        <f t="shared" si="37"/>
        <v>0</v>
      </c>
      <c r="CM63" s="214"/>
      <c r="CN63" s="97">
        <f t="shared" si="519"/>
        <v>0</v>
      </c>
      <c r="CO63" s="214"/>
      <c r="CP63" s="99">
        <f t="shared" si="38"/>
        <v>0</v>
      </c>
      <c r="CQ63" s="214"/>
      <c r="CR63" s="97">
        <f t="shared" si="519"/>
        <v>0</v>
      </c>
      <c r="CS63" s="214"/>
      <c r="CT63" s="99">
        <f t="shared" si="39"/>
        <v>0</v>
      </c>
      <c r="CU63" s="214"/>
      <c r="CV63" s="97">
        <f t="shared" si="519"/>
        <v>0</v>
      </c>
      <c r="CW63" s="214"/>
      <c r="CX63" s="99">
        <f t="shared" si="40"/>
        <v>0</v>
      </c>
      <c r="CY63" s="214"/>
      <c r="CZ63" s="97">
        <f t="shared" si="519"/>
        <v>0</v>
      </c>
      <c r="DA63" s="214"/>
      <c r="DB63" s="99">
        <f t="shared" si="41"/>
        <v>0</v>
      </c>
      <c r="DC63" s="214"/>
      <c r="DD63" s="97">
        <f t="shared" si="519"/>
        <v>0</v>
      </c>
      <c r="DE63" s="214"/>
      <c r="DF63" s="99">
        <f t="shared" si="42"/>
        <v>0</v>
      </c>
      <c r="DG63" s="214"/>
      <c r="DH63" s="97">
        <f t="shared" si="519"/>
        <v>0</v>
      </c>
      <c r="DI63" s="214"/>
      <c r="DJ63" s="99" t="e">
        <f t="shared" si="139"/>
        <v>#DIV/0!</v>
      </c>
      <c r="DK63" s="214">
        <v>186</v>
      </c>
      <c r="DL63" s="97">
        <f t="shared" si="519"/>
        <v>186</v>
      </c>
      <c r="DM63" s="214">
        <v>187</v>
      </c>
      <c r="DN63" s="99">
        <f t="shared" si="43"/>
        <v>100.53763440860214</v>
      </c>
      <c r="DO63" s="214">
        <v>750</v>
      </c>
      <c r="DP63" s="97">
        <v>750</v>
      </c>
      <c r="DQ63" s="214">
        <v>868</v>
      </c>
      <c r="DR63" s="99">
        <f t="shared" si="44"/>
        <v>115.73333333333333</v>
      </c>
      <c r="DS63" s="214"/>
      <c r="DT63" s="97">
        <f t="shared" si="519"/>
        <v>0</v>
      </c>
      <c r="DU63" s="214"/>
      <c r="DV63" s="99" t="e">
        <f t="shared" si="140"/>
        <v>#DIV/0!</v>
      </c>
      <c r="DW63" s="214"/>
      <c r="DX63" s="97">
        <f t="shared" si="522"/>
        <v>0</v>
      </c>
      <c r="DY63" s="214"/>
      <c r="DZ63" s="99" t="e">
        <f t="shared" si="142"/>
        <v>#DIV/0!</v>
      </c>
      <c r="EA63" s="214"/>
      <c r="EB63" s="97">
        <f t="shared" si="522"/>
        <v>0</v>
      </c>
      <c r="EC63" s="214"/>
      <c r="ED63" s="99">
        <f t="shared" si="45"/>
        <v>0</v>
      </c>
      <c r="EE63" s="214">
        <v>148</v>
      </c>
      <c r="EF63" s="97">
        <f t="shared" si="522"/>
        <v>148</v>
      </c>
      <c r="EG63" s="214">
        <v>151</v>
      </c>
      <c r="EH63" s="99">
        <f t="shared" si="46"/>
        <v>102.02702702702702</v>
      </c>
      <c r="EI63" s="214"/>
      <c r="EJ63" s="97">
        <f t="shared" si="522"/>
        <v>0</v>
      </c>
      <c r="EK63" s="214"/>
      <c r="EL63" s="99">
        <f t="shared" si="47"/>
        <v>0</v>
      </c>
      <c r="EM63" s="214"/>
      <c r="EN63" s="97">
        <f t="shared" si="522"/>
        <v>0</v>
      </c>
      <c r="EO63" s="214"/>
      <c r="EP63" s="99">
        <f t="shared" si="48"/>
        <v>0</v>
      </c>
      <c r="EQ63" s="214"/>
      <c r="ER63" s="97">
        <f t="shared" si="522"/>
        <v>0</v>
      </c>
      <c r="ES63" s="214"/>
      <c r="ET63" s="99">
        <f t="shared" si="49"/>
        <v>0</v>
      </c>
      <c r="EU63" s="214"/>
      <c r="EV63" s="97">
        <f t="shared" si="522"/>
        <v>0</v>
      </c>
      <c r="EW63" s="214"/>
      <c r="EX63" s="99">
        <f t="shared" si="50"/>
        <v>0</v>
      </c>
      <c r="EY63" s="152">
        <f t="shared" si="51"/>
        <v>4384</v>
      </c>
      <c r="EZ63" s="152">
        <f t="shared" si="17"/>
        <v>4384</v>
      </c>
      <c r="FA63" s="152">
        <f t="shared" si="17"/>
        <v>4022</v>
      </c>
      <c r="FB63" s="152">
        <f t="shared" si="52"/>
        <v>91.742700729927009</v>
      </c>
    </row>
    <row r="64" spans="1:158" ht="31.5" x14ac:dyDescent="0.2">
      <c r="A64" s="183" t="s">
        <v>164</v>
      </c>
      <c r="B64" s="170" t="s">
        <v>339</v>
      </c>
      <c r="C64" s="96"/>
      <c r="D64" s="97">
        <f t="shared" si="520"/>
        <v>0</v>
      </c>
      <c r="E64" s="98"/>
      <c r="F64" s="99" t="e">
        <f t="shared" si="3"/>
        <v>#DIV/0!</v>
      </c>
      <c r="G64" s="214"/>
      <c r="H64" s="97">
        <f t="shared" si="521"/>
        <v>0</v>
      </c>
      <c r="I64" s="214"/>
      <c r="J64" s="99">
        <f t="shared" si="18"/>
        <v>0</v>
      </c>
      <c r="K64" s="214"/>
      <c r="L64" s="97">
        <f t="shared" si="521"/>
        <v>0</v>
      </c>
      <c r="M64" s="214"/>
      <c r="N64" s="99" t="e">
        <f t="shared" si="138"/>
        <v>#DIV/0!</v>
      </c>
      <c r="O64" s="214"/>
      <c r="P64" s="97">
        <f t="shared" si="521"/>
        <v>0</v>
      </c>
      <c r="Q64" s="214"/>
      <c r="R64" s="99">
        <f t="shared" si="19"/>
        <v>0</v>
      </c>
      <c r="S64" s="214"/>
      <c r="T64" s="97">
        <f t="shared" si="521"/>
        <v>0</v>
      </c>
      <c r="U64" s="214"/>
      <c r="V64" s="99">
        <f t="shared" si="20"/>
        <v>0</v>
      </c>
      <c r="W64" s="214"/>
      <c r="X64" s="97">
        <f t="shared" si="521"/>
        <v>0</v>
      </c>
      <c r="Y64" s="214"/>
      <c r="Z64" s="99">
        <f t="shared" si="21"/>
        <v>0</v>
      </c>
      <c r="AA64" s="214">
        <v>94</v>
      </c>
      <c r="AB64" s="97">
        <f t="shared" si="521"/>
        <v>94</v>
      </c>
      <c r="AC64" s="214">
        <v>139</v>
      </c>
      <c r="AD64" s="99">
        <f t="shared" si="22"/>
        <v>147.87234042553192</v>
      </c>
      <c r="AE64" s="214">
        <v>42</v>
      </c>
      <c r="AF64" s="97">
        <f t="shared" si="521"/>
        <v>42</v>
      </c>
      <c r="AG64" s="214">
        <v>132</v>
      </c>
      <c r="AH64" s="99">
        <f t="shared" si="23"/>
        <v>314.28571428571428</v>
      </c>
      <c r="AI64" s="214"/>
      <c r="AJ64" s="97">
        <f t="shared" si="521"/>
        <v>0</v>
      </c>
      <c r="AK64" s="214"/>
      <c r="AL64" s="99">
        <f t="shared" si="24"/>
        <v>0</v>
      </c>
      <c r="AM64" s="214"/>
      <c r="AN64" s="97">
        <f t="shared" si="521"/>
        <v>0</v>
      </c>
      <c r="AO64" s="214">
        <v>81</v>
      </c>
      <c r="AP64" s="99">
        <f t="shared" si="25"/>
        <v>0</v>
      </c>
      <c r="AQ64" s="214"/>
      <c r="AR64" s="97">
        <f t="shared" si="521"/>
        <v>0</v>
      </c>
      <c r="AS64" s="214"/>
      <c r="AT64" s="99">
        <f t="shared" si="26"/>
        <v>0</v>
      </c>
      <c r="AU64" s="214">
        <v>823.5</v>
      </c>
      <c r="AV64" s="214">
        <v>823.5</v>
      </c>
      <c r="AW64" s="214">
        <v>552</v>
      </c>
      <c r="AX64" s="99">
        <f t="shared" si="27"/>
        <v>67.030965391621137</v>
      </c>
      <c r="AY64" s="214">
        <v>429</v>
      </c>
      <c r="AZ64" s="214">
        <v>429</v>
      </c>
      <c r="BA64" s="214">
        <v>630</v>
      </c>
      <c r="BB64" s="99">
        <f t="shared" si="28"/>
        <v>146.85314685314685</v>
      </c>
      <c r="BC64" s="214">
        <v>903</v>
      </c>
      <c r="BD64" s="97">
        <v>903</v>
      </c>
      <c r="BE64" s="214">
        <v>645</v>
      </c>
      <c r="BF64" s="99">
        <f t="shared" si="29"/>
        <v>71.428571428571431</v>
      </c>
      <c r="BG64" s="214">
        <v>81</v>
      </c>
      <c r="BH64" s="97">
        <v>81</v>
      </c>
      <c r="BI64" s="214">
        <v>54</v>
      </c>
      <c r="BJ64" s="99">
        <f t="shared" si="30"/>
        <v>66.666666666666657</v>
      </c>
      <c r="BK64" s="214"/>
      <c r="BL64" s="97">
        <f t="shared" si="521"/>
        <v>0</v>
      </c>
      <c r="BM64" s="214"/>
      <c r="BN64" s="99">
        <f t="shared" si="31"/>
        <v>0</v>
      </c>
      <c r="BO64" s="214"/>
      <c r="BP64" s="97">
        <f t="shared" si="521"/>
        <v>0</v>
      </c>
      <c r="BQ64" s="214"/>
      <c r="BR64" s="99">
        <f t="shared" si="32"/>
        <v>0</v>
      </c>
      <c r="BS64" s="214"/>
      <c r="BT64" s="97">
        <f t="shared" si="519"/>
        <v>0</v>
      </c>
      <c r="BU64" s="214"/>
      <c r="BV64" s="99">
        <f t="shared" si="33"/>
        <v>0</v>
      </c>
      <c r="BW64" s="214"/>
      <c r="BX64" s="97">
        <f t="shared" si="519"/>
        <v>0</v>
      </c>
      <c r="BY64" s="214"/>
      <c r="BZ64" s="99">
        <f t="shared" si="34"/>
        <v>0</v>
      </c>
      <c r="CA64" s="214"/>
      <c r="CB64" s="97">
        <f t="shared" si="519"/>
        <v>0</v>
      </c>
      <c r="CC64" s="214"/>
      <c r="CD64" s="99">
        <f t="shared" si="35"/>
        <v>0</v>
      </c>
      <c r="CE64" s="214"/>
      <c r="CF64" s="97">
        <f t="shared" si="519"/>
        <v>0</v>
      </c>
      <c r="CG64" s="214"/>
      <c r="CH64" s="99">
        <f t="shared" si="36"/>
        <v>0</v>
      </c>
      <c r="CI64" s="214"/>
      <c r="CJ64" s="97">
        <f t="shared" si="519"/>
        <v>0</v>
      </c>
      <c r="CK64" s="214"/>
      <c r="CL64" s="99">
        <f t="shared" si="37"/>
        <v>0</v>
      </c>
      <c r="CM64" s="214"/>
      <c r="CN64" s="97">
        <f t="shared" si="519"/>
        <v>0</v>
      </c>
      <c r="CO64" s="214"/>
      <c r="CP64" s="99">
        <f t="shared" si="38"/>
        <v>0</v>
      </c>
      <c r="CQ64" s="214"/>
      <c r="CR64" s="97">
        <f t="shared" si="519"/>
        <v>0</v>
      </c>
      <c r="CS64" s="214"/>
      <c r="CT64" s="99">
        <f t="shared" si="39"/>
        <v>0</v>
      </c>
      <c r="CU64" s="214"/>
      <c r="CV64" s="97">
        <f t="shared" si="519"/>
        <v>0</v>
      </c>
      <c r="CW64" s="214"/>
      <c r="CX64" s="99">
        <f t="shared" si="40"/>
        <v>0</v>
      </c>
      <c r="CY64" s="214"/>
      <c r="CZ64" s="97">
        <f t="shared" si="519"/>
        <v>0</v>
      </c>
      <c r="DA64" s="214"/>
      <c r="DB64" s="99">
        <f t="shared" si="41"/>
        <v>0</v>
      </c>
      <c r="DC64" s="214"/>
      <c r="DD64" s="97">
        <f t="shared" si="519"/>
        <v>0</v>
      </c>
      <c r="DE64" s="214"/>
      <c r="DF64" s="99">
        <f t="shared" si="42"/>
        <v>0</v>
      </c>
      <c r="DG64" s="214"/>
      <c r="DH64" s="97">
        <f t="shared" si="519"/>
        <v>0</v>
      </c>
      <c r="DI64" s="214"/>
      <c r="DJ64" s="99" t="e">
        <f t="shared" si="139"/>
        <v>#DIV/0!</v>
      </c>
      <c r="DK64" s="214">
        <v>181</v>
      </c>
      <c r="DL64" s="97">
        <f t="shared" si="519"/>
        <v>181</v>
      </c>
      <c r="DM64" s="214">
        <v>97</v>
      </c>
      <c r="DN64" s="99">
        <f t="shared" si="43"/>
        <v>53.591160220994475</v>
      </c>
      <c r="DO64" s="214">
        <v>800</v>
      </c>
      <c r="DP64" s="97">
        <v>800</v>
      </c>
      <c r="DQ64" s="214">
        <v>856</v>
      </c>
      <c r="DR64" s="99">
        <f t="shared" si="44"/>
        <v>107</v>
      </c>
      <c r="DS64" s="214"/>
      <c r="DT64" s="97">
        <f t="shared" si="519"/>
        <v>0</v>
      </c>
      <c r="DU64" s="214"/>
      <c r="DV64" s="99" t="e">
        <f t="shared" si="140"/>
        <v>#DIV/0!</v>
      </c>
      <c r="DW64" s="214"/>
      <c r="DX64" s="97">
        <f t="shared" si="522"/>
        <v>0</v>
      </c>
      <c r="DY64" s="214"/>
      <c r="DZ64" s="99" t="e">
        <f t="shared" si="142"/>
        <v>#DIV/0!</v>
      </c>
      <c r="EA64" s="214"/>
      <c r="EB64" s="97">
        <f t="shared" si="522"/>
        <v>0</v>
      </c>
      <c r="EC64" s="214"/>
      <c r="ED64" s="99">
        <f t="shared" si="45"/>
        <v>0</v>
      </c>
      <c r="EE64" s="214">
        <v>144</v>
      </c>
      <c r="EF64" s="97">
        <f t="shared" si="522"/>
        <v>144</v>
      </c>
      <c r="EG64" s="214">
        <v>275</v>
      </c>
      <c r="EH64" s="99">
        <f t="shared" si="46"/>
        <v>190.97222222222223</v>
      </c>
      <c r="EI64" s="214"/>
      <c r="EJ64" s="97">
        <f t="shared" si="522"/>
        <v>0</v>
      </c>
      <c r="EK64" s="214"/>
      <c r="EL64" s="99">
        <f t="shared" si="47"/>
        <v>0</v>
      </c>
      <c r="EM64" s="214"/>
      <c r="EN64" s="97">
        <f t="shared" si="522"/>
        <v>0</v>
      </c>
      <c r="EO64" s="214"/>
      <c r="EP64" s="99">
        <f t="shared" si="48"/>
        <v>0</v>
      </c>
      <c r="EQ64" s="214"/>
      <c r="ER64" s="97">
        <f t="shared" si="522"/>
        <v>0</v>
      </c>
      <c r="ES64" s="214"/>
      <c r="ET64" s="99">
        <f t="shared" si="49"/>
        <v>0</v>
      </c>
      <c r="EU64" s="214"/>
      <c r="EV64" s="97">
        <f t="shared" si="522"/>
        <v>0</v>
      </c>
      <c r="EW64" s="214"/>
      <c r="EX64" s="99">
        <f t="shared" si="50"/>
        <v>0</v>
      </c>
      <c r="EY64" s="152">
        <f t="shared" si="51"/>
        <v>3497.5</v>
      </c>
      <c r="EZ64" s="152">
        <f t="shared" si="17"/>
        <v>3497.5</v>
      </c>
      <c r="FA64" s="152">
        <f t="shared" si="17"/>
        <v>3461</v>
      </c>
      <c r="FB64" s="152">
        <f t="shared" si="52"/>
        <v>98.956397426733375</v>
      </c>
    </row>
    <row r="65" spans="1:158" ht="31.5" x14ac:dyDescent="0.2">
      <c r="A65" s="183" t="s">
        <v>165</v>
      </c>
      <c r="B65" s="170" t="s">
        <v>339</v>
      </c>
      <c r="C65" s="96"/>
      <c r="D65" s="97">
        <f t="shared" si="520"/>
        <v>0</v>
      </c>
      <c r="E65" s="98"/>
      <c r="F65" s="99" t="e">
        <f t="shared" si="3"/>
        <v>#DIV/0!</v>
      </c>
      <c r="G65" s="214"/>
      <c r="H65" s="97">
        <f t="shared" si="521"/>
        <v>0</v>
      </c>
      <c r="I65" s="214"/>
      <c r="J65" s="99">
        <f t="shared" si="18"/>
        <v>0</v>
      </c>
      <c r="K65" s="214"/>
      <c r="L65" s="97">
        <f t="shared" si="521"/>
        <v>0</v>
      </c>
      <c r="M65" s="214"/>
      <c r="N65" s="99" t="e">
        <f t="shared" si="138"/>
        <v>#DIV/0!</v>
      </c>
      <c r="O65" s="214"/>
      <c r="P65" s="97">
        <f t="shared" si="521"/>
        <v>0</v>
      </c>
      <c r="Q65" s="214"/>
      <c r="R65" s="99">
        <f t="shared" si="19"/>
        <v>0</v>
      </c>
      <c r="S65" s="214"/>
      <c r="T65" s="97">
        <f t="shared" si="521"/>
        <v>0</v>
      </c>
      <c r="U65" s="214"/>
      <c r="V65" s="99">
        <f t="shared" si="20"/>
        <v>0</v>
      </c>
      <c r="W65" s="214"/>
      <c r="X65" s="97">
        <f t="shared" si="521"/>
        <v>0</v>
      </c>
      <c r="Y65" s="214"/>
      <c r="Z65" s="99">
        <f t="shared" si="21"/>
        <v>0</v>
      </c>
      <c r="AA65" s="214">
        <v>98</v>
      </c>
      <c r="AB65" s="97">
        <f t="shared" si="521"/>
        <v>98</v>
      </c>
      <c r="AC65" s="214">
        <v>264</v>
      </c>
      <c r="AD65" s="99">
        <f t="shared" si="22"/>
        <v>269.38775510204079</v>
      </c>
      <c r="AE65" s="214">
        <v>73</v>
      </c>
      <c r="AF65" s="97">
        <f t="shared" si="521"/>
        <v>73</v>
      </c>
      <c r="AG65" s="214">
        <v>162</v>
      </c>
      <c r="AH65" s="99">
        <f t="shared" si="23"/>
        <v>221.91780821917808</v>
      </c>
      <c r="AI65" s="214"/>
      <c r="AJ65" s="97">
        <f t="shared" si="521"/>
        <v>0</v>
      </c>
      <c r="AK65" s="214"/>
      <c r="AL65" s="99">
        <f t="shared" si="24"/>
        <v>0</v>
      </c>
      <c r="AM65" s="214"/>
      <c r="AN65" s="97">
        <f t="shared" si="521"/>
        <v>0</v>
      </c>
      <c r="AO65" s="214">
        <v>138</v>
      </c>
      <c r="AP65" s="99">
        <f t="shared" si="25"/>
        <v>0</v>
      </c>
      <c r="AQ65" s="214"/>
      <c r="AR65" s="97">
        <f t="shared" si="521"/>
        <v>0</v>
      </c>
      <c r="AS65" s="214"/>
      <c r="AT65" s="99">
        <f t="shared" si="26"/>
        <v>0</v>
      </c>
      <c r="AU65" s="214">
        <v>313.5</v>
      </c>
      <c r="AV65" s="214">
        <v>313.5</v>
      </c>
      <c r="AW65" s="214">
        <v>797</v>
      </c>
      <c r="AX65" s="99">
        <f t="shared" si="27"/>
        <v>254.22647527910684</v>
      </c>
      <c r="AY65" s="214">
        <v>4.5</v>
      </c>
      <c r="AZ65" s="214">
        <v>4.5</v>
      </c>
      <c r="BA65" s="214">
        <v>680</v>
      </c>
      <c r="BB65" s="99">
        <f t="shared" si="28"/>
        <v>15111.111111111111</v>
      </c>
      <c r="BC65" s="214">
        <v>4.5</v>
      </c>
      <c r="BD65" s="97">
        <v>4.5</v>
      </c>
      <c r="BE65" s="214">
        <v>525</v>
      </c>
      <c r="BF65" s="99">
        <f t="shared" si="29"/>
        <v>11666.666666666668</v>
      </c>
      <c r="BG65" s="214">
        <v>0</v>
      </c>
      <c r="BH65" s="97">
        <v>0</v>
      </c>
      <c r="BI65" s="214">
        <v>571</v>
      </c>
      <c r="BJ65" s="99">
        <f t="shared" si="30"/>
        <v>0</v>
      </c>
      <c r="BK65" s="214"/>
      <c r="BL65" s="97">
        <f t="shared" si="521"/>
        <v>0</v>
      </c>
      <c r="BM65" s="214"/>
      <c r="BN65" s="99">
        <f t="shared" si="31"/>
        <v>0</v>
      </c>
      <c r="BO65" s="214"/>
      <c r="BP65" s="97">
        <f t="shared" si="521"/>
        <v>0</v>
      </c>
      <c r="BQ65" s="214"/>
      <c r="BR65" s="99">
        <f t="shared" si="32"/>
        <v>0</v>
      </c>
      <c r="BS65" s="214"/>
      <c r="BT65" s="97">
        <f t="shared" si="519"/>
        <v>0</v>
      </c>
      <c r="BU65" s="214"/>
      <c r="BV65" s="99">
        <f t="shared" si="33"/>
        <v>0</v>
      </c>
      <c r="BW65" s="214"/>
      <c r="BX65" s="97">
        <f t="shared" si="519"/>
        <v>0</v>
      </c>
      <c r="BY65" s="214"/>
      <c r="BZ65" s="99">
        <f t="shared" si="34"/>
        <v>0</v>
      </c>
      <c r="CA65" s="214"/>
      <c r="CB65" s="97">
        <f t="shared" si="519"/>
        <v>0</v>
      </c>
      <c r="CC65" s="214"/>
      <c r="CD65" s="99">
        <f t="shared" si="35"/>
        <v>0</v>
      </c>
      <c r="CE65" s="214"/>
      <c r="CF65" s="97">
        <f t="shared" si="519"/>
        <v>0</v>
      </c>
      <c r="CG65" s="214"/>
      <c r="CH65" s="99">
        <f t="shared" si="36"/>
        <v>0</v>
      </c>
      <c r="CI65" s="214"/>
      <c r="CJ65" s="97">
        <f t="shared" si="519"/>
        <v>0</v>
      </c>
      <c r="CK65" s="214"/>
      <c r="CL65" s="99">
        <f t="shared" si="37"/>
        <v>0</v>
      </c>
      <c r="CM65" s="214"/>
      <c r="CN65" s="97">
        <f t="shared" si="519"/>
        <v>0</v>
      </c>
      <c r="CO65" s="214"/>
      <c r="CP65" s="99">
        <f t="shared" si="38"/>
        <v>0</v>
      </c>
      <c r="CQ65" s="214"/>
      <c r="CR65" s="97">
        <f t="shared" si="519"/>
        <v>0</v>
      </c>
      <c r="CS65" s="214"/>
      <c r="CT65" s="99">
        <f t="shared" si="39"/>
        <v>0</v>
      </c>
      <c r="CU65" s="214"/>
      <c r="CV65" s="97">
        <f t="shared" si="519"/>
        <v>0</v>
      </c>
      <c r="CW65" s="214"/>
      <c r="CX65" s="99">
        <f t="shared" si="40"/>
        <v>0</v>
      </c>
      <c r="CY65" s="214"/>
      <c r="CZ65" s="97">
        <f t="shared" si="519"/>
        <v>0</v>
      </c>
      <c r="DA65" s="214"/>
      <c r="DB65" s="99">
        <f t="shared" si="41"/>
        <v>0</v>
      </c>
      <c r="DC65" s="214"/>
      <c r="DD65" s="97">
        <f t="shared" si="519"/>
        <v>0</v>
      </c>
      <c r="DE65" s="214"/>
      <c r="DF65" s="99">
        <f t="shared" si="42"/>
        <v>0</v>
      </c>
      <c r="DG65" s="214"/>
      <c r="DH65" s="97">
        <f t="shared" si="519"/>
        <v>0</v>
      </c>
      <c r="DI65" s="214"/>
      <c r="DJ65" s="99" t="e">
        <f t="shared" si="139"/>
        <v>#DIV/0!</v>
      </c>
      <c r="DK65" s="214">
        <v>197</v>
      </c>
      <c r="DL65" s="97">
        <f t="shared" si="519"/>
        <v>197</v>
      </c>
      <c r="DM65" s="214">
        <v>366</v>
      </c>
      <c r="DN65" s="99">
        <f t="shared" si="43"/>
        <v>185.78680203045684</v>
      </c>
      <c r="DO65" s="214">
        <v>900</v>
      </c>
      <c r="DP65" s="97">
        <v>900</v>
      </c>
      <c r="DQ65" s="214">
        <v>1072</v>
      </c>
      <c r="DR65" s="99">
        <f t="shared" si="44"/>
        <v>119.1111111111111</v>
      </c>
      <c r="DS65" s="214"/>
      <c r="DT65" s="97">
        <f t="shared" si="519"/>
        <v>0</v>
      </c>
      <c r="DU65" s="214"/>
      <c r="DV65" s="99" t="e">
        <f t="shared" si="140"/>
        <v>#DIV/0!</v>
      </c>
      <c r="DW65" s="214"/>
      <c r="DX65" s="97">
        <f t="shared" si="522"/>
        <v>0</v>
      </c>
      <c r="DY65" s="214"/>
      <c r="DZ65" s="99" t="e">
        <f t="shared" si="142"/>
        <v>#DIV/0!</v>
      </c>
      <c r="EA65" s="214"/>
      <c r="EB65" s="97">
        <f t="shared" si="522"/>
        <v>0</v>
      </c>
      <c r="EC65" s="214"/>
      <c r="ED65" s="99">
        <f t="shared" si="45"/>
        <v>0</v>
      </c>
      <c r="EE65" s="214">
        <v>145</v>
      </c>
      <c r="EF65" s="97">
        <f t="shared" si="522"/>
        <v>145</v>
      </c>
      <c r="EG65" s="214">
        <v>152</v>
      </c>
      <c r="EH65" s="99">
        <f t="shared" si="46"/>
        <v>104.82758620689656</v>
      </c>
      <c r="EI65" s="214"/>
      <c r="EJ65" s="97">
        <f t="shared" si="522"/>
        <v>0</v>
      </c>
      <c r="EK65" s="214"/>
      <c r="EL65" s="99">
        <f t="shared" si="47"/>
        <v>0</v>
      </c>
      <c r="EM65" s="214"/>
      <c r="EN65" s="97">
        <f t="shared" si="522"/>
        <v>0</v>
      </c>
      <c r="EO65" s="214"/>
      <c r="EP65" s="99">
        <f t="shared" si="48"/>
        <v>0</v>
      </c>
      <c r="EQ65" s="214"/>
      <c r="ER65" s="97">
        <f t="shared" si="522"/>
        <v>0</v>
      </c>
      <c r="ES65" s="214"/>
      <c r="ET65" s="99">
        <f t="shared" si="49"/>
        <v>0</v>
      </c>
      <c r="EU65" s="214"/>
      <c r="EV65" s="97">
        <f t="shared" si="522"/>
        <v>0</v>
      </c>
      <c r="EW65" s="214"/>
      <c r="EX65" s="99">
        <f t="shared" si="50"/>
        <v>0</v>
      </c>
      <c r="EY65" s="152">
        <f t="shared" si="51"/>
        <v>1735.5</v>
      </c>
      <c r="EZ65" s="152">
        <f t="shared" si="17"/>
        <v>1735.5</v>
      </c>
      <c r="FA65" s="152">
        <f t="shared" si="17"/>
        <v>4727</v>
      </c>
      <c r="FB65" s="152">
        <f t="shared" si="52"/>
        <v>272.3710746182656</v>
      </c>
    </row>
    <row r="66" spans="1:158" ht="31.5" x14ac:dyDescent="0.2">
      <c r="A66" s="183" t="s">
        <v>166</v>
      </c>
      <c r="B66" s="170" t="s">
        <v>339</v>
      </c>
      <c r="C66" s="96"/>
      <c r="D66" s="97">
        <f t="shared" si="520"/>
        <v>0</v>
      </c>
      <c r="E66" s="98"/>
      <c r="F66" s="99" t="e">
        <f t="shared" si="3"/>
        <v>#DIV/0!</v>
      </c>
      <c r="G66" s="214"/>
      <c r="H66" s="97">
        <f t="shared" si="521"/>
        <v>0</v>
      </c>
      <c r="I66" s="214"/>
      <c r="J66" s="99">
        <f t="shared" si="18"/>
        <v>0</v>
      </c>
      <c r="K66" s="214"/>
      <c r="L66" s="97">
        <f t="shared" si="521"/>
        <v>0</v>
      </c>
      <c r="M66" s="214"/>
      <c r="N66" s="99" t="e">
        <f t="shared" si="138"/>
        <v>#DIV/0!</v>
      </c>
      <c r="O66" s="214"/>
      <c r="P66" s="97">
        <f t="shared" si="521"/>
        <v>0</v>
      </c>
      <c r="Q66" s="214"/>
      <c r="R66" s="99">
        <f t="shared" si="19"/>
        <v>0</v>
      </c>
      <c r="S66" s="214"/>
      <c r="T66" s="97">
        <f t="shared" si="521"/>
        <v>0</v>
      </c>
      <c r="U66" s="214"/>
      <c r="V66" s="99">
        <f t="shared" si="20"/>
        <v>0</v>
      </c>
      <c r="W66" s="214"/>
      <c r="X66" s="97">
        <f t="shared" si="521"/>
        <v>0</v>
      </c>
      <c r="Y66" s="214"/>
      <c r="Z66" s="99">
        <f t="shared" si="21"/>
        <v>0</v>
      </c>
      <c r="AA66" s="214">
        <v>97</v>
      </c>
      <c r="AB66" s="97">
        <f t="shared" si="521"/>
        <v>97</v>
      </c>
      <c r="AC66" s="214">
        <v>89</v>
      </c>
      <c r="AD66" s="99">
        <f t="shared" si="22"/>
        <v>91.75257731958763</v>
      </c>
      <c r="AE66" s="214">
        <v>83</v>
      </c>
      <c r="AF66" s="97">
        <f t="shared" si="521"/>
        <v>83</v>
      </c>
      <c r="AG66" s="214">
        <v>128</v>
      </c>
      <c r="AH66" s="99">
        <f t="shared" si="23"/>
        <v>154.21686746987953</v>
      </c>
      <c r="AI66" s="214"/>
      <c r="AJ66" s="97">
        <f t="shared" si="521"/>
        <v>0</v>
      </c>
      <c r="AK66" s="214"/>
      <c r="AL66" s="99">
        <f t="shared" si="24"/>
        <v>0</v>
      </c>
      <c r="AM66" s="214">
        <v>44</v>
      </c>
      <c r="AN66" s="97">
        <f t="shared" si="521"/>
        <v>44</v>
      </c>
      <c r="AO66" s="214">
        <v>159</v>
      </c>
      <c r="AP66" s="99">
        <f t="shared" si="25"/>
        <v>361.36363636363637</v>
      </c>
      <c r="AQ66" s="214"/>
      <c r="AR66" s="97">
        <f t="shared" si="521"/>
        <v>0</v>
      </c>
      <c r="AS66" s="214"/>
      <c r="AT66" s="99">
        <f t="shared" si="26"/>
        <v>0</v>
      </c>
      <c r="AU66" s="214">
        <v>400.5</v>
      </c>
      <c r="AV66" s="214">
        <v>400.5</v>
      </c>
      <c r="AW66" s="214">
        <v>344</v>
      </c>
      <c r="AX66" s="99">
        <f t="shared" si="27"/>
        <v>85.892634207240945</v>
      </c>
      <c r="AY66" s="214">
        <v>1.5</v>
      </c>
      <c r="AZ66" s="214">
        <v>1.5</v>
      </c>
      <c r="BA66" s="214">
        <v>754</v>
      </c>
      <c r="BB66" s="99">
        <f t="shared" si="28"/>
        <v>50266.666666666672</v>
      </c>
      <c r="BC66" s="214">
        <v>4.5</v>
      </c>
      <c r="BD66" s="97">
        <v>4.5</v>
      </c>
      <c r="BE66" s="214">
        <v>595</v>
      </c>
      <c r="BF66" s="99">
        <f t="shared" si="29"/>
        <v>13222.222222222223</v>
      </c>
      <c r="BG66" s="214">
        <v>400.5</v>
      </c>
      <c r="BH66" s="97">
        <v>400.5</v>
      </c>
      <c r="BI66" s="214">
        <v>747</v>
      </c>
      <c r="BJ66" s="99">
        <f t="shared" si="30"/>
        <v>186.51685393258427</v>
      </c>
      <c r="BK66" s="214"/>
      <c r="BL66" s="97">
        <f t="shared" si="521"/>
        <v>0</v>
      </c>
      <c r="BM66" s="214"/>
      <c r="BN66" s="99">
        <f t="shared" si="31"/>
        <v>0</v>
      </c>
      <c r="BO66" s="214"/>
      <c r="BP66" s="97">
        <f t="shared" si="521"/>
        <v>0</v>
      </c>
      <c r="BQ66" s="214"/>
      <c r="BR66" s="99">
        <f t="shared" si="32"/>
        <v>0</v>
      </c>
      <c r="BS66" s="214"/>
      <c r="BT66" s="97">
        <f t="shared" si="519"/>
        <v>0</v>
      </c>
      <c r="BU66" s="214"/>
      <c r="BV66" s="99">
        <f t="shared" si="33"/>
        <v>0</v>
      </c>
      <c r="BW66" s="214"/>
      <c r="BX66" s="97">
        <f t="shared" si="519"/>
        <v>0</v>
      </c>
      <c r="BY66" s="214"/>
      <c r="BZ66" s="99">
        <f t="shared" si="34"/>
        <v>0</v>
      </c>
      <c r="CA66" s="214"/>
      <c r="CB66" s="97">
        <f t="shared" si="519"/>
        <v>0</v>
      </c>
      <c r="CC66" s="214"/>
      <c r="CD66" s="99">
        <f t="shared" si="35"/>
        <v>0</v>
      </c>
      <c r="CE66" s="214"/>
      <c r="CF66" s="97">
        <f t="shared" si="519"/>
        <v>0</v>
      </c>
      <c r="CG66" s="214"/>
      <c r="CH66" s="99">
        <f t="shared" si="36"/>
        <v>0</v>
      </c>
      <c r="CI66" s="214"/>
      <c r="CJ66" s="97">
        <f t="shared" si="519"/>
        <v>0</v>
      </c>
      <c r="CK66" s="214"/>
      <c r="CL66" s="99">
        <f t="shared" si="37"/>
        <v>0</v>
      </c>
      <c r="CM66" s="214"/>
      <c r="CN66" s="97">
        <f t="shared" si="519"/>
        <v>0</v>
      </c>
      <c r="CO66" s="214"/>
      <c r="CP66" s="99">
        <f t="shared" si="38"/>
        <v>0</v>
      </c>
      <c r="CQ66" s="214"/>
      <c r="CR66" s="97">
        <f t="shared" si="519"/>
        <v>0</v>
      </c>
      <c r="CS66" s="214"/>
      <c r="CT66" s="99">
        <f t="shared" si="39"/>
        <v>0</v>
      </c>
      <c r="CU66" s="214"/>
      <c r="CV66" s="97">
        <f t="shared" si="519"/>
        <v>0</v>
      </c>
      <c r="CW66" s="214"/>
      <c r="CX66" s="99">
        <f t="shared" si="40"/>
        <v>0</v>
      </c>
      <c r="CY66" s="214"/>
      <c r="CZ66" s="97">
        <f t="shared" si="519"/>
        <v>0</v>
      </c>
      <c r="DA66" s="214"/>
      <c r="DB66" s="99">
        <f t="shared" si="41"/>
        <v>0</v>
      </c>
      <c r="DC66" s="214"/>
      <c r="DD66" s="97">
        <f t="shared" si="519"/>
        <v>0</v>
      </c>
      <c r="DE66" s="214"/>
      <c r="DF66" s="99">
        <f t="shared" si="42"/>
        <v>0</v>
      </c>
      <c r="DG66" s="214"/>
      <c r="DH66" s="97">
        <f t="shared" si="519"/>
        <v>0</v>
      </c>
      <c r="DI66" s="214"/>
      <c r="DJ66" s="99" t="e">
        <f t="shared" si="139"/>
        <v>#DIV/0!</v>
      </c>
      <c r="DK66" s="214">
        <v>202</v>
      </c>
      <c r="DL66" s="97">
        <f t="shared" si="519"/>
        <v>202</v>
      </c>
      <c r="DM66" s="214">
        <v>326</v>
      </c>
      <c r="DN66" s="99">
        <f t="shared" si="43"/>
        <v>161.38613861386139</v>
      </c>
      <c r="DO66" s="214">
        <v>900</v>
      </c>
      <c r="DP66" s="97">
        <v>900</v>
      </c>
      <c r="DQ66" s="214">
        <v>997</v>
      </c>
      <c r="DR66" s="99">
        <f t="shared" si="44"/>
        <v>110.77777777777777</v>
      </c>
      <c r="DS66" s="214"/>
      <c r="DT66" s="97">
        <f t="shared" si="519"/>
        <v>0</v>
      </c>
      <c r="DU66" s="214"/>
      <c r="DV66" s="99" t="e">
        <f t="shared" si="140"/>
        <v>#DIV/0!</v>
      </c>
      <c r="DW66" s="214"/>
      <c r="DX66" s="97">
        <f t="shared" si="522"/>
        <v>0</v>
      </c>
      <c r="DY66" s="214"/>
      <c r="DZ66" s="99" t="e">
        <f t="shared" si="142"/>
        <v>#DIV/0!</v>
      </c>
      <c r="EA66" s="214"/>
      <c r="EB66" s="97">
        <f t="shared" si="522"/>
        <v>0</v>
      </c>
      <c r="EC66" s="214"/>
      <c r="ED66" s="99">
        <f t="shared" si="45"/>
        <v>0</v>
      </c>
      <c r="EE66" s="214">
        <v>136</v>
      </c>
      <c r="EF66" s="97">
        <f t="shared" si="522"/>
        <v>136</v>
      </c>
      <c r="EG66" s="214">
        <v>171</v>
      </c>
      <c r="EH66" s="99">
        <f t="shared" si="46"/>
        <v>125.73529411764706</v>
      </c>
      <c r="EI66" s="214"/>
      <c r="EJ66" s="97">
        <f t="shared" si="522"/>
        <v>0</v>
      </c>
      <c r="EK66" s="214"/>
      <c r="EL66" s="99">
        <f t="shared" si="47"/>
        <v>0</v>
      </c>
      <c r="EM66" s="214"/>
      <c r="EN66" s="97">
        <f t="shared" si="522"/>
        <v>0</v>
      </c>
      <c r="EO66" s="214"/>
      <c r="EP66" s="99">
        <f t="shared" si="48"/>
        <v>0</v>
      </c>
      <c r="EQ66" s="214"/>
      <c r="ER66" s="97">
        <f t="shared" si="522"/>
        <v>0</v>
      </c>
      <c r="ES66" s="214"/>
      <c r="ET66" s="99">
        <f t="shared" si="49"/>
        <v>0</v>
      </c>
      <c r="EU66" s="214"/>
      <c r="EV66" s="97">
        <f t="shared" si="522"/>
        <v>0</v>
      </c>
      <c r="EW66" s="214"/>
      <c r="EX66" s="99">
        <f t="shared" si="50"/>
        <v>0</v>
      </c>
      <c r="EY66" s="152">
        <f t="shared" si="51"/>
        <v>2269</v>
      </c>
      <c r="EZ66" s="152">
        <f t="shared" si="17"/>
        <v>2269</v>
      </c>
      <c r="FA66" s="152">
        <f t="shared" si="17"/>
        <v>4310</v>
      </c>
      <c r="FB66" s="152">
        <f t="shared" si="52"/>
        <v>189.95152049360954</v>
      </c>
    </row>
    <row r="67" spans="1:158" ht="31.5" x14ac:dyDescent="0.2">
      <c r="A67" s="183" t="s">
        <v>167</v>
      </c>
      <c r="B67" s="170" t="s">
        <v>339</v>
      </c>
      <c r="C67" s="96"/>
      <c r="D67" s="97">
        <f t="shared" si="520"/>
        <v>0</v>
      </c>
      <c r="E67" s="98"/>
      <c r="F67" s="99" t="e">
        <f t="shared" si="3"/>
        <v>#DIV/0!</v>
      </c>
      <c r="G67" s="214"/>
      <c r="H67" s="97">
        <f t="shared" si="521"/>
        <v>0</v>
      </c>
      <c r="I67" s="214"/>
      <c r="J67" s="99">
        <f t="shared" si="18"/>
        <v>0</v>
      </c>
      <c r="K67" s="214"/>
      <c r="L67" s="97">
        <f t="shared" si="521"/>
        <v>0</v>
      </c>
      <c r="M67" s="214"/>
      <c r="N67" s="99" t="e">
        <f t="shared" si="138"/>
        <v>#DIV/0!</v>
      </c>
      <c r="O67" s="214"/>
      <c r="P67" s="97">
        <f t="shared" si="521"/>
        <v>0</v>
      </c>
      <c r="Q67" s="214"/>
      <c r="R67" s="99">
        <f t="shared" si="19"/>
        <v>0</v>
      </c>
      <c r="S67" s="214"/>
      <c r="T67" s="97">
        <f t="shared" si="521"/>
        <v>0</v>
      </c>
      <c r="U67" s="214"/>
      <c r="V67" s="99">
        <f t="shared" si="20"/>
        <v>0</v>
      </c>
      <c r="W67" s="214"/>
      <c r="X67" s="97">
        <f t="shared" si="521"/>
        <v>0</v>
      </c>
      <c r="Y67" s="214"/>
      <c r="Z67" s="99">
        <f t="shared" si="21"/>
        <v>0</v>
      </c>
      <c r="AA67" s="214">
        <v>94</v>
      </c>
      <c r="AB67" s="97">
        <f t="shared" si="521"/>
        <v>94</v>
      </c>
      <c r="AC67" s="214">
        <v>89</v>
      </c>
      <c r="AD67" s="99">
        <f t="shared" si="22"/>
        <v>94.680851063829792</v>
      </c>
      <c r="AE67" s="214">
        <v>76</v>
      </c>
      <c r="AF67" s="97">
        <f t="shared" si="521"/>
        <v>76</v>
      </c>
      <c r="AG67" s="214">
        <v>87</v>
      </c>
      <c r="AH67" s="99">
        <f t="shared" si="23"/>
        <v>114.4736842105263</v>
      </c>
      <c r="AI67" s="214"/>
      <c r="AJ67" s="97">
        <f t="shared" si="521"/>
        <v>0</v>
      </c>
      <c r="AK67" s="214"/>
      <c r="AL67" s="99">
        <f t="shared" si="24"/>
        <v>0</v>
      </c>
      <c r="AM67" s="214">
        <v>137</v>
      </c>
      <c r="AN67" s="97">
        <f t="shared" si="521"/>
        <v>137</v>
      </c>
      <c r="AO67" s="214">
        <v>100</v>
      </c>
      <c r="AP67" s="99">
        <f t="shared" si="25"/>
        <v>72.992700729927009</v>
      </c>
      <c r="AQ67" s="214"/>
      <c r="AR67" s="97">
        <f t="shared" si="521"/>
        <v>0</v>
      </c>
      <c r="AS67" s="214"/>
      <c r="AT67" s="99">
        <f t="shared" si="26"/>
        <v>0</v>
      </c>
      <c r="AU67" s="214">
        <v>408</v>
      </c>
      <c r="AV67" s="214">
        <v>408</v>
      </c>
      <c r="AW67" s="214">
        <v>312</v>
      </c>
      <c r="AX67" s="99">
        <f t="shared" si="27"/>
        <v>76.470588235294116</v>
      </c>
      <c r="AY67" s="214">
        <v>1.5</v>
      </c>
      <c r="AZ67" s="214">
        <v>1.5</v>
      </c>
      <c r="BA67" s="214">
        <v>678</v>
      </c>
      <c r="BB67" s="99">
        <f t="shared" si="28"/>
        <v>45200</v>
      </c>
      <c r="BC67" s="214">
        <v>1.5</v>
      </c>
      <c r="BD67" s="97">
        <v>1.5</v>
      </c>
      <c r="BE67" s="214">
        <v>556</v>
      </c>
      <c r="BF67" s="99">
        <f t="shared" si="29"/>
        <v>37066.666666666672</v>
      </c>
      <c r="BG67" s="214">
        <v>178.5</v>
      </c>
      <c r="BH67" s="97">
        <v>178.5</v>
      </c>
      <c r="BI67" s="214">
        <v>247</v>
      </c>
      <c r="BJ67" s="99">
        <f t="shared" si="30"/>
        <v>138.37535014005601</v>
      </c>
      <c r="BK67" s="214"/>
      <c r="BL67" s="97">
        <f t="shared" si="521"/>
        <v>0</v>
      </c>
      <c r="BM67" s="214"/>
      <c r="BN67" s="99">
        <f t="shared" si="31"/>
        <v>0</v>
      </c>
      <c r="BO67" s="214"/>
      <c r="BP67" s="97">
        <f t="shared" si="521"/>
        <v>0</v>
      </c>
      <c r="BQ67" s="214"/>
      <c r="BR67" s="99">
        <f t="shared" si="32"/>
        <v>0</v>
      </c>
      <c r="BS67" s="214"/>
      <c r="BT67" s="97">
        <f t="shared" si="519"/>
        <v>0</v>
      </c>
      <c r="BU67" s="214"/>
      <c r="BV67" s="99">
        <f t="shared" si="33"/>
        <v>0</v>
      </c>
      <c r="BW67" s="214"/>
      <c r="BX67" s="97">
        <f t="shared" si="519"/>
        <v>0</v>
      </c>
      <c r="BY67" s="214"/>
      <c r="BZ67" s="99">
        <f t="shared" si="34"/>
        <v>0</v>
      </c>
      <c r="CA67" s="214"/>
      <c r="CB67" s="97">
        <f t="shared" si="519"/>
        <v>0</v>
      </c>
      <c r="CC67" s="214"/>
      <c r="CD67" s="99">
        <f t="shared" si="35"/>
        <v>0</v>
      </c>
      <c r="CE67" s="214"/>
      <c r="CF67" s="97">
        <f t="shared" si="519"/>
        <v>0</v>
      </c>
      <c r="CG67" s="214"/>
      <c r="CH67" s="99">
        <f t="shared" si="36"/>
        <v>0</v>
      </c>
      <c r="CI67" s="214"/>
      <c r="CJ67" s="97">
        <f t="shared" si="519"/>
        <v>0</v>
      </c>
      <c r="CK67" s="214"/>
      <c r="CL67" s="99">
        <f t="shared" si="37"/>
        <v>0</v>
      </c>
      <c r="CM67" s="214"/>
      <c r="CN67" s="97">
        <f t="shared" si="519"/>
        <v>0</v>
      </c>
      <c r="CO67" s="214"/>
      <c r="CP67" s="99">
        <f t="shared" si="38"/>
        <v>0</v>
      </c>
      <c r="CQ67" s="214"/>
      <c r="CR67" s="97">
        <f t="shared" si="519"/>
        <v>0</v>
      </c>
      <c r="CS67" s="214"/>
      <c r="CT67" s="99">
        <f t="shared" si="39"/>
        <v>0</v>
      </c>
      <c r="CU67" s="214"/>
      <c r="CV67" s="97">
        <f t="shared" si="519"/>
        <v>0</v>
      </c>
      <c r="CW67" s="214"/>
      <c r="CX67" s="99">
        <f t="shared" si="40"/>
        <v>0</v>
      </c>
      <c r="CY67" s="214"/>
      <c r="CZ67" s="97">
        <f t="shared" si="519"/>
        <v>0</v>
      </c>
      <c r="DA67" s="214"/>
      <c r="DB67" s="99">
        <f t="shared" si="41"/>
        <v>0</v>
      </c>
      <c r="DC67" s="214"/>
      <c r="DD67" s="97">
        <f t="shared" si="519"/>
        <v>0</v>
      </c>
      <c r="DE67" s="214"/>
      <c r="DF67" s="99">
        <f t="shared" si="42"/>
        <v>0</v>
      </c>
      <c r="DG67" s="214"/>
      <c r="DH67" s="97">
        <f t="shared" si="519"/>
        <v>0</v>
      </c>
      <c r="DI67" s="214"/>
      <c r="DJ67" s="99" t="e">
        <f t="shared" si="139"/>
        <v>#DIV/0!</v>
      </c>
      <c r="DK67" s="214">
        <v>194</v>
      </c>
      <c r="DL67" s="97">
        <f t="shared" si="519"/>
        <v>194</v>
      </c>
      <c r="DM67" s="214">
        <v>332</v>
      </c>
      <c r="DN67" s="99">
        <f t="shared" si="43"/>
        <v>171.13402061855669</v>
      </c>
      <c r="DO67" s="214">
        <v>750</v>
      </c>
      <c r="DP67" s="97">
        <v>750</v>
      </c>
      <c r="DQ67" s="214">
        <v>919</v>
      </c>
      <c r="DR67" s="99">
        <f t="shared" si="44"/>
        <v>122.53333333333333</v>
      </c>
      <c r="DS67" s="214"/>
      <c r="DT67" s="97">
        <f t="shared" si="519"/>
        <v>0</v>
      </c>
      <c r="DU67" s="214"/>
      <c r="DV67" s="99" t="e">
        <f t="shared" si="140"/>
        <v>#DIV/0!</v>
      </c>
      <c r="DW67" s="214"/>
      <c r="DX67" s="97">
        <f t="shared" si="522"/>
        <v>0</v>
      </c>
      <c r="DY67" s="214"/>
      <c r="DZ67" s="99" t="e">
        <f t="shared" si="142"/>
        <v>#DIV/0!</v>
      </c>
      <c r="EA67" s="214"/>
      <c r="EB67" s="97">
        <f t="shared" si="522"/>
        <v>0</v>
      </c>
      <c r="EC67" s="214"/>
      <c r="ED67" s="99">
        <f t="shared" si="45"/>
        <v>0</v>
      </c>
      <c r="EE67" s="214">
        <v>140</v>
      </c>
      <c r="EF67" s="97">
        <f t="shared" si="522"/>
        <v>140</v>
      </c>
      <c r="EG67" s="214">
        <v>129</v>
      </c>
      <c r="EH67" s="99">
        <f t="shared" si="46"/>
        <v>92.142857142857139</v>
      </c>
      <c r="EI67" s="214"/>
      <c r="EJ67" s="97">
        <f t="shared" si="522"/>
        <v>0</v>
      </c>
      <c r="EK67" s="214"/>
      <c r="EL67" s="99">
        <f t="shared" si="47"/>
        <v>0</v>
      </c>
      <c r="EM67" s="214"/>
      <c r="EN67" s="97">
        <f t="shared" si="522"/>
        <v>0</v>
      </c>
      <c r="EO67" s="214"/>
      <c r="EP67" s="99">
        <f t="shared" si="48"/>
        <v>0</v>
      </c>
      <c r="EQ67" s="214"/>
      <c r="ER67" s="97">
        <f t="shared" si="522"/>
        <v>0</v>
      </c>
      <c r="ES67" s="214"/>
      <c r="ET67" s="99">
        <f t="shared" si="49"/>
        <v>0</v>
      </c>
      <c r="EU67" s="214"/>
      <c r="EV67" s="97">
        <f t="shared" si="522"/>
        <v>0</v>
      </c>
      <c r="EW67" s="214"/>
      <c r="EX67" s="99">
        <f t="shared" si="50"/>
        <v>0</v>
      </c>
      <c r="EY67" s="152">
        <f t="shared" si="51"/>
        <v>1980.5</v>
      </c>
      <c r="EZ67" s="152">
        <f t="shared" si="17"/>
        <v>1980.5</v>
      </c>
      <c r="FA67" s="152">
        <f t="shared" si="17"/>
        <v>3449</v>
      </c>
      <c r="FB67" s="152">
        <f t="shared" si="52"/>
        <v>174.1479424387781</v>
      </c>
    </row>
    <row r="68" spans="1:158" ht="31.5" x14ac:dyDescent="0.2">
      <c r="A68" s="183" t="s">
        <v>168</v>
      </c>
      <c r="B68" s="170" t="s">
        <v>339</v>
      </c>
      <c r="C68" s="96"/>
      <c r="D68" s="97">
        <f t="shared" si="520"/>
        <v>0</v>
      </c>
      <c r="E68" s="98"/>
      <c r="F68" s="99" t="e">
        <f t="shared" si="3"/>
        <v>#DIV/0!</v>
      </c>
      <c r="G68" s="214"/>
      <c r="H68" s="97">
        <f t="shared" si="521"/>
        <v>0</v>
      </c>
      <c r="I68" s="214"/>
      <c r="J68" s="99">
        <f t="shared" si="18"/>
        <v>0</v>
      </c>
      <c r="K68" s="214"/>
      <c r="L68" s="97">
        <f t="shared" si="521"/>
        <v>0</v>
      </c>
      <c r="M68" s="214"/>
      <c r="N68" s="99" t="e">
        <f t="shared" si="138"/>
        <v>#DIV/0!</v>
      </c>
      <c r="O68" s="214"/>
      <c r="P68" s="97">
        <f t="shared" si="521"/>
        <v>0</v>
      </c>
      <c r="Q68" s="214"/>
      <c r="R68" s="99">
        <f t="shared" si="19"/>
        <v>0</v>
      </c>
      <c r="S68" s="214"/>
      <c r="T68" s="97">
        <f t="shared" si="521"/>
        <v>0</v>
      </c>
      <c r="U68" s="214"/>
      <c r="V68" s="99">
        <f t="shared" si="20"/>
        <v>0</v>
      </c>
      <c r="W68" s="214"/>
      <c r="X68" s="97">
        <f t="shared" si="521"/>
        <v>0</v>
      </c>
      <c r="Y68" s="214"/>
      <c r="Z68" s="99">
        <f t="shared" si="21"/>
        <v>0</v>
      </c>
      <c r="AA68" s="214">
        <v>97</v>
      </c>
      <c r="AB68" s="97">
        <f t="shared" si="521"/>
        <v>97</v>
      </c>
      <c r="AC68" s="214">
        <v>106</v>
      </c>
      <c r="AD68" s="99">
        <f t="shared" si="22"/>
        <v>109.27835051546391</v>
      </c>
      <c r="AE68" s="214">
        <v>59</v>
      </c>
      <c r="AF68" s="97">
        <f t="shared" si="521"/>
        <v>59</v>
      </c>
      <c r="AG68" s="214">
        <v>166</v>
      </c>
      <c r="AH68" s="99">
        <f t="shared" si="23"/>
        <v>281.35593220338984</v>
      </c>
      <c r="AI68" s="214"/>
      <c r="AJ68" s="97">
        <f t="shared" si="521"/>
        <v>0</v>
      </c>
      <c r="AK68" s="214"/>
      <c r="AL68" s="99">
        <f t="shared" si="24"/>
        <v>0</v>
      </c>
      <c r="AM68" s="214">
        <v>55</v>
      </c>
      <c r="AN68" s="97">
        <f t="shared" si="521"/>
        <v>55</v>
      </c>
      <c r="AO68" s="214">
        <v>140</v>
      </c>
      <c r="AP68" s="99">
        <f t="shared" si="25"/>
        <v>254.54545454545453</v>
      </c>
      <c r="AQ68" s="214"/>
      <c r="AR68" s="97">
        <f t="shared" si="521"/>
        <v>0</v>
      </c>
      <c r="AS68" s="214"/>
      <c r="AT68" s="99">
        <f t="shared" si="26"/>
        <v>0</v>
      </c>
      <c r="AU68" s="214">
        <v>651</v>
      </c>
      <c r="AV68" s="214">
        <v>651</v>
      </c>
      <c r="AW68" s="214">
        <v>654</v>
      </c>
      <c r="AX68" s="99">
        <f t="shared" si="27"/>
        <v>100.46082949308757</v>
      </c>
      <c r="AY68" s="214">
        <v>3</v>
      </c>
      <c r="AZ68" s="214">
        <v>3</v>
      </c>
      <c r="BA68" s="214">
        <v>504</v>
      </c>
      <c r="BB68" s="99">
        <f t="shared" si="28"/>
        <v>16800</v>
      </c>
      <c r="BC68" s="214">
        <v>40.5</v>
      </c>
      <c r="BD68" s="97">
        <v>40.5</v>
      </c>
      <c r="BE68" s="214">
        <v>433</v>
      </c>
      <c r="BF68" s="99">
        <f t="shared" si="29"/>
        <v>1069.1358024691358</v>
      </c>
      <c r="BG68" s="214">
        <v>391.5</v>
      </c>
      <c r="BH68" s="97">
        <v>391.5</v>
      </c>
      <c r="BI68" s="214">
        <v>261</v>
      </c>
      <c r="BJ68" s="99">
        <f t="shared" si="30"/>
        <v>66.666666666666657</v>
      </c>
      <c r="BK68" s="214"/>
      <c r="BL68" s="97">
        <f t="shared" si="521"/>
        <v>0</v>
      </c>
      <c r="BM68" s="214"/>
      <c r="BN68" s="99">
        <f t="shared" si="31"/>
        <v>0</v>
      </c>
      <c r="BO68" s="214"/>
      <c r="BP68" s="97">
        <f t="shared" si="521"/>
        <v>0</v>
      </c>
      <c r="BQ68" s="214"/>
      <c r="BR68" s="99">
        <f t="shared" si="32"/>
        <v>0</v>
      </c>
      <c r="BS68" s="214"/>
      <c r="BT68" s="97">
        <f t="shared" si="519"/>
        <v>0</v>
      </c>
      <c r="BU68" s="214"/>
      <c r="BV68" s="99">
        <f t="shared" si="33"/>
        <v>0</v>
      </c>
      <c r="BW68" s="214"/>
      <c r="BX68" s="97">
        <f t="shared" si="519"/>
        <v>0</v>
      </c>
      <c r="BY68" s="214"/>
      <c r="BZ68" s="99">
        <f t="shared" si="34"/>
        <v>0</v>
      </c>
      <c r="CA68" s="214"/>
      <c r="CB68" s="97">
        <f t="shared" si="519"/>
        <v>0</v>
      </c>
      <c r="CC68" s="214"/>
      <c r="CD68" s="99">
        <f t="shared" si="35"/>
        <v>0</v>
      </c>
      <c r="CE68" s="214"/>
      <c r="CF68" s="97">
        <f t="shared" si="519"/>
        <v>0</v>
      </c>
      <c r="CG68" s="214"/>
      <c r="CH68" s="99">
        <f t="shared" si="36"/>
        <v>0</v>
      </c>
      <c r="CI68" s="214"/>
      <c r="CJ68" s="97">
        <f t="shared" si="519"/>
        <v>0</v>
      </c>
      <c r="CK68" s="214"/>
      <c r="CL68" s="99">
        <f t="shared" si="37"/>
        <v>0</v>
      </c>
      <c r="CM68" s="214"/>
      <c r="CN68" s="97">
        <f t="shared" si="519"/>
        <v>0</v>
      </c>
      <c r="CO68" s="214"/>
      <c r="CP68" s="99">
        <f t="shared" si="38"/>
        <v>0</v>
      </c>
      <c r="CQ68" s="214"/>
      <c r="CR68" s="97">
        <f t="shared" si="519"/>
        <v>0</v>
      </c>
      <c r="CS68" s="214"/>
      <c r="CT68" s="99">
        <f t="shared" si="39"/>
        <v>0</v>
      </c>
      <c r="CU68" s="214"/>
      <c r="CV68" s="97">
        <f t="shared" si="519"/>
        <v>0</v>
      </c>
      <c r="CW68" s="214"/>
      <c r="CX68" s="99">
        <f t="shared" si="40"/>
        <v>0</v>
      </c>
      <c r="CY68" s="214"/>
      <c r="CZ68" s="97">
        <f t="shared" si="519"/>
        <v>0</v>
      </c>
      <c r="DA68" s="214"/>
      <c r="DB68" s="99">
        <f t="shared" si="41"/>
        <v>0</v>
      </c>
      <c r="DC68" s="214"/>
      <c r="DD68" s="97">
        <f t="shared" si="519"/>
        <v>0</v>
      </c>
      <c r="DE68" s="214"/>
      <c r="DF68" s="99">
        <f t="shared" si="42"/>
        <v>0</v>
      </c>
      <c r="DG68" s="214"/>
      <c r="DH68" s="97">
        <f t="shared" si="519"/>
        <v>0</v>
      </c>
      <c r="DI68" s="214"/>
      <c r="DJ68" s="99" t="e">
        <f t="shared" si="139"/>
        <v>#DIV/0!</v>
      </c>
      <c r="DK68" s="214">
        <v>188</v>
      </c>
      <c r="DL68" s="97">
        <f t="shared" si="519"/>
        <v>188</v>
      </c>
      <c r="DM68" s="214">
        <v>258</v>
      </c>
      <c r="DN68" s="99">
        <f t="shared" si="43"/>
        <v>137.2340425531915</v>
      </c>
      <c r="DO68" s="214">
        <v>700</v>
      </c>
      <c r="DP68" s="97">
        <v>700</v>
      </c>
      <c r="DQ68" s="214">
        <v>756</v>
      </c>
      <c r="DR68" s="99">
        <f t="shared" si="44"/>
        <v>108</v>
      </c>
      <c r="DS68" s="214"/>
      <c r="DT68" s="97">
        <f t="shared" si="519"/>
        <v>0</v>
      </c>
      <c r="DU68" s="214"/>
      <c r="DV68" s="99" t="e">
        <f t="shared" si="140"/>
        <v>#DIV/0!</v>
      </c>
      <c r="DW68" s="214"/>
      <c r="DX68" s="97">
        <f t="shared" si="522"/>
        <v>0</v>
      </c>
      <c r="DY68" s="214"/>
      <c r="DZ68" s="99" t="e">
        <f t="shared" si="142"/>
        <v>#DIV/0!</v>
      </c>
      <c r="EA68" s="214"/>
      <c r="EB68" s="97">
        <f t="shared" si="522"/>
        <v>0</v>
      </c>
      <c r="EC68" s="214"/>
      <c r="ED68" s="99">
        <f t="shared" si="45"/>
        <v>0</v>
      </c>
      <c r="EE68" s="214">
        <v>127</v>
      </c>
      <c r="EF68" s="97">
        <f t="shared" si="522"/>
        <v>127</v>
      </c>
      <c r="EG68" s="214">
        <v>148</v>
      </c>
      <c r="EH68" s="99">
        <f t="shared" si="46"/>
        <v>116.53543307086613</v>
      </c>
      <c r="EI68" s="214"/>
      <c r="EJ68" s="97">
        <f t="shared" si="522"/>
        <v>0</v>
      </c>
      <c r="EK68" s="214"/>
      <c r="EL68" s="99">
        <f t="shared" si="47"/>
        <v>0</v>
      </c>
      <c r="EM68" s="214"/>
      <c r="EN68" s="97">
        <f t="shared" si="522"/>
        <v>0</v>
      </c>
      <c r="EO68" s="214"/>
      <c r="EP68" s="99">
        <f t="shared" si="48"/>
        <v>0</v>
      </c>
      <c r="EQ68" s="214"/>
      <c r="ER68" s="97">
        <f t="shared" si="522"/>
        <v>0</v>
      </c>
      <c r="ES68" s="214"/>
      <c r="ET68" s="99">
        <f t="shared" si="49"/>
        <v>0</v>
      </c>
      <c r="EU68" s="214"/>
      <c r="EV68" s="97">
        <f t="shared" si="522"/>
        <v>0</v>
      </c>
      <c r="EW68" s="214"/>
      <c r="EX68" s="99">
        <f t="shared" si="50"/>
        <v>0</v>
      </c>
      <c r="EY68" s="152">
        <f t="shared" si="51"/>
        <v>2312</v>
      </c>
      <c r="EZ68" s="152">
        <f t="shared" si="17"/>
        <v>2312</v>
      </c>
      <c r="FA68" s="152">
        <f t="shared" si="17"/>
        <v>3426</v>
      </c>
      <c r="FB68" s="152">
        <f t="shared" si="52"/>
        <v>148.1833910034602</v>
      </c>
    </row>
    <row r="69" spans="1:158" ht="31.5" x14ac:dyDescent="0.2">
      <c r="A69" s="183" t="s">
        <v>169</v>
      </c>
      <c r="B69" s="170" t="s">
        <v>339</v>
      </c>
      <c r="C69" s="96"/>
      <c r="D69" s="97">
        <f t="shared" si="520"/>
        <v>0</v>
      </c>
      <c r="E69" s="98"/>
      <c r="F69" s="99" t="e">
        <f t="shared" si="3"/>
        <v>#DIV/0!</v>
      </c>
      <c r="G69" s="214"/>
      <c r="H69" s="97">
        <f t="shared" si="521"/>
        <v>0</v>
      </c>
      <c r="I69" s="214"/>
      <c r="J69" s="99">
        <f t="shared" si="18"/>
        <v>0</v>
      </c>
      <c r="K69" s="214"/>
      <c r="L69" s="97">
        <f t="shared" si="521"/>
        <v>0</v>
      </c>
      <c r="M69" s="214"/>
      <c r="N69" s="99" t="e">
        <f t="shared" si="138"/>
        <v>#DIV/0!</v>
      </c>
      <c r="O69" s="214"/>
      <c r="P69" s="97">
        <f t="shared" si="521"/>
        <v>0</v>
      </c>
      <c r="Q69" s="214"/>
      <c r="R69" s="99">
        <f t="shared" si="19"/>
        <v>0</v>
      </c>
      <c r="S69" s="214"/>
      <c r="T69" s="97">
        <f t="shared" si="521"/>
        <v>0</v>
      </c>
      <c r="U69" s="214"/>
      <c r="V69" s="99">
        <f t="shared" si="20"/>
        <v>0</v>
      </c>
      <c r="W69" s="214"/>
      <c r="X69" s="97">
        <f t="shared" si="521"/>
        <v>0</v>
      </c>
      <c r="Y69" s="214"/>
      <c r="Z69" s="99">
        <f t="shared" si="21"/>
        <v>0</v>
      </c>
      <c r="AA69" s="214">
        <v>194</v>
      </c>
      <c r="AB69" s="97">
        <f t="shared" si="521"/>
        <v>194</v>
      </c>
      <c r="AC69" s="214">
        <v>257</v>
      </c>
      <c r="AD69" s="99">
        <f t="shared" si="22"/>
        <v>132.4742268041237</v>
      </c>
      <c r="AE69" s="214">
        <v>182</v>
      </c>
      <c r="AF69" s="97">
        <f t="shared" si="521"/>
        <v>182</v>
      </c>
      <c r="AG69" s="214">
        <v>432</v>
      </c>
      <c r="AH69" s="99">
        <f t="shared" si="23"/>
        <v>237.36263736263737</v>
      </c>
      <c r="AI69" s="214"/>
      <c r="AJ69" s="97">
        <f t="shared" si="521"/>
        <v>0</v>
      </c>
      <c r="AK69" s="214"/>
      <c r="AL69" s="99">
        <f t="shared" si="24"/>
        <v>0</v>
      </c>
      <c r="AM69" s="214">
        <v>55</v>
      </c>
      <c r="AN69" s="97">
        <f t="shared" si="521"/>
        <v>55</v>
      </c>
      <c r="AO69" s="214">
        <v>213</v>
      </c>
      <c r="AP69" s="99">
        <f t="shared" si="25"/>
        <v>387.27272727272725</v>
      </c>
      <c r="AQ69" s="214"/>
      <c r="AR69" s="97">
        <f t="shared" si="521"/>
        <v>0</v>
      </c>
      <c r="AS69" s="214"/>
      <c r="AT69" s="99">
        <f t="shared" si="26"/>
        <v>0</v>
      </c>
      <c r="AU69" s="214">
        <v>445.5</v>
      </c>
      <c r="AV69" s="214">
        <v>445.5</v>
      </c>
      <c r="AW69" s="214">
        <v>1893</v>
      </c>
      <c r="AX69" s="99">
        <f t="shared" si="27"/>
        <v>424.91582491582494</v>
      </c>
      <c r="AY69" s="214">
        <v>723</v>
      </c>
      <c r="AZ69" s="214">
        <v>723</v>
      </c>
      <c r="BA69" s="214">
        <v>1528</v>
      </c>
      <c r="BB69" s="99">
        <f t="shared" si="28"/>
        <v>211.34163208852007</v>
      </c>
      <c r="BC69" s="214">
        <v>769.5</v>
      </c>
      <c r="BD69" s="97">
        <v>769.5</v>
      </c>
      <c r="BE69" s="214">
        <v>731</v>
      </c>
      <c r="BF69" s="99">
        <f t="shared" si="29"/>
        <v>94.996751137102009</v>
      </c>
      <c r="BG69" s="214">
        <v>400.5</v>
      </c>
      <c r="BH69" s="97">
        <v>400.5</v>
      </c>
      <c r="BI69" s="214">
        <v>502</v>
      </c>
      <c r="BJ69" s="99">
        <f t="shared" si="30"/>
        <v>125.34332084893882</v>
      </c>
      <c r="BK69" s="214"/>
      <c r="BL69" s="97">
        <f t="shared" si="521"/>
        <v>0</v>
      </c>
      <c r="BM69" s="214"/>
      <c r="BN69" s="99">
        <f t="shared" si="31"/>
        <v>0</v>
      </c>
      <c r="BO69" s="214"/>
      <c r="BP69" s="97">
        <f t="shared" si="521"/>
        <v>0</v>
      </c>
      <c r="BQ69" s="214"/>
      <c r="BR69" s="99">
        <f t="shared" si="32"/>
        <v>0</v>
      </c>
      <c r="BS69" s="214"/>
      <c r="BT69" s="97">
        <f t="shared" si="519"/>
        <v>0</v>
      </c>
      <c r="BU69" s="214"/>
      <c r="BV69" s="99">
        <f t="shared" si="33"/>
        <v>0</v>
      </c>
      <c r="BW69" s="214"/>
      <c r="BX69" s="97">
        <f t="shared" si="519"/>
        <v>0</v>
      </c>
      <c r="BY69" s="214"/>
      <c r="BZ69" s="99">
        <f t="shared" si="34"/>
        <v>0</v>
      </c>
      <c r="CA69" s="214"/>
      <c r="CB69" s="97">
        <f t="shared" si="519"/>
        <v>0</v>
      </c>
      <c r="CC69" s="214"/>
      <c r="CD69" s="99">
        <f t="shared" si="35"/>
        <v>0</v>
      </c>
      <c r="CE69" s="214"/>
      <c r="CF69" s="97">
        <f t="shared" si="519"/>
        <v>0</v>
      </c>
      <c r="CG69" s="214"/>
      <c r="CH69" s="99">
        <f t="shared" si="36"/>
        <v>0</v>
      </c>
      <c r="CI69" s="214"/>
      <c r="CJ69" s="97">
        <f t="shared" si="519"/>
        <v>0</v>
      </c>
      <c r="CK69" s="214"/>
      <c r="CL69" s="99">
        <f t="shared" si="37"/>
        <v>0</v>
      </c>
      <c r="CM69" s="214"/>
      <c r="CN69" s="97">
        <f t="shared" si="519"/>
        <v>0</v>
      </c>
      <c r="CO69" s="214"/>
      <c r="CP69" s="99">
        <f t="shared" si="38"/>
        <v>0</v>
      </c>
      <c r="CQ69" s="214"/>
      <c r="CR69" s="97">
        <f t="shared" si="519"/>
        <v>0</v>
      </c>
      <c r="CS69" s="214"/>
      <c r="CT69" s="99">
        <f t="shared" si="39"/>
        <v>0</v>
      </c>
      <c r="CU69" s="214"/>
      <c r="CV69" s="97">
        <f t="shared" si="519"/>
        <v>0</v>
      </c>
      <c r="CW69" s="214"/>
      <c r="CX69" s="99">
        <f t="shared" si="40"/>
        <v>0</v>
      </c>
      <c r="CY69" s="214"/>
      <c r="CZ69" s="97">
        <f t="shared" si="519"/>
        <v>0</v>
      </c>
      <c r="DA69" s="214"/>
      <c r="DB69" s="99">
        <f t="shared" si="41"/>
        <v>0</v>
      </c>
      <c r="DC69" s="214"/>
      <c r="DD69" s="97">
        <f t="shared" si="519"/>
        <v>0</v>
      </c>
      <c r="DE69" s="214"/>
      <c r="DF69" s="99">
        <f t="shared" si="42"/>
        <v>0</v>
      </c>
      <c r="DG69" s="214"/>
      <c r="DH69" s="97">
        <f t="shared" si="519"/>
        <v>0</v>
      </c>
      <c r="DI69" s="214"/>
      <c r="DJ69" s="99" t="e">
        <f t="shared" si="139"/>
        <v>#DIV/0!</v>
      </c>
      <c r="DK69" s="214">
        <v>550</v>
      </c>
      <c r="DL69" s="97">
        <f t="shared" si="519"/>
        <v>550</v>
      </c>
      <c r="DM69" s="214">
        <v>354</v>
      </c>
      <c r="DN69" s="99">
        <f t="shared" si="43"/>
        <v>64.363636363636374</v>
      </c>
      <c r="DO69" s="214">
        <v>523</v>
      </c>
      <c r="DP69" s="97">
        <v>523</v>
      </c>
      <c r="DQ69" s="214">
        <v>2241</v>
      </c>
      <c r="DR69" s="99">
        <f t="shared" si="44"/>
        <v>428.48948374760994</v>
      </c>
      <c r="DS69" s="214"/>
      <c r="DT69" s="97">
        <f t="shared" si="519"/>
        <v>0</v>
      </c>
      <c r="DU69" s="214"/>
      <c r="DV69" s="99" t="e">
        <f t="shared" si="140"/>
        <v>#DIV/0!</v>
      </c>
      <c r="DW69" s="214"/>
      <c r="DX69" s="97">
        <f t="shared" si="522"/>
        <v>0</v>
      </c>
      <c r="DY69" s="214"/>
      <c r="DZ69" s="99" t="e">
        <f t="shared" si="142"/>
        <v>#DIV/0!</v>
      </c>
      <c r="EA69" s="214"/>
      <c r="EB69" s="97">
        <f t="shared" si="522"/>
        <v>0</v>
      </c>
      <c r="EC69" s="214"/>
      <c r="ED69" s="99">
        <f t="shared" si="45"/>
        <v>0</v>
      </c>
      <c r="EE69" s="214">
        <v>422</v>
      </c>
      <c r="EF69" s="97">
        <f t="shared" si="522"/>
        <v>422</v>
      </c>
      <c r="EG69" s="214">
        <v>480</v>
      </c>
      <c r="EH69" s="99">
        <f t="shared" si="46"/>
        <v>113.74407582938389</v>
      </c>
      <c r="EI69" s="214"/>
      <c r="EJ69" s="97">
        <f t="shared" si="522"/>
        <v>0</v>
      </c>
      <c r="EK69" s="214"/>
      <c r="EL69" s="99">
        <f t="shared" si="47"/>
        <v>0</v>
      </c>
      <c r="EM69" s="214"/>
      <c r="EN69" s="97">
        <f t="shared" si="522"/>
        <v>0</v>
      </c>
      <c r="EO69" s="214"/>
      <c r="EP69" s="99">
        <f t="shared" si="48"/>
        <v>0</v>
      </c>
      <c r="EQ69" s="214"/>
      <c r="ER69" s="97">
        <f t="shared" si="522"/>
        <v>0</v>
      </c>
      <c r="ES69" s="214"/>
      <c r="ET69" s="99">
        <f t="shared" si="49"/>
        <v>0</v>
      </c>
      <c r="EU69" s="214"/>
      <c r="EV69" s="97">
        <f t="shared" si="522"/>
        <v>0</v>
      </c>
      <c r="EW69" s="214"/>
      <c r="EX69" s="99">
        <f t="shared" si="50"/>
        <v>0</v>
      </c>
      <c r="EY69" s="152">
        <f t="shared" si="51"/>
        <v>4264.5</v>
      </c>
      <c r="EZ69" s="152">
        <f t="shared" si="17"/>
        <v>4264.5</v>
      </c>
      <c r="FA69" s="152">
        <f t="shared" si="17"/>
        <v>8631</v>
      </c>
      <c r="FB69" s="152">
        <f t="shared" si="52"/>
        <v>202.39183960604996</v>
      </c>
    </row>
    <row r="70" spans="1:158" ht="31.5" x14ac:dyDescent="0.2">
      <c r="A70" s="176" t="s">
        <v>170</v>
      </c>
      <c r="B70" s="155" t="s">
        <v>3</v>
      </c>
      <c r="C70" s="177">
        <f t="shared" ref="C70" si="523">C71*7+C72*8+C73*8</f>
        <v>0</v>
      </c>
      <c r="D70" s="184">
        <f t="shared" si="520"/>
        <v>0</v>
      </c>
      <c r="E70" s="178">
        <f t="shared" ref="E70" si="524">E71*7+E72*8+E73*8</f>
        <v>0</v>
      </c>
      <c r="F70" s="179" t="e">
        <f t="shared" si="3"/>
        <v>#DIV/0!</v>
      </c>
      <c r="G70" s="218">
        <f t="shared" ref="G70" si="525">G71*7+G72*8+G73*8</f>
        <v>0</v>
      </c>
      <c r="H70" s="184">
        <f t="shared" si="521"/>
        <v>0</v>
      </c>
      <c r="I70" s="218">
        <f t="shared" ref="I70" si="526">I71*7+I72*8+I73*8</f>
        <v>0</v>
      </c>
      <c r="J70" s="179">
        <f t="shared" si="18"/>
        <v>0</v>
      </c>
      <c r="K70" s="218">
        <f t="shared" ref="K70" si="527">K71*7+K72*8+K73*8</f>
        <v>0</v>
      </c>
      <c r="L70" s="184">
        <f t="shared" si="521"/>
        <v>0</v>
      </c>
      <c r="M70" s="218">
        <f t="shared" ref="M70" si="528">M71*7+M72*8+M73*8</f>
        <v>0</v>
      </c>
      <c r="N70" s="179" t="e">
        <f t="shared" si="138"/>
        <v>#DIV/0!</v>
      </c>
      <c r="O70" s="218">
        <f t="shared" ref="O70" si="529">O71*7+O72*8+O73*8</f>
        <v>0</v>
      </c>
      <c r="P70" s="184">
        <f t="shared" si="521"/>
        <v>0</v>
      </c>
      <c r="Q70" s="218">
        <f t="shared" ref="Q70" si="530">Q71*7+Q72*8+Q73*8</f>
        <v>0</v>
      </c>
      <c r="R70" s="179">
        <f t="shared" si="19"/>
        <v>0</v>
      </c>
      <c r="S70" s="218">
        <f t="shared" ref="S70" si="531">S71*7+S72*8+S73*8</f>
        <v>0</v>
      </c>
      <c r="T70" s="184">
        <f t="shared" si="521"/>
        <v>0</v>
      </c>
      <c r="U70" s="218">
        <f t="shared" ref="U70" si="532">U71*7+U72*8+U73*8</f>
        <v>0</v>
      </c>
      <c r="V70" s="179">
        <f t="shared" si="20"/>
        <v>0</v>
      </c>
      <c r="W70" s="218">
        <f t="shared" ref="W70" si="533">W71*7+W72*8+W73*8</f>
        <v>0</v>
      </c>
      <c r="X70" s="184">
        <f t="shared" si="521"/>
        <v>0</v>
      </c>
      <c r="Y70" s="218">
        <f t="shared" ref="Y70" si="534">Y71*7+Y72*8+Y73*8</f>
        <v>0</v>
      </c>
      <c r="Z70" s="179">
        <f t="shared" si="21"/>
        <v>0</v>
      </c>
      <c r="AA70" s="218">
        <f t="shared" ref="AA70:AB70" si="535">AA71*7+AA72*8+AA73*8</f>
        <v>3786</v>
      </c>
      <c r="AB70" s="218">
        <f t="shared" si="535"/>
        <v>3786</v>
      </c>
      <c r="AC70" s="218">
        <f t="shared" ref="AC70" si="536">AC71*7+AC72*8+AC73*8</f>
        <v>2476</v>
      </c>
      <c r="AD70" s="179">
        <f t="shared" si="22"/>
        <v>65.398837823560484</v>
      </c>
      <c r="AE70" s="218">
        <f t="shared" ref="AE70:AF70" si="537">AE71*7+AE72*8+AE73*8</f>
        <v>3154</v>
      </c>
      <c r="AF70" s="218">
        <f t="shared" si="537"/>
        <v>3154</v>
      </c>
      <c r="AG70" s="218">
        <f t="shared" ref="AG70" si="538">AG71*7+AG72*8+AG73*8</f>
        <v>3021</v>
      </c>
      <c r="AH70" s="179">
        <f t="shared" si="23"/>
        <v>95.783132530120483</v>
      </c>
      <c r="AI70" s="218">
        <f t="shared" ref="AI70" si="539">AI71*7+AI72*8+AI73*8</f>
        <v>0</v>
      </c>
      <c r="AJ70" s="184">
        <f t="shared" si="521"/>
        <v>0</v>
      </c>
      <c r="AK70" s="218">
        <f t="shared" ref="AK70" si="540">AK71*7+AK72*8+AK73*8</f>
        <v>0</v>
      </c>
      <c r="AL70" s="179">
        <f t="shared" si="24"/>
        <v>0</v>
      </c>
      <c r="AM70" s="218">
        <f t="shared" ref="AM70:AN70" si="541">AM71*7+AM72*8+AM73*8</f>
        <v>2890</v>
      </c>
      <c r="AN70" s="218">
        <f t="shared" si="541"/>
        <v>2890</v>
      </c>
      <c r="AO70" s="218">
        <f t="shared" ref="AO70" si="542">AO71*7+AO72*8+AO73*8</f>
        <v>2689</v>
      </c>
      <c r="AP70" s="179">
        <f t="shared" si="25"/>
        <v>93.044982698961945</v>
      </c>
      <c r="AQ70" s="218">
        <f t="shared" ref="AQ70" si="543">AQ71*7+AQ72*8+AQ73*8</f>
        <v>0</v>
      </c>
      <c r="AR70" s="184">
        <f t="shared" si="521"/>
        <v>0</v>
      </c>
      <c r="AS70" s="218">
        <f t="shared" ref="AS70" si="544">AS71*7+AS72*8+AS73*8</f>
        <v>0</v>
      </c>
      <c r="AT70" s="179">
        <f t="shared" si="26"/>
        <v>0</v>
      </c>
      <c r="AU70" s="218">
        <f t="shared" ref="AU70:AV70" si="545">AU71*7+AU72*8+AU73*8</f>
        <v>3900</v>
      </c>
      <c r="AV70" s="218">
        <f t="shared" si="545"/>
        <v>3900</v>
      </c>
      <c r="AW70" s="218">
        <f t="shared" ref="AW70" si="546">AW71*7+AW72*8+AW73*8</f>
        <v>2550</v>
      </c>
      <c r="AX70" s="179">
        <f t="shared" si="27"/>
        <v>65.384615384615387</v>
      </c>
      <c r="AY70" s="218">
        <f t="shared" ref="AY70:AZ70" si="547">AY71*7+AY72*8+AY73*8</f>
        <v>6100</v>
      </c>
      <c r="AZ70" s="218">
        <f t="shared" si="547"/>
        <v>6100</v>
      </c>
      <c r="BA70" s="218">
        <f t="shared" ref="BA70" si="548">BA71*7+BA72*8+BA73*8</f>
        <v>6268</v>
      </c>
      <c r="BB70" s="179">
        <f t="shared" si="28"/>
        <v>102.75409836065575</v>
      </c>
      <c r="BC70" s="218">
        <f t="shared" ref="BC70:BD70" si="549">BC71*7+BC72*8+BC73*8</f>
        <v>1300</v>
      </c>
      <c r="BD70" s="218">
        <f t="shared" si="549"/>
        <v>1300</v>
      </c>
      <c r="BE70" s="218">
        <f t="shared" ref="BE70" si="550">BE71*7+BE72*8+BE73*8</f>
        <v>2002</v>
      </c>
      <c r="BF70" s="179">
        <f t="shared" si="29"/>
        <v>154</v>
      </c>
      <c r="BG70" s="218">
        <f t="shared" ref="BG70:BH70" si="551">BG71*7+BG72*8+BG73*8</f>
        <v>1480</v>
      </c>
      <c r="BH70" s="218">
        <f t="shared" si="551"/>
        <v>1480</v>
      </c>
      <c r="BI70" s="218">
        <f t="shared" ref="BI70" si="552">BI71*7+BI72*8+BI73*8</f>
        <v>4023</v>
      </c>
      <c r="BJ70" s="179">
        <f t="shared" si="30"/>
        <v>271.82432432432432</v>
      </c>
      <c r="BK70" s="218">
        <f t="shared" ref="BK70" si="553">BK71*7+BK72*8+BK73*8</f>
        <v>0</v>
      </c>
      <c r="BL70" s="184">
        <f t="shared" si="521"/>
        <v>0</v>
      </c>
      <c r="BM70" s="218">
        <f t="shared" ref="BM70" si="554">BM71*7+BM72*8+BM73*8</f>
        <v>0</v>
      </c>
      <c r="BN70" s="179">
        <f t="shared" si="31"/>
        <v>0</v>
      </c>
      <c r="BO70" s="218">
        <f t="shared" ref="BO70" si="555">BO71*7+BO72*8+BO73*8</f>
        <v>0</v>
      </c>
      <c r="BP70" s="184">
        <f t="shared" si="521"/>
        <v>0</v>
      </c>
      <c r="BQ70" s="218">
        <f t="shared" ref="BQ70" si="556">BQ71*7+BQ72*8+BQ73*8</f>
        <v>0</v>
      </c>
      <c r="BR70" s="179">
        <f t="shared" si="32"/>
        <v>0</v>
      </c>
      <c r="BS70" s="218">
        <f t="shared" ref="BS70" si="557">BS71*7+BS72*8+BS73*8</f>
        <v>0</v>
      </c>
      <c r="BT70" s="184">
        <f t="shared" si="519"/>
        <v>0</v>
      </c>
      <c r="BU70" s="218">
        <f t="shared" ref="BU70" si="558">BU71*7+BU72*8+BU73*8</f>
        <v>0</v>
      </c>
      <c r="BV70" s="179">
        <f t="shared" si="33"/>
        <v>0</v>
      </c>
      <c r="BW70" s="218">
        <f t="shared" ref="BW70" si="559">BW71*7+BW72*8+BW73*8</f>
        <v>0</v>
      </c>
      <c r="BX70" s="184">
        <f t="shared" si="519"/>
        <v>0</v>
      </c>
      <c r="BY70" s="218">
        <f t="shared" ref="BY70" si="560">BY71*7+BY72*8+BY73*8</f>
        <v>0</v>
      </c>
      <c r="BZ70" s="179">
        <f t="shared" si="34"/>
        <v>0</v>
      </c>
      <c r="CA70" s="218">
        <f t="shared" ref="CA70" si="561">CA71*7+CA72*8+CA73*8</f>
        <v>0</v>
      </c>
      <c r="CB70" s="184">
        <f t="shared" si="519"/>
        <v>0</v>
      </c>
      <c r="CC70" s="218">
        <f t="shared" ref="CC70" si="562">CC71*7+CC72*8+CC73*8</f>
        <v>0</v>
      </c>
      <c r="CD70" s="179">
        <f t="shared" si="35"/>
        <v>0</v>
      </c>
      <c r="CE70" s="218">
        <f t="shared" ref="CE70" si="563">CE71*7+CE72*8+CE73*8</f>
        <v>0</v>
      </c>
      <c r="CF70" s="184">
        <f t="shared" si="519"/>
        <v>0</v>
      </c>
      <c r="CG70" s="218">
        <f t="shared" ref="CG70" si="564">CG71*7+CG72*8+CG73*8</f>
        <v>0</v>
      </c>
      <c r="CH70" s="179">
        <f t="shared" si="36"/>
        <v>0</v>
      </c>
      <c r="CI70" s="218">
        <f t="shared" ref="CI70" si="565">CI71*7+CI72*8+CI73*8</f>
        <v>0</v>
      </c>
      <c r="CJ70" s="184">
        <f t="shared" si="519"/>
        <v>0</v>
      </c>
      <c r="CK70" s="218">
        <f t="shared" ref="CK70" si="566">CK71*7+CK72*8+CK73*8</f>
        <v>0</v>
      </c>
      <c r="CL70" s="179">
        <f t="shared" si="37"/>
        <v>0</v>
      </c>
      <c r="CM70" s="218">
        <f t="shared" ref="CM70" si="567">CM71*7+CM72*8+CM73*8</f>
        <v>0</v>
      </c>
      <c r="CN70" s="184">
        <f t="shared" si="519"/>
        <v>0</v>
      </c>
      <c r="CO70" s="218">
        <f t="shared" ref="CO70" si="568">CO71*7+CO72*8+CO73*8</f>
        <v>0</v>
      </c>
      <c r="CP70" s="179">
        <f t="shared" si="38"/>
        <v>0</v>
      </c>
      <c r="CQ70" s="218">
        <f t="shared" ref="CQ70" si="569">CQ71*7+CQ72*8+CQ73*8</f>
        <v>0</v>
      </c>
      <c r="CR70" s="184">
        <f t="shared" si="519"/>
        <v>0</v>
      </c>
      <c r="CS70" s="218">
        <f t="shared" ref="CS70" si="570">CS71*7+CS72*8+CS73*8</f>
        <v>0</v>
      </c>
      <c r="CT70" s="179">
        <f t="shared" si="39"/>
        <v>0</v>
      </c>
      <c r="CU70" s="218">
        <f t="shared" ref="CU70" si="571">CU71*7+CU72*8+CU73*8</f>
        <v>0</v>
      </c>
      <c r="CV70" s="184">
        <f t="shared" si="519"/>
        <v>0</v>
      </c>
      <c r="CW70" s="218">
        <f t="shared" ref="CW70" si="572">CW71*7+CW72*8+CW73*8</f>
        <v>0</v>
      </c>
      <c r="CX70" s="179">
        <f t="shared" si="40"/>
        <v>0</v>
      </c>
      <c r="CY70" s="218">
        <f t="shared" ref="CY70" si="573">CY71*7+CY72*8+CY73*8</f>
        <v>0</v>
      </c>
      <c r="CZ70" s="184">
        <f t="shared" si="519"/>
        <v>0</v>
      </c>
      <c r="DA70" s="218">
        <f t="shared" ref="DA70" si="574">DA71*7+DA72*8+DA73*8</f>
        <v>0</v>
      </c>
      <c r="DB70" s="179">
        <f t="shared" si="41"/>
        <v>0</v>
      </c>
      <c r="DC70" s="218">
        <f t="shared" ref="DC70" si="575">DC71*7+DC72*8+DC73*8</f>
        <v>0</v>
      </c>
      <c r="DD70" s="184">
        <f t="shared" si="519"/>
        <v>0</v>
      </c>
      <c r="DE70" s="218">
        <f t="shared" ref="DE70" si="576">DE71*7+DE72*8+DE73*8</f>
        <v>0</v>
      </c>
      <c r="DF70" s="179">
        <f t="shared" si="42"/>
        <v>0</v>
      </c>
      <c r="DG70" s="218">
        <f t="shared" ref="DG70" si="577">DG71*7+DG72*8+DG73*8</f>
        <v>0</v>
      </c>
      <c r="DH70" s="184">
        <f t="shared" si="519"/>
        <v>0</v>
      </c>
      <c r="DI70" s="218">
        <f t="shared" ref="DI70" si="578">DI71*7+DI72*8+DI73*8</f>
        <v>0</v>
      </c>
      <c r="DJ70" s="179" t="e">
        <f t="shared" si="139"/>
        <v>#DIV/0!</v>
      </c>
      <c r="DK70" s="218">
        <f t="shared" ref="DK70:DL70" si="579">DK71*7+DK72*8+DK73*8</f>
        <v>7268</v>
      </c>
      <c r="DL70" s="218">
        <f t="shared" si="579"/>
        <v>7268</v>
      </c>
      <c r="DM70" s="218">
        <f t="shared" ref="DM70" si="580">DM71*7+DM72*8+DM73*8</f>
        <v>7010</v>
      </c>
      <c r="DN70" s="179">
        <f t="shared" si="43"/>
        <v>96.450192625206384</v>
      </c>
      <c r="DO70" s="218">
        <f t="shared" ref="DO70:DP70" si="581">DO71*7+DO72*8+DO73*8</f>
        <v>11724</v>
      </c>
      <c r="DP70" s="218">
        <f t="shared" si="581"/>
        <v>11724</v>
      </c>
      <c r="DQ70" s="218">
        <f t="shared" ref="DQ70" si="582">DQ71*7+DQ72*8+DQ73*8</f>
        <v>11724</v>
      </c>
      <c r="DR70" s="179">
        <f t="shared" si="44"/>
        <v>100</v>
      </c>
      <c r="DS70" s="218">
        <f t="shared" ref="DS70" si="583">DS71*7+DS72*8+DS73*8</f>
        <v>0</v>
      </c>
      <c r="DT70" s="184">
        <f t="shared" si="519"/>
        <v>0</v>
      </c>
      <c r="DU70" s="218">
        <f t="shared" ref="DU70" si="584">DU71*7+DU72*8+DU73*8</f>
        <v>0</v>
      </c>
      <c r="DV70" s="179" t="e">
        <f t="shared" si="140"/>
        <v>#DIV/0!</v>
      </c>
      <c r="DW70" s="218">
        <f t="shared" ref="DW70" si="585">DW71*7+DW72*8+DW73*8</f>
        <v>0</v>
      </c>
      <c r="DX70" s="184">
        <f t="shared" si="522"/>
        <v>0</v>
      </c>
      <c r="DY70" s="218">
        <f t="shared" ref="DY70" si="586">DY71*7+DY72*8+DY73*8</f>
        <v>0</v>
      </c>
      <c r="DZ70" s="179" t="e">
        <f t="shared" si="142"/>
        <v>#DIV/0!</v>
      </c>
      <c r="EA70" s="218">
        <f t="shared" ref="EA70" si="587">EA71*7+EA72*8+EA73*8</f>
        <v>0</v>
      </c>
      <c r="EB70" s="184">
        <f t="shared" si="522"/>
        <v>0</v>
      </c>
      <c r="EC70" s="218">
        <f t="shared" ref="EC70" si="588">EC71*7+EC72*8+EC73*8</f>
        <v>0</v>
      </c>
      <c r="ED70" s="179">
        <f t="shared" si="45"/>
        <v>0</v>
      </c>
      <c r="EE70" s="218">
        <f t="shared" ref="EE70:EF70" si="589">EE71*7+EE72*8+EE73*8</f>
        <v>5271</v>
      </c>
      <c r="EF70" s="218">
        <f t="shared" si="589"/>
        <v>5271</v>
      </c>
      <c r="EG70" s="218">
        <f t="shared" ref="EG70" si="590">EG71*7+EG72*8+EG73*8</f>
        <v>1127</v>
      </c>
      <c r="EH70" s="179">
        <f t="shared" si="46"/>
        <v>21.381142098273571</v>
      </c>
      <c r="EI70" s="218">
        <f t="shared" ref="EI70" si="591">EI71*7+EI72*8+EI73*8</f>
        <v>0</v>
      </c>
      <c r="EJ70" s="184">
        <f t="shared" si="522"/>
        <v>0</v>
      </c>
      <c r="EK70" s="218">
        <f t="shared" ref="EK70" si="592">EK71*7+EK72*8+EK73*8</f>
        <v>0</v>
      </c>
      <c r="EL70" s="179">
        <f t="shared" si="47"/>
        <v>0</v>
      </c>
      <c r="EM70" s="218">
        <f t="shared" ref="EM70" si="593">EM71*7+EM72*8+EM73*8</f>
        <v>0</v>
      </c>
      <c r="EN70" s="184">
        <f t="shared" si="522"/>
        <v>0</v>
      </c>
      <c r="EO70" s="218">
        <f t="shared" ref="EO70" si="594">EO71*7+EO72*8+EO73*8</f>
        <v>0</v>
      </c>
      <c r="EP70" s="179">
        <f t="shared" si="48"/>
        <v>0</v>
      </c>
      <c r="EQ70" s="218">
        <f t="shared" ref="EQ70" si="595">EQ71*7+EQ72*8+EQ73*8</f>
        <v>0</v>
      </c>
      <c r="ER70" s="184">
        <f t="shared" si="522"/>
        <v>0</v>
      </c>
      <c r="ES70" s="218">
        <f t="shared" ref="ES70" si="596">ES71*7+ES72*8+ES73*8</f>
        <v>0</v>
      </c>
      <c r="ET70" s="179">
        <f t="shared" si="49"/>
        <v>0</v>
      </c>
      <c r="EU70" s="218">
        <f t="shared" ref="EU70" si="597">EU71*7+EU72*8+EU73*8</f>
        <v>0</v>
      </c>
      <c r="EV70" s="184">
        <f t="shared" si="522"/>
        <v>0</v>
      </c>
      <c r="EW70" s="218">
        <f t="shared" ref="EW70" si="598">EW71*7+EW72*8+EW73*8</f>
        <v>0</v>
      </c>
      <c r="EX70" s="179">
        <f t="shared" si="50"/>
        <v>0</v>
      </c>
      <c r="EY70" s="152">
        <f t="shared" si="51"/>
        <v>46873</v>
      </c>
      <c r="EZ70" s="152">
        <f t="shared" si="17"/>
        <v>46873</v>
      </c>
      <c r="FA70" s="152">
        <f t="shared" si="17"/>
        <v>42890</v>
      </c>
      <c r="FB70" s="152">
        <f t="shared" si="52"/>
        <v>91.502570776353124</v>
      </c>
    </row>
    <row r="71" spans="1:158" ht="31.5" x14ac:dyDescent="0.2">
      <c r="A71" s="185" t="s">
        <v>171</v>
      </c>
      <c r="B71" s="170" t="s">
        <v>339</v>
      </c>
      <c r="C71" s="96"/>
      <c r="D71" s="97">
        <f t="shared" si="520"/>
        <v>0</v>
      </c>
      <c r="E71" s="98"/>
      <c r="F71" s="99" t="e">
        <f t="shared" si="3"/>
        <v>#DIV/0!</v>
      </c>
      <c r="G71" s="214"/>
      <c r="H71" s="97">
        <f t="shared" si="521"/>
        <v>0</v>
      </c>
      <c r="I71" s="214"/>
      <c r="J71" s="99">
        <f t="shared" si="18"/>
        <v>0</v>
      </c>
      <c r="K71" s="214"/>
      <c r="L71" s="97">
        <f t="shared" si="521"/>
        <v>0</v>
      </c>
      <c r="M71" s="214"/>
      <c r="N71" s="99" t="e">
        <f t="shared" si="138"/>
        <v>#DIV/0!</v>
      </c>
      <c r="O71" s="214"/>
      <c r="P71" s="97">
        <f t="shared" si="521"/>
        <v>0</v>
      </c>
      <c r="Q71" s="214"/>
      <c r="R71" s="99">
        <f t="shared" si="19"/>
        <v>0</v>
      </c>
      <c r="S71" s="214"/>
      <c r="T71" s="97">
        <f t="shared" si="521"/>
        <v>0</v>
      </c>
      <c r="U71" s="214"/>
      <c r="V71" s="99">
        <f t="shared" si="20"/>
        <v>0</v>
      </c>
      <c r="W71" s="214"/>
      <c r="X71" s="97">
        <f t="shared" si="521"/>
        <v>0</v>
      </c>
      <c r="Y71" s="214"/>
      <c r="Z71" s="99">
        <f t="shared" si="21"/>
        <v>0</v>
      </c>
      <c r="AA71" s="214">
        <v>238</v>
      </c>
      <c r="AB71" s="97">
        <f t="shared" si="521"/>
        <v>238</v>
      </c>
      <c r="AC71" s="214">
        <v>156</v>
      </c>
      <c r="AD71" s="99">
        <f t="shared" si="22"/>
        <v>65.546218487394952</v>
      </c>
      <c r="AE71" s="214">
        <v>198</v>
      </c>
      <c r="AF71" s="97">
        <f t="shared" si="521"/>
        <v>198</v>
      </c>
      <c r="AG71" s="214">
        <v>163</v>
      </c>
      <c r="AH71" s="99">
        <f t="shared" si="23"/>
        <v>82.323232323232318</v>
      </c>
      <c r="AI71" s="214"/>
      <c r="AJ71" s="97">
        <f t="shared" si="521"/>
        <v>0</v>
      </c>
      <c r="AK71" s="214"/>
      <c r="AL71" s="99">
        <f t="shared" si="24"/>
        <v>0</v>
      </c>
      <c r="AM71" s="214">
        <v>150</v>
      </c>
      <c r="AN71" s="97">
        <f t="shared" si="521"/>
        <v>150</v>
      </c>
      <c r="AO71" s="214">
        <v>223</v>
      </c>
      <c r="AP71" s="99">
        <f t="shared" si="25"/>
        <v>148.66666666666666</v>
      </c>
      <c r="AQ71" s="214"/>
      <c r="AR71" s="97">
        <f t="shared" si="521"/>
        <v>0</v>
      </c>
      <c r="AS71" s="214"/>
      <c r="AT71" s="99">
        <f t="shared" si="26"/>
        <v>0</v>
      </c>
      <c r="AU71" s="214">
        <v>100</v>
      </c>
      <c r="AV71" s="97">
        <f t="shared" si="521"/>
        <v>100</v>
      </c>
      <c r="AW71" s="214">
        <v>2</v>
      </c>
      <c r="AX71" s="99">
        <f t="shared" si="27"/>
        <v>2</v>
      </c>
      <c r="AY71" s="214">
        <v>300</v>
      </c>
      <c r="AZ71" s="97">
        <f t="shared" si="521"/>
        <v>300</v>
      </c>
      <c r="BA71" s="214">
        <v>340</v>
      </c>
      <c r="BB71" s="99">
        <f t="shared" si="28"/>
        <v>113.33333333333333</v>
      </c>
      <c r="BC71" s="214">
        <v>60</v>
      </c>
      <c r="BD71" s="97">
        <f t="shared" si="521"/>
        <v>60</v>
      </c>
      <c r="BE71" s="214">
        <v>46</v>
      </c>
      <c r="BF71" s="99">
        <f t="shared" si="29"/>
        <v>76.666666666666671</v>
      </c>
      <c r="BG71" s="214">
        <v>40</v>
      </c>
      <c r="BH71" s="97">
        <f t="shared" si="521"/>
        <v>40</v>
      </c>
      <c r="BI71" s="214">
        <v>9</v>
      </c>
      <c r="BJ71" s="99">
        <f t="shared" si="30"/>
        <v>22.5</v>
      </c>
      <c r="BK71" s="214"/>
      <c r="BL71" s="97">
        <f t="shared" si="521"/>
        <v>0</v>
      </c>
      <c r="BM71" s="214"/>
      <c r="BN71" s="99">
        <f t="shared" si="31"/>
        <v>0</v>
      </c>
      <c r="BO71" s="214"/>
      <c r="BP71" s="97">
        <f t="shared" si="521"/>
        <v>0</v>
      </c>
      <c r="BQ71" s="214"/>
      <c r="BR71" s="99">
        <f t="shared" si="32"/>
        <v>0</v>
      </c>
      <c r="BS71" s="214"/>
      <c r="BT71" s="97">
        <f t="shared" si="519"/>
        <v>0</v>
      </c>
      <c r="BU71" s="214"/>
      <c r="BV71" s="99">
        <f t="shared" si="33"/>
        <v>0</v>
      </c>
      <c r="BW71" s="214"/>
      <c r="BX71" s="97">
        <f t="shared" si="519"/>
        <v>0</v>
      </c>
      <c r="BY71" s="214"/>
      <c r="BZ71" s="99">
        <f t="shared" si="34"/>
        <v>0</v>
      </c>
      <c r="CA71" s="214"/>
      <c r="CB71" s="97">
        <f t="shared" si="519"/>
        <v>0</v>
      </c>
      <c r="CC71" s="214"/>
      <c r="CD71" s="99">
        <f t="shared" si="35"/>
        <v>0</v>
      </c>
      <c r="CE71" s="214"/>
      <c r="CF71" s="97">
        <f t="shared" si="519"/>
        <v>0</v>
      </c>
      <c r="CG71" s="214"/>
      <c r="CH71" s="99">
        <f t="shared" si="36"/>
        <v>0</v>
      </c>
      <c r="CI71" s="214"/>
      <c r="CJ71" s="97">
        <f t="shared" si="519"/>
        <v>0</v>
      </c>
      <c r="CK71" s="214"/>
      <c r="CL71" s="99">
        <f t="shared" si="37"/>
        <v>0</v>
      </c>
      <c r="CM71" s="214"/>
      <c r="CN71" s="97">
        <f t="shared" si="519"/>
        <v>0</v>
      </c>
      <c r="CO71" s="214"/>
      <c r="CP71" s="99">
        <f t="shared" si="38"/>
        <v>0</v>
      </c>
      <c r="CQ71" s="214"/>
      <c r="CR71" s="97">
        <f t="shared" si="519"/>
        <v>0</v>
      </c>
      <c r="CS71" s="214"/>
      <c r="CT71" s="99">
        <f t="shared" si="39"/>
        <v>0</v>
      </c>
      <c r="CU71" s="214"/>
      <c r="CV71" s="97">
        <f t="shared" si="519"/>
        <v>0</v>
      </c>
      <c r="CW71" s="214"/>
      <c r="CX71" s="99">
        <f t="shared" si="40"/>
        <v>0</v>
      </c>
      <c r="CY71" s="214"/>
      <c r="CZ71" s="97">
        <f t="shared" si="519"/>
        <v>0</v>
      </c>
      <c r="DA71" s="214"/>
      <c r="DB71" s="99">
        <f t="shared" si="41"/>
        <v>0</v>
      </c>
      <c r="DC71" s="214"/>
      <c r="DD71" s="97">
        <f t="shared" si="519"/>
        <v>0</v>
      </c>
      <c r="DE71" s="214"/>
      <c r="DF71" s="99">
        <f t="shared" si="42"/>
        <v>0</v>
      </c>
      <c r="DG71" s="214"/>
      <c r="DH71" s="97">
        <f t="shared" si="519"/>
        <v>0</v>
      </c>
      <c r="DI71" s="214"/>
      <c r="DJ71" s="99" t="e">
        <f t="shared" si="139"/>
        <v>#DIV/0!</v>
      </c>
      <c r="DK71" s="214">
        <v>124</v>
      </c>
      <c r="DL71" s="97">
        <f t="shared" si="519"/>
        <v>124</v>
      </c>
      <c r="DM71" s="214">
        <v>222</v>
      </c>
      <c r="DN71" s="99">
        <f t="shared" si="43"/>
        <v>179.03225806451613</v>
      </c>
      <c r="DO71" s="214">
        <v>756</v>
      </c>
      <c r="DP71" s="97">
        <f t="shared" si="519"/>
        <v>756</v>
      </c>
      <c r="DQ71" s="214">
        <v>756</v>
      </c>
      <c r="DR71" s="99">
        <f t="shared" si="44"/>
        <v>100</v>
      </c>
      <c r="DS71" s="214"/>
      <c r="DT71" s="97">
        <f t="shared" si="519"/>
        <v>0</v>
      </c>
      <c r="DU71" s="214"/>
      <c r="DV71" s="99" t="e">
        <f t="shared" si="140"/>
        <v>#DIV/0!</v>
      </c>
      <c r="DW71" s="214"/>
      <c r="DX71" s="97">
        <f t="shared" si="522"/>
        <v>0</v>
      </c>
      <c r="DY71" s="214"/>
      <c r="DZ71" s="99" t="e">
        <f t="shared" si="142"/>
        <v>#DIV/0!</v>
      </c>
      <c r="EA71" s="214"/>
      <c r="EB71" s="97">
        <f t="shared" si="522"/>
        <v>0</v>
      </c>
      <c r="EC71" s="214"/>
      <c r="ED71" s="99">
        <f t="shared" si="45"/>
        <v>0</v>
      </c>
      <c r="EE71" s="214">
        <v>249</v>
      </c>
      <c r="EF71" s="97">
        <f t="shared" si="522"/>
        <v>249</v>
      </c>
      <c r="EG71" s="214">
        <v>113</v>
      </c>
      <c r="EH71" s="99">
        <f t="shared" si="46"/>
        <v>45.381526104417667</v>
      </c>
      <c r="EI71" s="214"/>
      <c r="EJ71" s="97">
        <f t="shared" si="522"/>
        <v>0</v>
      </c>
      <c r="EK71" s="214"/>
      <c r="EL71" s="99">
        <f t="shared" si="47"/>
        <v>0</v>
      </c>
      <c r="EM71" s="214"/>
      <c r="EN71" s="97">
        <f t="shared" si="522"/>
        <v>0</v>
      </c>
      <c r="EO71" s="214"/>
      <c r="EP71" s="99">
        <f t="shared" si="48"/>
        <v>0</v>
      </c>
      <c r="EQ71" s="214"/>
      <c r="ER71" s="97">
        <f t="shared" si="522"/>
        <v>0</v>
      </c>
      <c r="ES71" s="214"/>
      <c r="ET71" s="99">
        <f t="shared" si="49"/>
        <v>0</v>
      </c>
      <c r="EU71" s="214"/>
      <c r="EV71" s="97">
        <f t="shared" si="522"/>
        <v>0</v>
      </c>
      <c r="EW71" s="214"/>
      <c r="EX71" s="99">
        <f t="shared" si="50"/>
        <v>0</v>
      </c>
      <c r="EY71" s="152">
        <f t="shared" si="51"/>
        <v>2215</v>
      </c>
      <c r="EZ71" s="152">
        <f t="shared" si="17"/>
        <v>2215</v>
      </c>
      <c r="FA71" s="152">
        <f t="shared" si="17"/>
        <v>2030</v>
      </c>
      <c r="FB71" s="152">
        <f t="shared" si="52"/>
        <v>91.647855530474047</v>
      </c>
    </row>
    <row r="72" spans="1:158" ht="47.25" x14ac:dyDescent="0.2">
      <c r="A72" s="185" t="s">
        <v>172</v>
      </c>
      <c r="B72" s="170" t="s">
        <v>339</v>
      </c>
      <c r="C72" s="96"/>
      <c r="D72" s="97">
        <f t="shared" si="520"/>
        <v>0</v>
      </c>
      <c r="E72" s="98"/>
      <c r="F72" s="99" t="e">
        <f t="shared" si="3"/>
        <v>#DIV/0!</v>
      </c>
      <c r="G72" s="214"/>
      <c r="H72" s="97">
        <f t="shared" si="521"/>
        <v>0</v>
      </c>
      <c r="I72" s="214"/>
      <c r="J72" s="99">
        <f t="shared" si="18"/>
        <v>0</v>
      </c>
      <c r="K72" s="214"/>
      <c r="L72" s="97">
        <f t="shared" si="521"/>
        <v>0</v>
      </c>
      <c r="M72" s="214"/>
      <c r="N72" s="99" t="e">
        <f t="shared" si="138"/>
        <v>#DIV/0!</v>
      </c>
      <c r="O72" s="214"/>
      <c r="P72" s="97">
        <f t="shared" si="521"/>
        <v>0</v>
      </c>
      <c r="Q72" s="214"/>
      <c r="R72" s="99">
        <f t="shared" si="19"/>
        <v>0</v>
      </c>
      <c r="S72" s="214"/>
      <c r="T72" s="97">
        <f t="shared" si="521"/>
        <v>0</v>
      </c>
      <c r="U72" s="214"/>
      <c r="V72" s="99">
        <f t="shared" si="20"/>
        <v>0</v>
      </c>
      <c r="W72" s="214"/>
      <c r="X72" s="97">
        <f t="shared" si="521"/>
        <v>0</v>
      </c>
      <c r="Y72" s="214"/>
      <c r="Z72" s="99">
        <f t="shared" si="21"/>
        <v>0</v>
      </c>
      <c r="AA72" s="214">
        <v>162</v>
      </c>
      <c r="AB72" s="97">
        <f t="shared" si="521"/>
        <v>162</v>
      </c>
      <c r="AC72" s="214">
        <v>128</v>
      </c>
      <c r="AD72" s="99">
        <f t="shared" si="22"/>
        <v>79.012345679012341</v>
      </c>
      <c r="AE72" s="214">
        <v>172</v>
      </c>
      <c r="AF72" s="97">
        <f t="shared" si="521"/>
        <v>172</v>
      </c>
      <c r="AG72" s="214">
        <v>234</v>
      </c>
      <c r="AH72" s="99">
        <f t="shared" si="23"/>
        <v>136.04651162790697</v>
      </c>
      <c r="AI72" s="214"/>
      <c r="AJ72" s="97">
        <f t="shared" si="521"/>
        <v>0</v>
      </c>
      <c r="AK72" s="214"/>
      <c r="AL72" s="99">
        <f t="shared" si="24"/>
        <v>0</v>
      </c>
      <c r="AM72" s="214">
        <v>150</v>
      </c>
      <c r="AN72" s="97">
        <f t="shared" si="521"/>
        <v>150</v>
      </c>
      <c r="AO72" s="214">
        <v>140</v>
      </c>
      <c r="AP72" s="99">
        <f t="shared" si="25"/>
        <v>93.333333333333329</v>
      </c>
      <c r="AQ72" s="214"/>
      <c r="AR72" s="97">
        <f t="shared" si="521"/>
        <v>0</v>
      </c>
      <c r="AS72" s="214"/>
      <c r="AT72" s="99">
        <f t="shared" si="26"/>
        <v>0</v>
      </c>
      <c r="AU72" s="214">
        <v>300</v>
      </c>
      <c r="AV72" s="97">
        <f t="shared" si="521"/>
        <v>300</v>
      </c>
      <c r="AW72" s="214">
        <v>40</v>
      </c>
      <c r="AX72" s="99">
        <f t="shared" si="27"/>
        <v>13.333333333333334</v>
      </c>
      <c r="AY72" s="214">
        <v>350</v>
      </c>
      <c r="AZ72" s="97">
        <f t="shared" si="521"/>
        <v>350</v>
      </c>
      <c r="BA72" s="214">
        <v>486</v>
      </c>
      <c r="BB72" s="99">
        <f t="shared" si="28"/>
        <v>138.85714285714286</v>
      </c>
      <c r="BC72" s="214">
        <v>60</v>
      </c>
      <c r="BD72" s="97">
        <f t="shared" si="521"/>
        <v>60</v>
      </c>
      <c r="BE72" s="214">
        <v>210</v>
      </c>
      <c r="BF72" s="99">
        <f t="shared" si="29"/>
        <v>350</v>
      </c>
      <c r="BG72" s="214"/>
      <c r="BH72" s="97">
        <f t="shared" si="521"/>
        <v>0</v>
      </c>
      <c r="BI72" s="214">
        <v>488</v>
      </c>
      <c r="BJ72" s="99">
        <f t="shared" si="30"/>
        <v>0</v>
      </c>
      <c r="BK72" s="214"/>
      <c r="BL72" s="97">
        <f t="shared" si="521"/>
        <v>0</v>
      </c>
      <c r="BM72" s="214"/>
      <c r="BN72" s="99">
        <f t="shared" si="31"/>
        <v>0</v>
      </c>
      <c r="BO72" s="214"/>
      <c r="BP72" s="97">
        <f t="shared" si="521"/>
        <v>0</v>
      </c>
      <c r="BQ72" s="214"/>
      <c r="BR72" s="99">
        <f t="shared" si="32"/>
        <v>0</v>
      </c>
      <c r="BS72" s="214"/>
      <c r="BT72" s="97">
        <f t="shared" si="519"/>
        <v>0</v>
      </c>
      <c r="BU72" s="214"/>
      <c r="BV72" s="99">
        <f t="shared" si="33"/>
        <v>0</v>
      </c>
      <c r="BW72" s="214"/>
      <c r="BX72" s="97">
        <f t="shared" si="519"/>
        <v>0</v>
      </c>
      <c r="BY72" s="214"/>
      <c r="BZ72" s="99">
        <f t="shared" si="34"/>
        <v>0</v>
      </c>
      <c r="CA72" s="214"/>
      <c r="CB72" s="97">
        <f t="shared" si="519"/>
        <v>0</v>
      </c>
      <c r="CC72" s="214"/>
      <c r="CD72" s="99">
        <f t="shared" si="35"/>
        <v>0</v>
      </c>
      <c r="CE72" s="214"/>
      <c r="CF72" s="97">
        <f t="shared" si="519"/>
        <v>0</v>
      </c>
      <c r="CG72" s="214"/>
      <c r="CH72" s="99">
        <f t="shared" si="36"/>
        <v>0</v>
      </c>
      <c r="CI72" s="214"/>
      <c r="CJ72" s="97">
        <f t="shared" si="519"/>
        <v>0</v>
      </c>
      <c r="CK72" s="214"/>
      <c r="CL72" s="99">
        <f t="shared" si="37"/>
        <v>0</v>
      </c>
      <c r="CM72" s="214"/>
      <c r="CN72" s="97">
        <f t="shared" si="519"/>
        <v>0</v>
      </c>
      <c r="CO72" s="214"/>
      <c r="CP72" s="99">
        <f t="shared" si="38"/>
        <v>0</v>
      </c>
      <c r="CQ72" s="214"/>
      <c r="CR72" s="97">
        <f t="shared" si="519"/>
        <v>0</v>
      </c>
      <c r="CS72" s="214"/>
      <c r="CT72" s="99">
        <f t="shared" si="39"/>
        <v>0</v>
      </c>
      <c r="CU72" s="214"/>
      <c r="CV72" s="97">
        <f t="shared" si="519"/>
        <v>0</v>
      </c>
      <c r="CW72" s="214"/>
      <c r="CX72" s="99">
        <f t="shared" si="40"/>
        <v>0</v>
      </c>
      <c r="CY72" s="214"/>
      <c r="CZ72" s="97">
        <f t="shared" si="519"/>
        <v>0</v>
      </c>
      <c r="DA72" s="214"/>
      <c r="DB72" s="99">
        <f t="shared" si="41"/>
        <v>0</v>
      </c>
      <c r="DC72" s="214"/>
      <c r="DD72" s="97">
        <f t="shared" si="519"/>
        <v>0</v>
      </c>
      <c r="DE72" s="214"/>
      <c r="DF72" s="99">
        <f t="shared" si="42"/>
        <v>0</v>
      </c>
      <c r="DG72" s="214"/>
      <c r="DH72" s="97">
        <f t="shared" si="519"/>
        <v>0</v>
      </c>
      <c r="DI72" s="214"/>
      <c r="DJ72" s="99" t="e">
        <f t="shared" si="139"/>
        <v>#DIV/0!</v>
      </c>
      <c r="DK72" s="214">
        <v>478</v>
      </c>
      <c r="DL72" s="97">
        <f t="shared" si="519"/>
        <v>478</v>
      </c>
      <c r="DM72" s="214">
        <v>682</v>
      </c>
      <c r="DN72" s="99">
        <f t="shared" si="43"/>
        <v>142.67782426778243</v>
      </c>
      <c r="DO72" s="214">
        <v>800</v>
      </c>
      <c r="DP72" s="97">
        <f t="shared" si="519"/>
        <v>800</v>
      </c>
      <c r="DQ72" s="214">
        <v>800</v>
      </c>
      <c r="DR72" s="99">
        <f t="shared" si="44"/>
        <v>100</v>
      </c>
      <c r="DS72" s="214"/>
      <c r="DT72" s="97">
        <f t="shared" si="519"/>
        <v>0</v>
      </c>
      <c r="DU72" s="214"/>
      <c r="DV72" s="99" t="e">
        <f t="shared" si="140"/>
        <v>#DIV/0!</v>
      </c>
      <c r="DW72" s="214"/>
      <c r="DX72" s="97">
        <f t="shared" si="522"/>
        <v>0</v>
      </c>
      <c r="DY72" s="214"/>
      <c r="DZ72" s="99" t="e">
        <f t="shared" si="142"/>
        <v>#DIV/0!</v>
      </c>
      <c r="EA72" s="214"/>
      <c r="EB72" s="97">
        <f t="shared" si="522"/>
        <v>0</v>
      </c>
      <c r="EC72" s="214"/>
      <c r="ED72" s="99">
        <f t="shared" si="45"/>
        <v>0</v>
      </c>
      <c r="EE72" s="214">
        <v>214</v>
      </c>
      <c r="EF72" s="97">
        <f t="shared" si="522"/>
        <v>214</v>
      </c>
      <c r="EG72" s="214">
        <v>40</v>
      </c>
      <c r="EH72" s="99">
        <f t="shared" si="46"/>
        <v>18.691588785046729</v>
      </c>
      <c r="EI72" s="214"/>
      <c r="EJ72" s="97">
        <f t="shared" si="522"/>
        <v>0</v>
      </c>
      <c r="EK72" s="214"/>
      <c r="EL72" s="99">
        <f t="shared" si="47"/>
        <v>0</v>
      </c>
      <c r="EM72" s="214"/>
      <c r="EN72" s="97">
        <f t="shared" si="522"/>
        <v>0</v>
      </c>
      <c r="EO72" s="214"/>
      <c r="EP72" s="99">
        <f t="shared" si="48"/>
        <v>0</v>
      </c>
      <c r="EQ72" s="214"/>
      <c r="ER72" s="97">
        <f t="shared" si="522"/>
        <v>0</v>
      </c>
      <c r="ES72" s="214"/>
      <c r="ET72" s="99">
        <f t="shared" si="49"/>
        <v>0</v>
      </c>
      <c r="EU72" s="214"/>
      <c r="EV72" s="97">
        <f t="shared" si="522"/>
        <v>0</v>
      </c>
      <c r="EW72" s="214"/>
      <c r="EX72" s="99">
        <f t="shared" si="50"/>
        <v>0</v>
      </c>
      <c r="EY72" s="152">
        <f t="shared" si="51"/>
        <v>2686</v>
      </c>
      <c r="EZ72" s="152">
        <f t="shared" si="17"/>
        <v>2686</v>
      </c>
      <c r="FA72" s="152">
        <f t="shared" si="17"/>
        <v>3248</v>
      </c>
      <c r="FB72" s="152">
        <f t="shared" si="52"/>
        <v>120.92330603127326</v>
      </c>
    </row>
    <row r="73" spans="1:158" ht="94.5" x14ac:dyDescent="0.2">
      <c r="A73" s="185" t="s">
        <v>173</v>
      </c>
      <c r="B73" s="170" t="s">
        <v>339</v>
      </c>
      <c r="C73" s="96"/>
      <c r="D73" s="97">
        <f t="shared" si="520"/>
        <v>0</v>
      </c>
      <c r="E73" s="98"/>
      <c r="F73" s="99" t="e">
        <f t="shared" si="3"/>
        <v>#DIV/0!</v>
      </c>
      <c r="G73" s="214"/>
      <c r="H73" s="97">
        <f t="shared" si="521"/>
        <v>0</v>
      </c>
      <c r="I73" s="214"/>
      <c r="J73" s="99">
        <f t="shared" si="18"/>
        <v>0</v>
      </c>
      <c r="K73" s="214"/>
      <c r="L73" s="97">
        <f t="shared" si="521"/>
        <v>0</v>
      </c>
      <c r="M73" s="214"/>
      <c r="N73" s="99" t="e">
        <f t="shared" si="138"/>
        <v>#DIV/0!</v>
      </c>
      <c r="O73" s="214"/>
      <c r="P73" s="97">
        <f t="shared" si="521"/>
        <v>0</v>
      </c>
      <c r="Q73" s="214"/>
      <c r="R73" s="99">
        <f t="shared" si="19"/>
        <v>0</v>
      </c>
      <c r="S73" s="214"/>
      <c r="T73" s="97">
        <f t="shared" si="521"/>
        <v>0</v>
      </c>
      <c r="U73" s="214"/>
      <c r="V73" s="99">
        <f t="shared" si="20"/>
        <v>0</v>
      </c>
      <c r="W73" s="214"/>
      <c r="X73" s="97">
        <f t="shared" si="521"/>
        <v>0</v>
      </c>
      <c r="Y73" s="214"/>
      <c r="Z73" s="99">
        <f t="shared" si="21"/>
        <v>0</v>
      </c>
      <c r="AA73" s="214">
        <v>103</v>
      </c>
      <c r="AB73" s="97">
        <f t="shared" si="521"/>
        <v>103</v>
      </c>
      <c r="AC73" s="214">
        <v>45</v>
      </c>
      <c r="AD73" s="99">
        <f t="shared" si="22"/>
        <v>43.689320388349515</v>
      </c>
      <c r="AE73" s="214">
        <v>49</v>
      </c>
      <c r="AF73" s="97">
        <f t="shared" si="521"/>
        <v>49</v>
      </c>
      <c r="AG73" s="214">
        <v>1</v>
      </c>
      <c r="AH73" s="99">
        <f t="shared" si="23"/>
        <v>2.0408163265306123</v>
      </c>
      <c r="AI73" s="214"/>
      <c r="AJ73" s="97">
        <f t="shared" si="521"/>
        <v>0</v>
      </c>
      <c r="AK73" s="214"/>
      <c r="AL73" s="99">
        <f t="shared" si="24"/>
        <v>0</v>
      </c>
      <c r="AM73" s="214">
        <v>80</v>
      </c>
      <c r="AN73" s="97">
        <f t="shared" si="521"/>
        <v>80</v>
      </c>
      <c r="AO73" s="214">
        <v>1</v>
      </c>
      <c r="AP73" s="99">
        <f t="shared" si="25"/>
        <v>1.25</v>
      </c>
      <c r="AQ73" s="214"/>
      <c r="AR73" s="97">
        <f t="shared" si="521"/>
        <v>0</v>
      </c>
      <c r="AS73" s="214"/>
      <c r="AT73" s="99">
        <f t="shared" si="26"/>
        <v>0</v>
      </c>
      <c r="AU73" s="214">
        <v>100</v>
      </c>
      <c r="AV73" s="97">
        <f t="shared" si="521"/>
        <v>100</v>
      </c>
      <c r="AW73" s="214">
        <v>277</v>
      </c>
      <c r="AX73" s="99">
        <f t="shared" si="27"/>
        <v>277</v>
      </c>
      <c r="AY73" s="214">
        <v>150</v>
      </c>
      <c r="AZ73" s="97">
        <f t="shared" si="521"/>
        <v>150</v>
      </c>
      <c r="BA73" s="214">
        <v>0</v>
      </c>
      <c r="BB73" s="99">
        <f t="shared" si="28"/>
        <v>0</v>
      </c>
      <c r="BC73" s="214">
        <v>50</v>
      </c>
      <c r="BD73" s="97">
        <f t="shared" si="521"/>
        <v>50</v>
      </c>
      <c r="BE73" s="214">
        <v>0</v>
      </c>
      <c r="BF73" s="99">
        <f t="shared" si="29"/>
        <v>0</v>
      </c>
      <c r="BG73" s="214">
        <v>150</v>
      </c>
      <c r="BH73" s="97">
        <f t="shared" si="521"/>
        <v>150</v>
      </c>
      <c r="BI73" s="214">
        <v>7</v>
      </c>
      <c r="BJ73" s="99">
        <f t="shared" si="30"/>
        <v>4.666666666666667</v>
      </c>
      <c r="BK73" s="214"/>
      <c r="BL73" s="97">
        <f t="shared" si="521"/>
        <v>0</v>
      </c>
      <c r="BM73" s="214"/>
      <c r="BN73" s="99">
        <f t="shared" si="31"/>
        <v>0</v>
      </c>
      <c r="BO73" s="214"/>
      <c r="BP73" s="97">
        <f t="shared" si="521"/>
        <v>0</v>
      </c>
      <c r="BQ73" s="214"/>
      <c r="BR73" s="99">
        <f t="shared" si="32"/>
        <v>0</v>
      </c>
      <c r="BS73" s="214"/>
      <c r="BT73" s="97">
        <f t="shared" si="519"/>
        <v>0</v>
      </c>
      <c r="BU73" s="214"/>
      <c r="BV73" s="99">
        <f t="shared" si="33"/>
        <v>0</v>
      </c>
      <c r="BW73" s="214"/>
      <c r="BX73" s="97">
        <f t="shared" si="519"/>
        <v>0</v>
      </c>
      <c r="BY73" s="214"/>
      <c r="BZ73" s="99">
        <f t="shared" si="34"/>
        <v>0</v>
      </c>
      <c r="CA73" s="214"/>
      <c r="CB73" s="97">
        <f t="shared" si="519"/>
        <v>0</v>
      </c>
      <c r="CC73" s="214"/>
      <c r="CD73" s="99">
        <f t="shared" si="35"/>
        <v>0</v>
      </c>
      <c r="CE73" s="214"/>
      <c r="CF73" s="97">
        <f t="shared" si="519"/>
        <v>0</v>
      </c>
      <c r="CG73" s="214"/>
      <c r="CH73" s="99">
        <f t="shared" si="36"/>
        <v>0</v>
      </c>
      <c r="CI73" s="214"/>
      <c r="CJ73" s="97">
        <f t="shared" si="519"/>
        <v>0</v>
      </c>
      <c r="CK73" s="214"/>
      <c r="CL73" s="99">
        <f t="shared" si="37"/>
        <v>0</v>
      </c>
      <c r="CM73" s="214"/>
      <c r="CN73" s="97">
        <f t="shared" si="519"/>
        <v>0</v>
      </c>
      <c r="CO73" s="214"/>
      <c r="CP73" s="99">
        <f t="shared" si="38"/>
        <v>0</v>
      </c>
      <c r="CQ73" s="214"/>
      <c r="CR73" s="97">
        <f t="shared" si="519"/>
        <v>0</v>
      </c>
      <c r="CS73" s="214"/>
      <c r="CT73" s="99">
        <f t="shared" si="39"/>
        <v>0</v>
      </c>
      <c r="CU73" s="214"/>
      <c r="CV73" s="97">
        <f t="shared" si="519"/>
        <v>0</v>
      </c>
      <c r="CW73" s="214"/>
      <c r="CX73" s="99">
        <f t="shared" si="40"/>
        <v>0</v>
      </c>
      <c r="CY73" s="214"/>
      <c r="CZ73" s="97">
        <f t="shared" si="519"/>
        <v>0</v>
      </c>
      <c r="DA73" s="214"/>
      <c r="DB73" s="99">
        <f t="shared" si="41"/>
        <v>0</v>
      </c>
      <c r="DC73" s="214"/>
      <c r="DD73" s="97">
        <f t="shared" si="519"/>
        <v>0</v>
      </c>
      <c r="DE73" s="214"/>
      <c r="DF73" s="99">
        <f t="shared" si="42"/>
        <v>0</v>
      </c>
      <c r="DG73" s="214"/>
      <c r="DH73" s="97">
        <f t="shared" si="519"/>
        <v>0</v>
      </c>
      <c r="DI73" s="214"/>
      <c r="DJ73" s="99" t="e">
        <f t="shared" si="139"/>
        <v>#DIV/0!</v>
      </c>
      <c r="DK73" s="214">
        <v>322</v>
      </c>
      <c r="DL73" s="97">
        <f t="shared" si="519"/>
        <v>322</v>
      </c>
      <c r="DM73" s="214">
        <v>0</v>
      </c>
      <c r="DN73" s="99">
        <f t="shared" si="43"/>
        <v>0</v>
      </c>
      <c r="DO73" s="214">
        <v>4</v>
      </c>
      <c r="DP73" s="97">
        <f t="shared" si="519"/>
        <v>4</v>
      </c>
      <c r="DQ73" s="214">
        <v>4</v>
      </c>
      <c r="DR73" s="99">
        <f t="shared" si="44"/>
        <v>100</v>
      </c>
      <c r="DS73" s="214"/>
      <c r="DT73" s="97">
        <f t="shared" si="519"/>
        <v>0</v>
      </c>
      <c r="DU73" s="214"/>
      <c r="DV73" s="99" t="e">
        <f t="shared" si="140"/>
        <v>#DIV/0!</v>
      </c>
      <c r="DW73" s="214"/>
      <c r="DX73" s="97">
        <f t="shared" si="522"/>
        <v>0</v>
      </c>
      <c r="DY73" s="214"/>
      <c r="DZ73" s="99" t="e">
        <f t="shared" si="142"/>
        <v>#DIV/0!</v>
      </c>
      <c r="EA73" s="214"/>
      <c r="EB73" s="97">
        <f t="shared" si="522"/>
        <v>0</v>
      </c>
      <c r="EC73" s="214"/>
      <c r="ED73" s="99">
        <f t="shared" si="45"/>
        <v>0</v>
      </c>
      <c r="EE73" s="214">
        <v>227</v>
      </c>
      <c r="EF73" s="97">
        <f t="shared" si="522"/>
        <v>227</v>
      </c>
      <c r="EG73" s="214">
        <v>2</v>
      </c>
      <c r="EH73" s="99">
        <f t="shared" si="46"/>
        <v>0.88105726872246704</v>
      </c>
      <c r="EI73" s="214"/>
      <c r="EJ73" s="97">
        <f t="shared" si="522"/>
        <v>0</v>
      </c>
      <c r="EK73" s="214"/>
      <c r="EL73" s="99">
        <f t="shared" si="47"/>
        <v>0</v>
      </c>
      <c r="EM73" s="214"/>
      <c r="EN73" s="97">
        <f t="shared" si="522"/>
        <v>0</v>
      </c>
      <c r="EO73" s="214"/>
      <c r="EP73" s="99">
        <f t="shared" si="48"/>
        <v>0</v>
      </c>
      <c r="EQ73" s="214"/>
      <c r="ER73" s="97">
        <f t="shared" si="522"/>
        <v>0</v>
      </c>
      <c r="ES73" s="214"/>
      <c r="ET73" s="99">
        <f t="shared" si="49"/>
        <v>0</v>
      </c>
      <c r="EU73" s="214"/>
      <c r="EV73" s="97">
        <f t="shared" si="522"/>
        <v>0</v>
      </c>
      <c r="EW73" s="214"/>
      <c r="EX73" s="99">
        <f t="shared" si="50"/>
        <v>0</v>
      </c>
      <c r="EY73" s="152">
        <f t="shared" si="51"/>
        <v>1235</v>
      </c>
      <c r="EZ73" s="152">
        <f t="shared" si="17"/>
        <v>1235</v>
      </c>
      <c r="FA73" s="152">
        <f t="shared" si="17"/>
        <v>337</v>
      </c>
      <c r="FB73" s="152">
        <f t="shared" si="52"/>
        <v>27.287449392712549</v>
      </c>
    </row>
    <row r="74" spans="1:158" ht="31.5" x14ac:dyDescent="0.2">
      <c r="A74" s="176" t="s">
        <v>174</v>
      </c>
      <c r="B74" s="155" t="s">
        <v>3</v>
      </c>
      <c r="C74" s="177">
        <f t="shared" ref="C74" si="599">C75+C76+C77</f>
        <v>0</v>
      </c>
      <c r="D74" s="184">
        <f t="shared" si="520"/>
        <v>0</v>
      </c>
      <c r="E74" s="178">
        <f t="shared" ref="E74" si="600">E75+E76+E77</f>
        <v>0</v>
      </c>
      <c r="F74" s="179" t="e">
        <f t="shared" si="3"/>
        <v>#DIV/0!</v>
      </c>
      <c r="G74" s="218">
        <f t="shared" ref="G74" si="601">G75+G76+G77</f>
        <v>0</v>
      </c>
      <c r="H74" s="184">
        <f t="shared" si="521"/>
        <v>0</v>
      </c>
      <c r="I74" s="218">
        <f t="shared" ref="I74" si="602">I75+I76+I77</f>
        <v>0</v>
      </c>
      <c r="J74" s="179">
        <f t="shared" si="18"/>
        <v>0</v>
      </c>
      <c r="K74" s="218">
        <f t="shared" ref="K74" si="603">K75+K76+K77</f>
        <v>0</v>
      </c>
      <c r="L74" s="184">
        <f t="shared" si="521"/>
        <v>0</v>
      </c>
      <c r="M74" s="218">
        <f t="shared" ref="M74" si="604">M75+M76+M77</f>
        <v>0</v>
      </c>
      <c r="N74" s="179" t="e">
        <f t="shared" si="138"/>
        <v>#DIV/0!</v>
      </c>
      <c r="O74" s="218">
        <f t="shared" ref="O74" si="605">O75+O76+O77</f>
        <v>0</v>
      </c>
      <c r="P74" s="184">
        <f t="shared" si="521"/>
        <v>0</v>
      </c>
      <c r="Q74" s="218">
        <f t="shared" ref="Q74" si="606">Q75+Q76+Q77</f>
        <v>0</v>
      </c>
      <c r="R74" s="179">
        <f t="shared" si="19"/>
        <v>0</v>
      </c>
      <c r="S74" s="218">
        <f t="shared" ref="S74" si="607">S75+S76+S77</f>
        <v>0</v>
      </c>
      <c r="T74" s="184">
        <f t="shared" si="521"/>
        <v>0</v>
      </c>
      <c r="U74" s="218">
        <f t="shared" ref="U74" si="608">U75+U76+U77</f>
        <v>0</v>
      </c>
      <c r="V74" s="179">
        <f t="shared" si="20"/>
        <v>0</v>
      </c>
      <c r="W74" s="218">
        <f t="shared" ref="W74" si="609">W75+W76+W77</f>
        <v>0</v>
      </c>
      <c r="X74" s="184">
        <f t="shared" si="521"/>
        <v>0</v>
      </c>
      <c r="Y74" s="218">
        <f t="shared" ref="Y74" si="610">Y75+Y76+Y77</f>
        <v>0</v>
      </c>
      <c r="Z74" s="179">
        <f t="shared" si="21"/>
        <v>0</v>
      </c>
      <c r="AA74" s="218">
        <f t="shared" ref="AA74:AB74" si="611">AA75+AA76+AA77</f>
        <v>2264</v>
      </c>
      <c r="AB74" s="218">
        <f t="shared" si="611"/>
        <v>2264</v>
      </c>
      <c r="AC74" s="218">
        <f t="shared" ref="AC74" si="612">AC75+AC76+AC77</f>
        <v>2268</v>
      </c>
      <c r="AD74" s="179">
        <f t="shared" si="22"/>
        <v>100.17667844522968</v>
      </c>
      <c r="AE74" s="218">
        <f t="shared" ref="AE74:AF74" si="613">AE75+AE76+AE77</f>
        <v>27</v>
      </c>
      <c r="AF74" s="218">
        <f t="shared" si="613"/>
        <v>27</v>
      </c>
      <c r="AG74" s="218">
        <f t="shared" ref="AG74" si="614">AG75+AG76+AG77</f>
        <v>174</v>
      </c>
      <c r="AH74" s="179">
        <f t="shared" si="23"/>
        <v>644.44444444444446</v>
      </c>
      <c r="AI74" s="218">
        <f t="shared" ref="AI74" si="615">AI75+AI76+AI77</f>
        <v>0</v>
      </c>
      <c r="AJ74" s="184">
        <f t="shared" si="521"/>
        <v>0</v>
      </c>
      <c r="AK74" s="218">
        <f t="shared" ref="AK74" si="616">AK75+AK76+AK77</f>
        <v>0</v>
      </c>
      <c r="AL74" s="179">
        <f t="shared" si="24"/>
        <v>0</v>
      </c>
      <c r="AM74" s="218">
        <f t="shared" ref="AM74" si="617">AM75+AM76+AM77</f>
        <v>350</v>
      </c>
      <c r="AN74" s="184">
        <f t="shared" si="521"/>
        <v>350</v>
      </c>
      <c r="AO74" s="218">
        <f t="shared" ref="AO74" si="618">AO75+AO76+AO77</f>
        <v>381</v>
      </c>
      <c r="AP74" s="179">
        <f t="shared" si="25"/>
        <v>108.85714285714285</v>
      </c>
      <c r="AQ74" s="218">
        <f t="shared" ref="AQ74" si="619">AQ75+AQ76+AQ77</f>
        <v>0</v>
      </c>
      <c r="AR74" s="184">
        <f t="shared" si="521"/>
        <v>0</v>
      </c>
      <c r="AS74" s="218">
        <f t="shared" ref="AS74" si="620">AS75+AS76+AS77</f>
        <v>0</v>
      </c>
      <c r="AT74" s="179">
        <f t="shared" si="26"/>
        <v>0</v>
      </c>
      <c r="AU74" s="218">
        <f t="shared" ref="AU74:AV74" si="621">AU75+AU76+AU77</f>
        <v>4500</v>
      </c>
      <c r="AV74" s="218">
        <f t="shared" si="621"/>
        <v>4500</v>
      </c>
      <c r="AW74" s="218">
        <f t="shared" ref="AW74" si="622">AW75+AW76+AW77</f>
        <v>3013</v>
      </c>
      <c r="AX74" s="179">
        <f t="shared" si="27"/>
        <v>66.955555555555563</v>
      </c>
      <c r="AY74" s="218">
        <f t="shared" ref="AY74:AZ74" si="623">AY75+AY76+AY77</f>
        <v>303</v>
      </c>
      <c r="AZ74" s="218">
        <f t="shared" si="623"/>
        <v>303</v>
      </c>
      <c r="BA74" s="218">
        <f t="shared" ref="BA74" si="624">BA75+BA76+BA77</f>
        <v>306</v>
      </c>
      <c r="BB74" s="179">
        <f t="shared" si="28"/>
        <v>100.99009900990099</v>
      </c>
      <c r="BC74" s="218">
        <f t="shared" ref="BC74:BD74" si="625">BC75+BC76+BC77</f>
        <v>230</v>
      </c>
      <c r="BD74" s="218">
        <f t="shared" si="625"/>
        <v>230</v>
      </c>
      <c r="BE74" s="218">
        <f t="shared" ref="BE74" si="626">BE75+BE76+BE77</f>
        <v>196</v>
      </c>
      <c r="BF74" s="179">
        <f t="shared" si="29"/>
        <v>85.217391304347828</v>
      </c>
      <c r="BG74" s="218">
        <f t="shared" ref="BG74:BH74" si="627">BG75+BG76+BG77</f>
        <v>600</v>
      </c>
      <c r="BH74" s="218">
        <f t="shared" si="627"/>
        <v>600</v>
      </c>
      <c r="BI74" s="218">
        <f t="shared" ref="BI74" si="628">BI75+BI76+BI77</f>
        <v>348</v>
      </c>
      <c r="BJ74" s="179">
        <f t="shared" si="30"/>
        <v>57.999999999999993</v>
      </c>
      <c r="BK74" s="218">
        <f t="shared" ref="BK74" si="629">BK75+BK76+BK77</f>
        <v>0</v>
      </c>
      <c r="BL74" s="184">
        <f t="shared" si="521"/>
        <v>0</v>
      </c>
      <c r="BM74" s="218">
        <f t="shared" ref="BM74" si="630">BM75+BM76+BM77</f>
        <v>0</v>
      </c>
      <c r="BN74" s="179">
        <f t="shared" si="31"/>
        <v>0</v>
      </c>
      <c r="BO74" s="218">
        <f t="shared" ref="BO74" si="631">BO75+BO76+BO77</f>
        <v>0</v>
      </c>
      <c r="BP74" s="184">
        <f t="shared" si="521"/>
        <v>0</v>
      </c>
      <c r="BQ74" s="218">
        <f t="shared" ref="BQ74" si="632">BQ75+BQ76+BQ77</f>
        <v>0</v>
      </c>
      <c r="BR74" s="179">
        <f t="shared" si="32"/>
        <v>0</v>
      </c>
      <c r="BS74" s="218">
        <f t="shared" ref="BS74" si="633">BS75+BS76+BS77</f>
        <v>0</v>
      </c>
      <c r="BT74" s="184">
        <f t="shared" si="519"/>
        <v>0</v>
      </c>
      <c r="BU74" s="218">
        <f t="shared" ref="BU74" si="634">BU75+BU76+BU77</f>
        <v>0</v>
      </c>
      <c r="BV74" s="179">
        <f t="shared" si="33"/>
        <v>0</v>
      </c>
      <c r="BW74" s="218">
        <f t="shared" ref="BW74" si="635">BW75+BW76+BW77</f>
        <v>0</v>
      </c>
      <c r="BX74" s="184">
        <f t="shared" si="519"/>
        <v>0</v>
      </c>
      <c r="BY74" s="218">
        <f t="shared" ref="BY74" si="636">BY75+BY76+BY77</f>
        <v>0</v>
      </c>
      <c r="BZ74" s="179">
        <f t="shared" si="34"/>
        <v>0</v>
      </c>
      <c r="CA74" s="218">
        <f t="shared" ref="CA74" si="637">CA75+CA76+CA77</f>
        <v>0</v>
      </c>
      <c r="CB74" s="184">
        <f t="shared" si="519"/>
        <v>0</v>
      </c>
      <c r="CC74" s="218">
        <f t="shared" ref="CC74" si="638">CC75+CC76+CC77</f>
        <v>0</v>
      </c>
      <c r="CD74" s="179">
        <f t="shared" si="35"/>
        <v>0</v>
      </c>
      <c r="CE74" s="218">
        <f t="shared" ref="CE74" si="639">CE75+CE76+CE77</f>
        <v>0</v>
      </c>
      <c r="CF74" s="184">
        <f t="shared" si="519"/>
        <v>0</v>
      </c>
      <c r="CG74" s="218">
        <f t="shared" ref="CG74" si="640">CG75+CG76+CG77</f>
        <v>0</v>
      </c>
      <c r="CH74" s="179">
        <f t="shared" si="36"/>
        <v>0</v>
      </c>
      <c r="CI74" s="218">
        <f t="shared" ref="CI74" si="641">CI75+CI76+CI77</f>
        <v>0</v>
      </c>
      <c r="CJ74" s="184">
        <f t="shared" si="519"/>
        <v>0</v>
      </c>
      <c r="CK74" s="218">
        <f t="shared" ref="CK74" si="642">CK75+CK76+CK77</f>
        <v>0</v>
      </c>
      <c r="CL74" s="179">
        <f t="shared" si="37"/>
        <v>0</v>
      </c>
      <c r="CM74" s="218">
        <f t="shared" ref="CM74" si="643">CM75+CM76+CM77</f>
        <v>0</v>
      </c>
      <c r="CN74" s="184">
        <f t="shared" si="519"/>
        <v>0</v>
      </c>
      <c r="CO74" s="218">
        <f t="shared" ref="CO74" si="644">CO75+CO76+CO77</f>
        <v>0</v>
      </c>
      <c r="CP74" s="179">
        <f t="shared" si="38"/>
        <v>0</v>
      </c>
      <c r="CQ74" s="218">
        <f t="shared" ref="CQ74" si="645">CQ75+CQ76+CQ77</f>
        <v>0</v>
      </c>
      <c r="CR74" s="184">
        <f t="shared" si="519"/>
        <v>0</v>
      </c>
      <c r="CS74" s="218">
        <f t="shared" ref="CS74" si="646">CS75+CS76+CS77</f>
        <v>0</v>
      </c>
      <c r="CT74" s="179">
        <f t="shared" si="39"/>
        <v>0</v>
      </c>
      <c r="CU74" s="218">
        <f t="shared" ref="CU74" si="647">CU75+CU76+CU77</f>
        <v>0</v>
      </c>
      <c r="CV74" s="184">
        <f t="shared" si="519"/>
        <v>0</v>
      </c>
      <c r="CW74" s="218">
        <f t="shared" ref="CW74" si="648">CW75+CW76+CW77</f>
        <v>0</v>
      </c>
      <c r="CX74" s="179">
        <f t="shared" si="40"/>
        <v>0</v>
      </c>
      <c r="CY74" s="218">
        <f t="shared" ref="CY74" si="649">CY75+CY76+CY77</f>
        <v>0</v>
      </c>
      <c r="CZ74" s="184">
        <f t="shared" si="519"/>
        <v>0</v>
      </c>
      <c r="DA74" s="218">
        <f t="shared" ref="DA74" si="650">DA75+DA76+DA77</f>
        <v>0</v>
      </c>
      <c r="DB74" s="179">
        <f t="shared" si="41"/>
        <v>0</v>
      </c>
      <c r="DC74" s="218">
        <f t="shared" ref="DC74" si="651">DC75+DC76+DC77</f>
        <v>0</v>
      </c>
      <c r="DD74" s="184">
        <f t="shared" si="519"/>
        <v>0</v>
      </c>
      <c r="DE74" s="218">
        <f t="shared" ref="DE74" si="652">DE75+DE76+DE77</f>
        <v>0</v>
      </c>
      <c r="DF74" s="179">
        <f t="shared" si="42"/>
        <v>0</v>
      </c>
      <c r="DG74" s="218">
        <f t="shared" ref="DG74" si="653">DG75+DG76+DG77</f>
        <v>0</v>
      </c>
      <c r="DH74" s="184">
        <f t="shared" si="519"/>
        <v>0</v>
      </c>
      <c r="DI74" s="218">
        <f t="shared" ref="DI74" si="654">DI75+DI76+DI77</f>
        <v>0</v>
      </c>
      <c r="DJ74" s="179" t="e">
        <f t="shared" si="139"/>
        <v>#DIV/0!</v>
      </c>
      <c r="DK74" s="218">
        <f t="shared" ref="DK74:DL74" si="655">DK75+DK76+DK77</f>
        <v>1290</v>
      </c>
      <c r="DL74" s="218">
        <f t="shared" si="655"/>
        <v>1290</v>
      </c>
      <c r="DM74" s="218">
        <f t="shared" ref="DM74" si="656">DM75+DM76+DM77</f>
        <v>428</v>
      </c>
      <c r="DN74" s="179">
        <f t="shared" si="43"/>
        <v>33.178294573643413</v>
      </c>
      <c r="DO74" s="218">
        <f t="shared" ref="DO74:DP74" si="657">DO75+DO76+DO77</f>
        <v>2000</v>
      </c>
      <c r="DP74" s="218">
        <f t="shared" si="657"/>
        <v>2000</v>
      </c>
      <c r="DQ74" s="218">
        <f t="shared" ref="DQ74" si="658">DQ75+DQ76+DQ77</f>
        <v>1939</v>
      </c>
      <c r="DR74" s="179">
        <f t="shared" si="44"/>
        <v>96.95</v>
      </c>
      <c r="DS74" s="218">
        <f t="shared" ref="DS74" si="659">DS75+DS76+DS77</f>
        <v>0</v>
      </c>
      <c r="DT74" s="184">
        <f t="shared" si="519"/>
        <v>0</v>
      </c>
      <c r="DU74" s="218">
        <f t="shared" ref="DU74" si="660">DU75+DU76+DU77</f>
        <v>0</v>
      </c>
      <c r="DV74" s="179" t="e">
        <f t="shared" si="140"/>
        <v>#DIV/0!</v>
      </c>
      <c r="DW74" s="218">
        <f t="shared" ref="DW74" si="661">DW75+DW76+DW77</f>
        <v>0</v>
      </c>
      <c r="DX74" s="184">
        <f t="shared" si="522"/>
        <v>0</v>
      </c>
      <c r="DY74" s="218">
        <f t="shared" ref="DY74" si="662">DY75+DY76+DY77</f>
        <v>0</v>
      </c>
      <c r="DZ74" s="179" t="e">
        <f t="shared" si="142"/>
        <v>#DIV/0!</v>
      </c>
      <c r="EA74" s="218">
        <f t="shared" ref="EA74" si="663">EA75+EA76+EA77</f>
        <v>0</v>
      </c>
      <c r="EB74" s="184">
        <f t="shared" si="522"/>
        <v>0</v>
      </c>
      <c r="EC74" s="218">
        <f t="shared" ref="EC74" si="664">EC75+EC76+EC77</f>
        <v>0</v>
      </c>
      <c r="ED74" s="179">
        <f t="shared" si="45"/>
        <v>0</v>
      </c>
      <c r="EE74" s="218">
        <f t="shared" ref="EE74:EF74" si="665">EE75+EE76+EE77</f>
        <v>993</v>
      </c>
      <c r="EF74" s="218">
        <f t="shared" si="665"/>
        <v>993</v>
      </c>
      <c r="EG74" s="218">
        <f>EG75+EG76+EG77</f>
        <v>861</v>
      </c>
      <c r="EH74" s="179">
        <f t="shared" si="46"/>
        <v>86.70694864048339</v>
      </c>
      <c r="EI74" s="218">
        <f t="shared" ref="EI74" si="666">EI75+EI76+EI77</f>
        <v>0</v>
      </c>
      <c r="EJ74" s="184">
        <f t="shared" si="522"/>
        <v>0</v>
      </c>
      <c r="EK74" s="218">
        <f t="shared" ref="EK74" si="667">EK75+EK76+EK77</f>
        <v>0</v>
      </c>
      <c r="EL74" s="179">
        <f t="shared" si="47"/>
        <v>0</v>
      </c>
      <c r="EM74" s="218">
        <f t="shared" ref="EM74" si="668">EM75+EM76+EM77</f>
        <v>0</v>
      </c>
      <c r="EN74" s="184">
        <f t="shared" si="522"/>
        <v>0</v>
      </c>
      <c r="EO74" s="218">
        <f t="shared" ref="EO74" si="669">EO75+EO76+EO77</f>
        <v>0</v>
      </c>
      <c r="EP74" s="179">
        <f t="shared" si="48"/>
        <v>0</v>
      </c>
      <c r="EQ74" s="218">
        <f t="shared" ref="EQ74" si="670">EQ75+EQ76+EQ77</f>
        <v>0</v>
      </c>
      <c r="ER74" s="184">
        <f t="shared" si="522"/>
        <v>0</v>
      </c>
      <c r="ES74" s="218">
        <f t="shared" ref="ES74" si="671">ES75+ES76+ES77</f>
        <v>0</v>
      </c>
      <c r="ET74" s="179">
        <f t="shared" si="49"/>
        <v>0</v>
      </c>
      <c r="EU74" s="218">
        <f t="shared" ref="EU74" si="672">EU75+EU76+EU77</f>
        <v>0</v>
      </c>
      <c r="EV74" s="184">
        <f t="shared" si="522"/>
        <v>0</v>
      </c>
      <c r="EW74" s="218">
        <f t="shared" ref="EW74" si="673">EW75+EW76+EW77</f>
        <v>0</v>
      </c>
      <c r="EX74" s="179">
        <f t="shared" si="50"/>
        <v>0</v>
      </c>
      <c r="EY74" s="152">
        <f t="shared" si="51"/>
        <v>12557</v>
      </c>
      <c r="EZ74" s="152">
        <f t="shared" si="17"/>
        <v>12557</v>
      </c>
      <c r="FA74" s="152">
        <f t="shared" si="17"/>
        <v>9914</v>
      </c>
      <c r="FB74" s="152">
        <f t="shared" si="52"/>
        <v>78.951978975870034</v>
      </c>
    </row>
    <row r="75" spans="1:158" ht="31.5" x14ac:dyDescent="0.2">
      <c r="A75" s="185" t="s">
        <v>175</v>
      </c>
      <c r="B75" s="170" t="s">
        <v>339</v>
      </c>
      <c r="C75" s="96"/>
      <c r="D75" s="97">
        <f t="shared" si="520"/>
        <v>0</v>
      </c>
      <c r="E75" s="98"/>
      <c r="F75" s="99" t="e">
        <f t="shared" si="3"/>
        <v>#DIV/0!</v>
      </c>
      <c r="G75" s="214"/>
      <c r="H75" s="97">
        <f t="shared" si="521"/>
        <v>0</v>
      </c>
      <c r="I75" s="214"/>
      <c r="J75" s="99">
        <f t="shared" si="18"/>
        <v>0</v>
      </c>
      <c r="K75" s="214"/>
      <c r="L75" s="97">
        <f t="shared" si="521"/>
        <v>0</v>
      </c>
      <c r="M75" s="214"/>
      <c r="N75" s="99" t="e">
        <f t="shared" si="138"/>
        <v>#DIV/0!</v>
      </c>
      <c r="O75" s="214"/>
      <c r="P75" s="97">
        <f t="shared" si="521"/>
        <v>0</v>
      </c>
      <c r="Q75" s="214"/>
      <c r="R75" s="99">
        <f t="shared" si="19"/>
        <v>0</v>
      </c>
      <c r="S75" s="214"/>
      <c r="T75" s="97">
        <f t="shared" si="521"/>
        <v>0</v>
      </c>
      <c r="U75" s="214"/>
      <c r="V75" s="99">
        <f t="shared" si="20"/>
        <v>0</v>
      </c>
      <c r="W75" s="214"/>
      <c r="X75" s="97">
        <f t="shared" si="521"/>
        <v>0</v>
      </c>
      <c r="Y75" s="214"/>
      <c r="Z75" s="99">
        <f t="shared" si="21"/>
        <v>0</v>
      </c>
      <c r="AA75" s="214">
        <v>232</v>
      </c>
      <c r="AB75" s="97">
        <f t="shared" si="521"/>
        <v>232</v>
      </c>
      <c r="AC75" s="214">
        <v>606</v>
      </c>
      <c r="AD75" s="99">
        <f t="shared" si="22"/>
        <v>261.20689655172413</v>
      </c>
      <c r="AE75" s="214">
        <v>21</v>
      </c>
      <c r="AF75" s="97">
        <f t="shared" si="521"/>
        <v>21</v>
      </c>
      <c r="AG75" s="214">
        <v>23</v>
      </c>
      <c r="AH75" s="99">
        <f t="shared" si="23"/>
        <v>109.52380952380953</v>
      </c>
      <c r="AI75" s="214"/>
      <c r="AJ75" s="97">
        <f t="shared" si="521"/>
        <v>0</v>
      </c>
      <c r="AK75" s="214"/>
      <c r="AL75" s="99">
        <f t="shared" si="24"/>
        <v>0</v>
      </c>
      <c r="AM75" s="214">
        <v>50</v>
      </c>
      <c r="AN75" s="97">
        <f t="shared" si="521"/>
        <v>50</v>
      </c>
      <c r="AO75" s="214">
        <v>98</v>
      </c>
      <c r="AP75" s="99">
        <f t="shared" si="25"/>
        <v>196</v>
      </c>
      <c r="AQ75" s="214"/>
      <c r="AR75" s="97">
        <f t="shared" si="521"/>
        <v>0</v>
      </c>
      <c r="AS75" s="214"/>
      <c r="AT75" s="99">
        <f t="shared" si="26"/>
        <v>0</v>
      </c>
      <c r="AU75" s="214">
        <v>1500</v>
      </c>
      <c r="AV75" s="97">
        <f t="shared" si="521"/>
        <v>1500</v>
      </c>
      <c r="AW75" s="214">
        <v>863</v>
      </c>
      <c r="AX75" s="99">
        <f t="shared" si="27"/>
        <v>57.533333333333339</v>
      </c>
      <c r="AY75" s="214">
        <v>109</v>
      </c>
      <c r="AZ75" s="97">
        <f t="shared" si="521"/>
        <v>109</v>
      </c>
      <c r="BA75" s="214">
        <v>109</v>
      </c>
      <c r="BB75" s="99">
        <f t="shared" si="28"/>
        <v>100</v>
      </c>
      <c r="BC75" s="214">
        <v>100</v>
      </c>
      <c r="BD75" s="97">
        <f t="shared" si="521"/>
        <v>100</v>
      </c>
      <c r="BE75" s="214">
        <v>3</v>
      </c>
      <c r="BF75" s="99">
        <f t="shared" si="29"/>
        <v>3</v>
      </c>
      <c r="BG75" s="214"/>
      <c r="BH75" s="97">
        <f t="shared" si="521"/>
        <v>0</v>
      </c>
      <c r="BI75" s="214">
        <v>42</v>
      </c>
      <c r="BJ75" s="99">
        <f t="shared" si="30"/>
        <v>0</v>
      </c>
      <c r="BK75" s="214"/>
      <c r="BL75" s="97">
        <f t="shared" si="521"/>
        <v>0</v>
      </c>
      <c r="BM75" s="214"/>
      <c r="BN75" s="99">
        <f t="shared" si="31"/>
        <v>0</v>
      </c>
      <c r="BO75" s="214"/>
      <c r="BP75" s="97">
        <f t="shared" si="521"/>
        <v>0</v>
      </c>
      <c r="BQ75" s="214"/>
      <c r="BR75" s="99">
        <f t="shared" si="32"/>
        <v>0</v>
      </c>
      <c r="BS75" s="214"/>
      <c r="BT75" s="97">
        <f t="shared" si="519"/>
        <v>0</v>
      </c>
      <c r="BU75" s="214"/>
      <c r="BV75" s="99">
        <f t="shared" si="33"/>
        <v>0</v>
      </c>
      <c r="BW75" s="214"/>
      <c r="BX75" s="97">
        <f t="shared" si="519"/>
        <v>0</v>
      </c>
      <c r="BY75" s="214"/>
      <c r="BZ75" s="99">
        <f t="shared" si="34"/>
        <v>0</v>
      </c>
      <c r="CA75" s="214"/>
      <c r="CB75" s="97">
        <f t="shared" si="519"/>
        <v>0</v>
      </c>
      <c r="CC75" s="214"/>
      <c r="CD75" s="99">
        <f t="shared" si="35"/>
        <v>0</v>
      </c>
      <c r="CE75" s="214"/>
      <c r="CF75" s="97">
        <f t="shared" si="519"/>
        <v>0</v>
      </c>
      <c r="CG75" s="214"/>
      <c r="CH75" s="99">
        <f t="shared" si="36"/>
        <v>0</v>
      </c>
      <c r="CI75" s="214"/>
      <c r="CJ75" s="97">
        <f t="shared" si="519"/>
        <v>0</v>
      </c>
      <c r="CK75" s="214"/>
      <c r="CL75" s="99">
        <f t="shared" si="37"/>
        <v>0</v>
      </c>
      <c r="CM75" s="214"/>
      <c r="CN75" s="97">
        <f t="shared" si="519"/>
        <v>0</v>
      </c>
      <c r="CO75" s="214"/>
      <c r="CP75" s="99">
        <f t="shared" si="38"/>
        <v>0</v>
      </c>
      <c r="CQ75" s="214"/>
      <c r="CR75" s="97">
        <f t="shared" si="519"/>
        <v>0</v>
      </c>
      <c r="CS75" s="214"/>
      <c r="CT75" s="99">
        <f t="shared" si="39"/>
        <v>0</v>
      </c>
      <c r="CU75" s="214"/>
      <c r="CV75" s="97">
        <f t="shared" si="519"/>
        <v>0</v>
      </c>
      <c r="CW75" s="214"/>
      <c r="CX75" s="99">
        <f t="shared" si="40"/>
        <v>0</v>
      </c>
      <c r="CY75" s="214"/>
      <c r="CZ75" s="97">
        <f t="shared" si="519"/>
        <v>0</v>
      </c>
      <c r="DA75" s="214"/>
      <c r="DB75" s="99">
        <f t="shared" si="41"/>
        <v>0</v>
      </c>
      <c r="DC75" s="214"/>
      <c r="DD75" s="97">
        <f t="shared" si="519"/>
        <v>0</v>
      </c>
      <c r="DE75" s="214"/>
      <c r="DF75" s="99">
        <f t="shared" si="42"/>
        <v>0</v>
      </c>
      <c r="DG75" s="214"/>
      <c r="DH75" s="97">
        <f t="shared" si="519"/>
        <v>0</v>
      </c>
      <c r="DI75" s="214"/>
      <c r="DJ75" s="99" t="e">
        <f t="shared" si="139"/>
        <v>#DIV/0!</v>
      </c>
      <c r="DK75" s="214">
        <v>268</v>
      </c>
      <c r="DL75" s="97">
        <f t="shared" si="519"/>
        <v>268</v>
      </c>
      <c r="DM75" s="214">
        <v>0</v>
      </c>
      <c r="DN75" s="99">
        <f t="shared" si="43"/>
        <v>0</v>
      </c>
      <c r="DO75" s="214">
        <v>1136</v>
      </c>
      <c r="DP75" s="97">
        <f t="shared" si="519"/>
        <v>1136</v>
      </c>
      <c r="DQ75" s="214">
        <v>1136</v>
      </c>
      <c r="DR75" s="99">
        <f t="shared" si="44"/>
        <v>100</v>
      </c>
      <c r="DS75" s="214"/>
      <c r="DT75" s="97">
        <f t="shared" si="519"/>
        <v>0</v>
      </c>
      <c r="DU75" s="214"/>
      <c r="DV75" s="99" t="e">
        <f t="shared" si="140"/>
        <v>#DIV/0!</v>
      </c>
      <c r="DW75" s="214"/>
      <c r="DX75" s="97">
        <f t="shared" si="522"/>
        <v>0</v>
      </c>
      <c r="DY75" s="214"/>
      <c r="DZ75" s="99" t="e">
        <f t="shared" si="142"/>
        <v>#DIV/0!</v>
      </c>
      <c r="EA75" s="214"/>
      <c r="EB75" s="97">
        <f t="shared" si="522"/>
        <v>0</v>
      </c>
      <c r="EC75" s="214"/>
      <c r="ED75" s="99">
        <f t="shared" si="45"/>
        <v>0</v>
      </c>
      <c r="EE75" s="214">
        <v>250</v>
      </c>
      <c r="EF75" s="97">
        <f t="shared" si="522"/>
        <v>250</v>
      </c>
      <c r="EG75" s="214">
        <v>618</v>
      </c>
      <c r="EH75" s="99">
        <f>IF(EF75=0,0,EG75/EF75*100)</f>
        <v>247.2</v>
      </c>
      <c r="EI75" s="214"/>
      <c r="EJ75" s="97">
        <f t="shared" si="522"/>
        <v>0</v>
      </c>
      <c r="EK75" s="214"/>
      <c r="EL75" s="99">
        <f t="shared" si="47"/>
        <v>0</v>
      </c>
      <c r="EM75" s="214"/>
      <c r="EN75" s="97">
        <f t="shared" si="522"/>
        <v>0</v>
      </c>
      <c r="EO75" s="214"/>
      <c r="EP75" s="99">
        <f t="shared" si="48"/>
        <v>0</v>
      </c>
      <c r="EQ75" s="214"/>
      <c r="ER75" s="97">
        <f t="shared" si="522"/>
        <v>0</v>
      </c>
      <c r="ES75" s="214"/>
      <c r="ET75" s="99">
        <f t="shared" si="49"/>
        <v>0</v>
      </c>
      <c r="EU75" s="214"/>
      <c r="EV75" s="97">
        <f t="shared" si="522"/>
        <v>0</v>
      </c>
      <c r="EW75" s="214"/>
      <c r="EX75" s="99">
        <f t="shared" si="50"/>
        <v>0</v>
      </c>
      <c r="EY75" s="152">
        <f t="shared" si="51"/>
        <v>3666</v>
      </c>
      <c r="EZ75" s="152">
        <f t="shared" si="17"/>
        <v>3666</v>
      </c>
      <c r="FA75" s="152">
        <f>SUM(ES75,EO75,EK75,EG75,EC75,DY75,DU75,DQ75,DM75,DI75,DE75,DA75,CW75,CS75,CO75,CK75,CG75,CC75,BY75,BU75,BQ75,BM75,BI75,BE75,BA75,AW75,AS75,AO75,AK75,AG75,AC75,Y75,U75,Q75,M75,I75,E75)+EW75</f>
        <v>3498</v>
      </c>
      <c r="FB75" s="152">
        <f t="shared" si="52"/>
        <v>95.417348608837969</v>
      </c>
    </row>
    <row r="76" spans="1:158" ht="47.25" x14ac:dyDescent="0.2">
      <c r="A76" s="185" t="s">
        <v>176</v>
      </c>
      <c r="B76" s="170" t="s">
        <v>339</v>
      </c>
      <c r="C76" s="96"/>
      <c r="D76" s="97">
        <f t="shared" si="520"/>
        <v>0</v>
      </c>
      <c r="E76" s="98"/>
      <c r="F76" s="99" t="e">
        <f t="shared" si="3"/>
        <v>#DIV/0!</v>
      </c>
      <c r="G76" s="214"/>
      <c r="H76" s="97">
        <f t="shared" si="521"/>
        <v>0</v>
      </c>
      <c r="I76" s="214"/>
      <c r="J76" s="99">
        <f t="shared" si="18"/>
        <v>0</v>
      </c>
      <c r="K76" s="214"/>
      <c r="L76" s="97">
        <f t="shared" si="521"/>
        <v>0</v>
      </c>
      <c r="M76" s="214"/>
      <c r="N76" s="99" t="e">
        <f t="shared" si="138"/>
        <v>#DIV/0!</v>
      </c>
      <c r="O76" s="214"/>
      <c r="P76" s="97">
        <f t="shared" si="521"/>
        <v>0</v>
      </c>
      <c r="Q76" s="214"/>
      <c r="R76" s="99">
        <f t="shared" si="19"/>
        <v>0</v>
      </c>
      <c r="S76" s="214"/>
      <c r="T76" s="97">
        <f t="shared" si="521"/>
        <v>0</v>
      </c>
      <c r="U76" s="214"/>
      <c r="V76" s="99">
        <f t="shared" si="20"/>
        <v>0</v>
      </c>
      <c r="W76" s="214"/>
      <c r="X76" s="97">
        <f t="shared" si="521"/>
        <v>0</v>
      </c>
      <c r="Y76" s="214"/>
      <c r="Z76" s="99">
        <f t="shared" si="21"/>
        <v>0</v>
      </c>
      <c r="AA76" s="214">
        <v>1149</v>
      </c>
      <c r="AB76" s="97">
        <f t="shared" si="521"/>
        <v>1149</v>
      </c>
      <c r="AC76" s="214">
        <v>1584</v>
      </c>
      <c r="AD76" s="99">
        <f t="shared" si="22"/>
        <v>137.85900783289819</v>
      </c>
      <c r="AE76" s="214">
        <v>0</v>
      </c>
      <c r="AF76" s="97">
        <f t="shared" si="521"/>
        <v>0</v>
      </c>
      <c r="AG76" s="214">
        <v>151</v>
      </c>
      <c r="AH76" s="99">
        <f t="shared" si="23"/>
        <v>0</v>
      </c>
      <c r="AI76" s="214"/>
      <c r="AJ76" s="97">
        <f t="shared" si="521"/>
        <v>0</v>
      </c>
      <c r="AK76" s="214"/>
      <c r="AL76" s="99">
        <f t="shared" si="24"/>
        <v>0</v>
      </c>
      <c r="AM76" s="214">
        <v>300</v>
      </c>
      <c r="AN76" s="97">
        <f t="shared" si="521"/>
        <v>300</v>
      </c>
      <c r="AO76" s="214">
        <v>283</v>
      </c>
      <c r="AP76" s="99">
        <f t="shared" si="25"/>
        <v>94.333333333333343</v>
      </c>
      <c r="AQ76" s="214"/>
      <c r="AR76" s="97">
        <f t="shared" si="521"/>
        <v>0</v>
      </c>
      <c r="AS76" s="214"/>
      <c r="AT76" s="99">
        <f t="shared" si="26"/>
        <v>0</v>
      </c>
      <c r="AU76" s="214">
        <v>3000</v>
      </c>
      <c r="AV76" s="97">
        <f t="shared" si="521"/>
        <v>3000</v>
      </c>
      <c r="AW76" s="214">
        <v>2150</v>
      </c>
      <c r="AX76" s="99">
        <f t="shared" si="27"/>
        <v>71.666666666666671</v>
      </c>
      <c r="AY76" s="214">
        <v>194</v>
      </c>
      <c r="AZ76" s="97">
        <f t="shared" si="521"/>
        <v>194</v>
      </c>
      <c r="BA76" s="214">
        <v>197</v>
      </c>
      <c r="BB76" s="99">
        <f t="shared" si="28"/>
        <v>101.54639175257731</v>
      </c>
      <c r="BC76" s="214">
        <v>110</v>
      </c>
      <c r="BD76" s="97">
        <f t="shared" si="521"/>
        <v>110</v>
      </c>
      <c r="BE76" s="214">
        <v>193</v>
      </c>
      <c r="BF76" s="99">
        <f t="shared" si="29"/>
        <v>175.45454545454547</v>
      </c>
      <c r="BG76" s="214">
        <v>600</v>
      </c>
      <c r="BH76" s="97">
        <f t="shared" si="521"/>
        <v>600</v>
      </c>
      <c r="BI76" s="214">
        <v>306</v>
      </c>
      <c r="BJ76" s="99">
        <f t="shared" si="30"/>
        <v>51</v>
      </c>
      <c r="BK76" s="214"/>
      <c r="BL76" s="97">
        <f t="shared" si="521"/>
        <v>0</v>
      </c>
      <c r="BM76" s="214"/>
      <c r="BN76" s="99">
        <f t="shared" si="31"/>
        <v>0</v>
      </c>
      <c r="BO76" s="214"/>
      <c r="BP76" s="97">
        <f t="shared" si="521"/>
        <v>0</v>
      </c>
      <c r="BQ76" s="214"/>
      <c r="BR76" s="99">
        <f t="shared" si="32"/>
        <v>0</v>
      </c>
      <c r="BS76" s="214"/>
      <c r="BT76" s="97">
        <f t="shared" si="519"/>
        <v>0</v>
      </c>
      <c r="BU76" s="214"/>
      <c r="BV76" s="99">
        <f t="shared" si="33"/>
        <v>0</v>
      </c>
      <c r="BW76" s="214"/>
      <c r="BX76" s="97">
        <f t="shared" si="519"/>
        <v>0</v>
      </c>
      <c r="BY76" s="214"/>
      <c r="BZ76" s="99">
        <f t="shared" si="34"/>
        <v>0</v>
      </c>
      <c r="CA76" s="214"/>
      <c r="CB76" s="97">
        <f t="shared" si="519"/>
        <v>0</v>
      </c>
      <c r="CC76" s="214"/>
      <c r="CD76" s="99">
        <f t="shared" si="35"/>
        <v>0</v>
      </c>
      <c r="CE76" s="214"/>
      <c r="CF76" s="97">
        <f t="shared" si="519"/>
        <v>0</v>
      </c>
      <c r="CG76" s="214"/>
      <c r="CH76" s="99">
        <f t="shared" si="36"/>
        <v>0</v>
      </c>
      <c r="CI76" s="214"/>
      <c r="CJ76" s="97">
        <f t="shared" si="519"/>
        <v>0</v>
      </c>
      <c r="CK76" s="214"/>
      <c r="CL76" s="99">
        <f t="shared" si="37"/>
        <v>0</v>
      </c>
      <c r="CM76" s="214"/>
      <c r="CN76" s="97">
        <f t="shared" si="519"/>
        <v>0</v>
      </c>
      <c r="CO76" s="214"/>
      <c r="CP76" s="99">
        <f t="shared" si="38"/>
        <v>0</v>
      </c>
      <c r="CQ76" s="214"/>
      <c r="CR76" s="97">
        <f t="shared" si="519"/>
        <v>0</v>
      </c>
      <c r="CS76" s="214"/>
      <c r="CT76" s="99">
        <f t="shared" si="39"/>
        <v>0</v>
      </c>
      <c r="CU76" s="214"/>
      <c r="CV76" s="97">
        <f t="shared" si="519"/>
        <v>0</v>
      </c>
      <c r="CW76" s="214"/>
      <c r="CX76" s="99">
        <f t="shared" si="40"/>
        <v>0</v>
      </c>
      <c r="CY76" s="214"/>
      <c r="CZ76" s="97">
        <f t="shared" si="519"/>
        <v>0</v>
      </c>
      <c r="DA76" s="214"/>
      <c r="DB76" s="99">
        <f t="shared" si="41"/>
        <v>0</v>
      </c>
      <c r="DC76" s="214"/>
      <c r="DD76" s="97">
        <f t="shared" si="519"/>
        <v>0</v>
      </c>
      <c r="DE76" s="214"/>
      <c r="DF76" s="99">
        <f t="shared" si="42"/>
        <v>0</v>
      </c>
      <c r="DG76" s="214"/>
      <c r="DH76" s="97">
        <f t="shared" si="519"/>
        <v>0</v>
      </c>
      <c r="DI76" s="214"/>
      <c r="DJ76" s="99" t="e">
        <f t="shared" si="139"/>
        <v>#DIV/0!</v>
      </c>
      <c r="DK76" s="214">
        <v>1022</v>
      </c>
      <c r="DL76" s="97">
        <f t="shared" si="519"/>
        <v>1022</v>
      </c>
      <c r="DM76" s="214">
        <v>428</v>
      </c>
      <c r="DN76" s="99">
        <f t="shared" si="43"/>
        <v>41.878669275929546</v>
      </c>
      <c r="DO76" s="214">
        <v>864</v>
      </c>
      <c r="DP76" s="97">
        <f t="shared" si="519"/>
        <v>864</v>
      </c>
      <c r="DQ76" s="214">
        <v>803</v>
      </c>
      <c r="DR76" s="99">
        <f t="shared" si="44"/>
        <v>92.93981481481481</v>
      </c>
      <c r="DS76" s="214"/>
      <c r="DT76" s="97">
        <f t="shared" si="519"/>
        <v>0</v>
      </c>
      <c r="DU76" s="214"/>
      <c r="DV76" s="99" t="e">
        <f t="shared" si="140"/>
        <v>#DIV/0!</v>
      </c>
      <c r="DW76" s="214"/>
      <c r="DX76" s="97">
        <f t="shared" si="522"/>
        <v>0</v>
      </c>
      <c r="DY76" s="214"/>
      <c r="DZ76" s="99" t="e">
        <f t="shared" si="142"/>
        <v>#DIV/0!</v>
      </c>
      <c r="EA76" s="214"/>
      <c r="EB76" s="97">
        <f t="shared" si="522"/>
        <v>0</v>
      </c>
      <c r="EC76" s="214"/>
      <c r="ED76" s="99">
        <f t="shared" si="45"/>
        <v>0</v>
      </c>
      <c r="EE76" s="214">
        <v>658</v>
      </c>
      <c r="EF76" s="97">
        <f t="shared" si="522"/>
        <v>658</v>
      </c>
      <c r="EG76" s="214">
        <v>236</v>
      </c>
      <c r="EH76" s="99">
        <f>IF(EF76=0,0,EG76/EF76*100)</f>
        <v>35.866261398176292</v>
      </c>
      <c r="EI76" s="214"/>
      <c r="EJ76" s="97">
        <f t="shared" si="522"/>
        <v>0</v>
      </c>
      <c r="EK76" s="214"/>
      <c r="EL76" s="99">
        <f t="shared" si="47"/>
        <v>0</v>
      </c>
      <c r="EM76" s="214"/>
      <c r="EN76" s="97">
        <f t="shared" si="522"/>
        <v>0</v>
      </c>
      <c r="EO76" s="214"/>
      <c r="EP76" s="99">
        <f t="shared" si="48"/>
        <v>0</v>
      </c>
      <c r="EQ76" s="214"/>
      <c r="ER76" s="97">
        <f t="shared" si="522"/>
        <v>0</v>
      </c>
      <c r="ES76" s="214"/>
      <c r="ET76" s="99">
        <f t="shared" si="49"/>
        <v>0</v>
      </c>
      <c r="EU76" s="214"/>
      <c r="EV76" s="97">
        <f t="shared" si="522"/>
        <v>0</v>
      </c>
      <c r="EW76" s="214"/>
      <c r="EX76" s="99">
        <f t="shared" si="50"/>
        <v>0</v>
      </c>
      <c r="EY76" s="152">
        <f t="shared" si="51"/>
        <v>7897</v>
      </c>
      <c r="EZ76" s="152">
        <f t="shared" si="17"/>
        <v>7897</v>
      </c>
      <c r="FA76" s="152">
        <f>SUM(ES76,EO76,EK76,EG76,EC76,DY76,DU76,DQ76,DM76,DI76,DE76,DA76,CW76,CS76,CO76,CK76,CG76,CC76,BY76,BU76,BQ76,BM76,BI76,BE76,BA76,AW76,AS76,AO76,AK76,AG76,AC76,Y76,U76,Q76,M76,I76,E76)+EW76</f>
        <v>6331</v>
      </c>
      <c r="FB76" s="152">
        <f t="shared" si="52"/>
        <v>80.169684690388749</v>
      </c>
    </row>
    <row r="77" spans="1:158" ht="94.5" x14ac:dyDescent="0.2">
      <c r="A77" s="185" t="s">
        <v>177</v>
      </c>
      <c r="B77" s="170" t="s">
        <v>339</v>
      </c>
      <c r="C77" s="96"/>
      <c r="D77" s="97">
        <f t="shared" si="520"/>
        <v>0</v>
      </c>
      <c r="E77" s="98"/>
      <c r="F77" s="99" t="e">
        <f t="shared" si="3"/>
        <v>#DIV/0!</v>
      </c>
      <c r="G77" s="214"/>
      <c r="H77" s="97">
        <f t="shared" si="521"/>
        <v>0</v>
      </c>
      <c r="I77" s="214"/>
      <c r="J77" s="99">
        <f t="shared" si="18"/>
        <v>0</v>
      </c>
      <c r="K77" s="214"/>
      <c r="L77" s="97">
        <f t="shared" si="521"/>
        <v>0</v>
      </c>
      <c r="M77" s="214"/>
      <c r="N77" s="99" t="e">
        <f t="shared" si="138"/>
        <v>#DIV/0!</v>
      </c>
      <c r="O77" s="214"/>
      <c r="P77" s="97">
        <f t="shared" si="521"/>
        <v>0</v>
      </c>
      <c r="Q77" s="214"/>
      <c r="R77" s="99">
        <f t="shared" si="19"/>
        <v>0</v>
      </c>
      <c r="S77" s="214"/>
      <c r="T77" s="97">
        <f t="shared" si="521"/>
        <v>0</v>
      </c>
      <c r="U77" s="214"/>
      <c r="V77" s="99">
        <f t="shared" si="20"/>
        <v>0</v>
      </c>
      <c r="W77" s="214"/>
      <c r="X77" s="97">
        <f t="shared" si="521"/>
        <v>0</v>
      </c>
      <c r="Y77" s="214"/>
      <c r="Z77" s="99">
        <f t="shared" si="21"/>
        <v>0</v>
      </c>
      <c r="AA77" s="214">
        <v>883</v>
      </c>
      <c r="AB77" s="97">
        <f t="shared" si="521"/>
        <v>883</v>
      </c>
      <c r="AC77" s="214">
        <v>78</v>
      </c>
      <c r="AD77" s="99">
        <f t="shared" si="22"/>
        <v>8.8335220838052084</v>
      </c>
      <c r="AE77" s="214">
        <v>6</v>
      </c>
      <c r="AF77" s="97">
        <f t="shared" si="521"/>
        <v>6</v>
      </c>
      <c r="AG77" s="214">
        <v>0</v>
      </c>
      <c r="AH77" s="99">
        <f t="shared" si="23"/>
        <v>0</v>
      </c>
      <c r="AI77" s="214"/>
      <c r="AJ77" s="97">
        <f t="shared" si="521"/>
        <v>0</v>
      </c>
      <c r="AK77" s="214"/>
      <c r="AL77" s="99">
        <f t="shared" si="24"/>
        <v>0</v>
      </c>
      <c r="AM77" s="214"/>
      <c r="AN77" s="97">
        <f t="shared" si="521"/>
        <v>0</v>
      </c>
      <c r="AO77" s="214">
        <v>0</v>
      </c>
      <c r="AP77" s="99">
        <f t="shared" si="25"/>
        <v>0</v>
      </c>
      <c r="AQ77" s="214"/>
      <c r="AR77" s="97">
        <f t="shared" si="521"/>
        <v>0</v>
      </c>
      <c r="AS77" s="214"/>
      <c r="AT77" s="99">
        <f t="shared" si="26"/>
        <v>0</v>
      </c>
      <c r="AU77" s="214"/>
      <c r="AV77" s="97">
        <f t="shared" si="521"/>
        <v>0</v>
      </c>
      <c r="AW77" s="214">
        <v>0</v>
      </c>
      <c r="AX77" s="99">
        <f t="shared" si="27"/>
        <v>0</v>
      </c>
      <c r="AY77" s="214"/>
      <c r="AZ77" s="97">
        <f t="shared" si="521"/>
        <v>0</v>
      </c>
      <c r="BA77" s="214">
        <v>0</v>
      </c>
      <c r="BB77" s="99">
        <f t="shared" si="28"/>
        <v>0</v>
      </c>
      <c r="BC77" s="214">
        <v>20</v>
      </c>
      <c r="BD77" s="97">
        <f t="shared" si="521"/>
        <v>20</v>
      </c>
      <c r="BE77" s="214">
        <v>0</v>
      </c>
      <c r="BF77" s="99">
        <f t="shared" si="29"/>
        <v>0</v>
      </c>
      <c r="BG77" s="214"/>
      <c r="BH77" s="97">
        <f t="shared" si="521"/>
        <v>0</v>
      </c>
      <c r="BI77" s="214">
        <v>0</v>
      </c>
      <c r="BJ77" s="99">
        <f t="shared" si="30"/>
        <v>0</v>
      </c>
      <c r="BK77" s="214"/>
      <c r="BL77" s="97">
        <f t="shared" si="521"/>
        <v>0</v>
      </c>
      <c r="BM77" s="214"/>
      <c r="BN77" s="99">
        <f t="shared" si="31"/>
        <v>0</v>
      </c>
      <c r="BO77" s="214"/>
      <c r="BP77" s="97">
        <f t="shared" ref="BP77:DT88" si="674">ROUND(BO77/12*$A$7,0)</f>
        <v>0</v>
      </c>
      <c r="BQ77" s="214"/>
      <c r="BR77" s="99">
        <f t="shared" si="32"/>
        <v>0</v>
      </c>
      <c r="BS77" s="214"/>
      <c r="BT77" s="97">
        <f t="shared" si="674"/>
        <v>0</v>
      </c>
      <c r="BU77" s="214"/>
      <c r="BV77" s="99">
        <f t="shared" si="33"/>
        <v>0</v>
      </c>
      <c r="BW77" s="214"/>
      <c r="BX77" s="97">
        <f t="shared" si="674"/>
        <v>0</v>
      </c>
      <c r="BY77" s="214"/>
      <c r="BZ77" s="99">
        <f t="shared" si="34"/>
        <v>0</v>
      </c>
      <c r="CA77" s="214"/>
      <c r="CB77" s="97">
        <f t="shared" si="674"/>
        <v>0</v>
      </c>
      <c r="CC77" s="214"/>
      <c r="CD77" s="99">
        <f t="shared" si="35"/>
        <v>0</v>
      </c>
      <c r="CE77" s="214"/>
      <c r="CF77" s="97">
        <f t="shared" si="674"/>
        <v>0</v>
      </c>
      <c r="CG77" s="214"/>
      <c r="CH77" s="99">
        <f t="shared" si="36"/>
        <v>0</v>
      </c>
      <c r="CI77" s="214"/>
      <c r="CJ77" s="97">
        <f t="shared" si="674"/>
        <v>0</v>
      </c>
      <c r="CK77" s="214"/>
      <c r="CL77" s="99">
        <f t="shared" si="37"/>
        <v>0</v>
      </c>
      <c r="CM77" s="214"/>
      <c r="CN77" s="97">
        <f t="shared" si="674"/>
        <v>0</v>
      </c>
      <c r="CO77" s="214"/>
      <c r="CP77" s="99">
        <f t="shared" si="38"/>
        <v>0</v>
      </c>
      <c r="CQ77" s="214"/>
      <c r="CR77" s="97">
        <f t="shared" si="674"/>
        <v>0</v>
      </c>
      <c r="CS77" s="214"/>
      <c r="CT77" s="99">
        <f t="shared" si="39"/>
        <v>0</v>
      </c>
      <c r="CU77" s="214"/>
      <c r="CV77" s="97">
        <f t="shared" si="674"/>
        <v>0</v>
      </c>
      <c r="CW77" s="214"/>
      <c r="CX77" s="99">
        <f t="shared" si="40"/>
        <v>0</v>
      </c>
      <c r="CY77" s="214"/>
      <c r="CZ77" s="97">
        <f t="shared" si="674"/>
        <v>0</v>
      </c>
      <c r="DA77" s="214"/>
      <c r="DB77" s="99">
        <f t="shared" si="41"/>
        <v>0</v>
      </c>
      <c r="DC77" s="214"/>
      <c r="DD77" s="97">
        <f t="shared" si="674"/>
        <v>0</v>
      </c>
      <c r="DE77" s="214"/>
      <c r="DF77" s="99">
        <f t="shared" si="42"/>
        <v>0</v>
      </c>
      <c r="DG77" s="214"/>
      <c r="DH77" s="97">
        <f t="shared" si="674"/>
        <v>0</v>
      </c>
      <c r="DI77" s="214"/>
      <c r="DJ77" s="99" t="e">
        <f t="shared" si="139"/>
        <v>#DIV/0!</v>
      </c>
      <c r="DK77" s="214"/>
      <c r="DL77" s="97">
        <f t="shared" si="674"/>
        <v>0</v>
      </c>
      <c r="DM77" s="214">
        <v>0</v>
      </c>
      <c r="DN77" s="99">
        <f t="shared" si="43"/>
        <v>0</v>
      </c>
      <c r="DO77" s="214">
        <v>0</v>
      </c>
      <c r="DP77" s="97">
        <f t="shared" si="674"/>
        <v>0</v>
      </c>
      <c r="DQ77" s="214">
        <v>0</v>
      </c>
      <c r="DR77" s="99">
        <f t="shared" si="44"/>
        <v>0</v>
      </c>
      <c r="DS77" s="214"/>
      <c r="DT77" s="97">
        <f t="shared" si="674"/>
        <v>0</v>
      </c>
      <c r="DU77" s="214"/>
      <c r="DV77" s="99" t="e">
        <f t="shared" si="140"/>
        <v>#DIV/0!</v>
      </c>
      <c r="DW77" s="214"/>
      <c r="DX77" s="97">
        <f t="shared" si="522"/>
        <v>0</v>
      </c>
      <c r="DY77" s="214"/>
      <c r="DZ77" s="99" t="e">
        <f t="shared" si="142"/>
        <v>#DIV/0!</v>
      </c>
      <c r="EA77" s="214"/>
      <c r="EB77" s="97">
        <f t="shared" si="522"/>
        <v>0</v>
      </c>
      <c r="EC77" s="214"/>
      <c r="ED77" s="99">
        <f t="shared" si="45"/>
        <v>0</v>
      </c>
      <c r="EE77" s="214">
        <v>85</v>
      </c>
      <c r="EF77" s="97">
        <f t="shared" si="522"/>
        <v>85</v>
      </c>
      <c r="EG77" s="214">
        <v>7</v>
      </c>
      <c r="EH77" s="99">
        <f>IF(EF77=0,0,EG77/EF77*100)</f>
        <v>8.235294117647058</v>
      </c>
      <c r="EI77" s="214"/>
      <c r="EJ77" s="97">
        <f t="shared" si="522"/>
        <v>0</v>
      </c>
      <c r="EK77" s="214"/>
      <c r="EL77" s="99">
        <f t="shared" si="47"/>
        <v>0</v>
      </c>
      <c r="EM77" s="214"/>
      <c r="EN77" s="97">
        <f t="shared" si="522"/>
        <v>0</v>
      </c>
      <c r="EO77" s="214"/>
      <c r="EP77" s="99">
        <f t="shared" si="48"/>
        <v>0</v>
      </c>
      <c r="EQ77" s="214"/>
      <c r="ER77" s="97">
        <f t="shared" si="522"/>
        <v>0</v>
      </c>
      <c r="ES77" s="214"/>
      <c r="ET77" s="99">
        <f t="shared" si="49"/>
        <v>0</v>
      </c>
      <c r="EU77" s="214"/>
      <c r="EV77" s="97">
        <f t="shared" si="522"/>
        <v>0</v>
      </c>
      <c r="EW77" s="214"/>
      <c r="EX77" s="99">
        <f t="shared" si="50"/>
        <v>0</v>
      </c>
      <c r="EY77" s="152">
        <f t="shared" si="51"/>
        <v>994</v>
      </c>
      <c r="EZ77" s="152">
        <f t="shared" si="17"/>
        <v>994</v>
      </c>
      <c r="FA77" s="152">
        <f>SUM(ES77,EO77,EK77,EG77,EC77,DY77,DU77,DQ77,DM77,DI77,DE77,DA77,CW77,CS77,CO77,CK77,CG77,CC77,BY77,BU77,BQ77,BM77,BI77,BE77,BA77,AW77,AS77,AO77,AK77,AG77,AC77,Y77,U77,Q77,M77,I77,E77)+EW77</f>
        <v>85</v>
      </c>
      <c r="FB77" s="152">
        <f t="shared" si="52"/>
        <v>8.5513078470824961</v>
      </c>
    </row>
    <row r="78" spans="1:158" ht="15.75" x14ac:dyDescent="0.25">
      <c r="A78" s="173" t="s">
        <v>178</v>
      </c>
      <c r="B78" s="170" t="s">
        <v>339</v>
      </c>
      <c r="C78" s="96"/>
      <c r="D78" s="97">
        <f t="shared" ref="D78:D88" si="675">ROUND(C78/12*$A$7,0)</f>
        <v>0</v>
      </c>
      <c r="E78" s="98"/>
      <c r="F78" s="99" t="e">
        <f t="shared" ref="F78:F89" si="676">E78/D78*100</f>
        <v>#DIV/0!</v>
      </c>
      <c r="G78" s="214"/>
      <c r="H78" s="97">
        <f t="shared" ref="H78:BP88" si="677">ROUND(G78/12*$A$7,0)</f>
        <v>0</v>
      </c>
      <c r="I78" s="214"/>
      <c r="J78" s="99">
        <f t="shared" si="18"/>
        <v>0</v>
      </c>
      <c r="K78" s="214"/>
      <c r="L78" s="97">
        <f t="shared" si="677"/>
        <v>0</v>
      </c>
      <c r="M78" s="214"/>
      <c r="N78" s="99" t="e">
        <f t="shared" si="138"/>
        <v>#DIV/0!</v>
      </c>
      <c r="O78" s="214"/>
      <c r="P78" s="97">
        <f t="shared" si="677"/>
        <v>0</v>
      </c>
      <c r="Q78" s="214"/>
      <c r="R78" s="99">
        <f t="shared" si="19"/>
        <v>0</v>
      </c>
      <c r="S78" s="214"/>
      <c r="T78" s="97">
        <f t="shared" si="677"/>
        <v>0</v>
      </c>
      <c r="U78" s="214"/>
      <c r="V78" s="99">
        <f t="shared" si="20"/>
        <v>0</v>
      </c>
      <c r="W78" s="214"/>
      <c r="X78" s="97">
        <f t="shared" si="677"/>
        <v>0</v>
      </c>
      <c r="Y78" s="214"/>
      <c r="Z78" s="99">
        <f t="shared" si="21"/>
        <v>0</v>
      </c>
      <c r="AA78" s="214"/>
      <c r="AB78" s="97">
        <f t="shared" si="677"/>
        <v>0</v>
      </c>
      <c r="AC78" s="214"/>
      <c r="AD78" s="99">
        <f t="shared" si="22"/>
        <v>0</v>
      </c>
      <c r="AE78" s="214"/>
      <c r="AF78" s="97">
        <f t="shared" si="677"/>
        <v>0</v>
      </c>
      <c r="AG78" s="214"/>
      <c r="AH78" s="99">
        <f t="shared" si="23"/>
        <v>0</v>
      </c>
      <c r="AI78" s="214"/>
      <c r="AJ78" s="97">
        <f t="shared" si="677"/>
        <v>0</v>
      </c>
      <c r="AK78" s="214"/>
      <c r="AL78" s="99">
        <f t="shared" si="24"/>
        <v>0</v>
      </c>
      <c r="AM78" s="214"/>
      <c r="AN78" s="97">
        <f t="shared" si="677"/>
        <v>0</v>
      </c>
      <c r="AO78" s="214"/>
      <c r="AP78" s="99">
        <f t="shared" si="25"/>
        <v>0</v>
      </c>
      <c r="AQ78" s="214"/>
      <c r="AR78" s="97">
        <f t="shared" si="677"/>
        <v>0</v>
      </c>
      <c r="AS78" s="214"/>
      <c r="AT78" s="99">
        <f t="shared" si="26"/>
        <v>0</v>
      </c>
      <c r="AU78" s="214"/>
      <c r="AV78" s="97">
        <f t="shared" si="677"/>
        <v>0</v>
      </c>
      <c r="AW78" s="214"/>
      <c r="AX78" s="99">
        <f t="shared" si="27"/>
        <v>0</v>
      </c>
      <c r="AY78" s="214"/>
      <c r="AZ78" s="97">
        <f t="shared" si="677"/>
        <v>0</v>
      </c>
      <c r="BA78" s="214"/>
      <c r="BB78" s="99">
        <f t="shared" si="28"/>
        <v>0</v>
      </c>
      <c r="BC78" s="214"/>
      <c r="BD78" s="97">
        <f t="shared" si="677"/>
        <v>0</v>
      </c>
      <c r="BE78" s="214"/>
      <c r="BF78" s="99">
        <f t="shared" si="29"/>
        <v>0</v>
      </c>
      <c r="BG78" s="214"/>
      <c r="BH78" s="97">
        <f t="shared" si="677"/>
        <v>0</v>
      </c>
      <c r="BI78" s="214"/>
      <c r="BJ78" s="99">
        <f t="shared" si="30"/>
        <v>0</v>
      </c>
      <c r="BK78" s="214"/>
      <c r="BL78" s="97">
        <f t="shared" si="677"/>
        <v>0</v>
      </c>
      <c r="BM78" s="214"/>
      <c r="BN78" s="99">
        <f t="shared" si="31"/>
        <v>0</v>
      </c>
      <c r="BO78" s="214"/>
      <c r="BP78" s="97">
        <f t="shared" si="677"/>
        <v>0</v>
      </c>
      <c r="BQ78" s="214"/>
      <c r="BR78" s="99">
        <f t="shared" si="32"/>
        <v>0</v>
      </c>
      <c r="BS78" s="214"/>
      <c r="BT78" s="97">
        <f t="shared" si="674"/>
        <v>0</v>
      </c>
      <c r="BU78" s="214"/>
      <c r="BV78" s="99">
        <f t="shared" si="33"/>
        <v>0</v>
      </c>
      <c r="BW78" s="214"/>
      <c r="BX78" s="97">
        <f t="shared" si="674"/>
        <v>0</v>
      </c>
      <c r="BY78" s="214"/>
      <c r="BZ78" s="99">
        <f t="shared" si="34"/>
        <v>0</v>
      </c>
      <c r="CA78" s="214"/>
      <c r="CB78" s="97">
        <f t="shared" si="674"/>
        <v>0</v>
      </c>
      <c r="CC78" s="214"/>
      <c r="CD78" s="99">
        <f t="shared" si="35"/>
        <v>0</v>
      </c>
      <c r="CE78" s="214">
        <v>42500</v>
      </c>
      <c r="CF78" s="97">
        <v>42500</v>
      </c>
      <c r="CG78" s="214">
        <v>41504</v>
      </c>
      <c r="CH78" s="99">
        <f t="shared" si="36"/>
        <v>97.656470588235294</v>
      </c>
      <c r="CI78" s="214">
        <v>36000</v>
      </c>
      <c r="CJ78" s="97">
        <v>36000</v>
      </c>
      <c r="CK78" s="214">
        <v>35174</v>
      </c>
      <c r="CL78" s="99">
        <f t="shared" si="37"/>
        <v>97.705555555555563</v>
      </c>
      <c r="CM78" s="214">
        <v>11000</v>
      </c>
      <c r="CN78" s="97">
        <f t="shared" si="674"/>
        <v>11000</v>
      </c>
      <c r="CO78" s="214">
        <v>10989</v>
      </c>
      <c r="CP78" s="99">
        <f t="shared" si="38"/>
        <v>99.9</v>
      </c>
      <c r="CQ78" s="214"/>
      <c r="CR78" s="97">
        <f t="shared" si="674"/>
        <v>0</v>
      </c>
      <c r="CS78" s="214"/>
      <c r="CT78" s="99">
        <f t="shared" si="39"/>
        <v>0</v>
      </c>
      <c r="CU78" s="214"/>
      <c r="CV78" s="97">
        <f t="shared" si="674"/>
        <v>0</v>
      </c>
      <c r="CW78" s="214"/>
      <c r="CX78" s="99">
        <f t="shared" si="40"/>
        <v>0</v>
      </c>
      <c r="CY78" s="214"/>
      <c r="CZ78" s="97">
        <f t="shared" si="674"/>
        <v>0</v>
      </c>
      <c r="DA78" s="214"/>
      <c r="DB78" s="99">
        <f t="shared" si="41"/>
        <v>0</v>
      </c>
      <c r="DC78" s="214">
        <v>100</v>
      </c>
      <c r="DD78" s="97">
        <f t="shared" si="674"/>
        <v>100</v>
      </c>
      <c r="DE78" s="214">
        <v>9</v>
      </c>
      <c r="DF78" s="99">
        <f t="shared" si="42"/>
        <v>9</v>
      </c>
      <c r="DG78" s="214"/>
      <c r="DH78" s="97">
        <f t="shared" si="674"/>
        <v>0</v>
      </c>
      <c r="DI78" s="214"/>
      <c r="DJ78" s="99" t="e">
        <f t="shared" si="139"/>
        <v>#DIV/0!</v>
      </c>
      <c r="DK78" s="214">
        <v>22082</v>
      </c>
      <c r="DL78" s="97">
        <f t="shared" si="674"/>
        <v>22082</v>
      </c>
      <c r="DM78" s="214">
        <v>28333</v>
      </c>
      <c r="DN78" s="99">
        <f t="shared" si="43"/>
        <v>128.30812426410651</v>
      </c>
      <c r="DO78" s="214"/>
      <c r="DP78" s="97">
        <f t="shared" si="674"/>
        <v>0</v>
      </c>
      <c r="DQ78" s="214"/>
      <c r="DR78" s="99">
        <f t="shared" si="44"/>
        <v>0</v>
      </c>
      <c r="DS78" s="214"/>
      <c r="DT78" s="97">
        <f t="shared" si="674"/>
        <v>0</v>
      </c>
      <c r="DU78" s="214"/>
      <c r="DV78" s="99" t="e">
        <f t="shared" si="140"/>
        <v>#DIV/0!</v>
      </c>
      <c r="DW78" s="214"/>
      <c r="DX78" s="97">
        <f t="shared" ref="DX78:EV88" si="678">ROUND(DW78/12*$A$7,0)</f>
        <v>0</v>
      </c>
      <c r="DY78" s="214"/>
      <c r="DZ78" s="99" t="e">
        <f t="shared" si="142"/>
        <v>#DIV/0!</v>
      </c>
      <c r="EA78" s="214">
        <v>2800</v>
      </c>
      <c r="EB78" s="97">
        <f t="shared" si="678"/>
        <v>2800</v>
      </c>
      <c r="EC78" s="214">
        <v>3304</v>
      </c>
      <c r="ED78" s="99">
        <f t="shared" si="45"/>
        <v>118</v>
      </c>
      <c r="EE78" s="214"/>
      <c r="EF78" s="97">
        <f t="shared" si="678"/>
        <v>0</v>
      </c>
      <c r="EG78" s="214"/>
      <c r="EH78" s="99">
        <f t="shared" si="46"/>
        <v>0</v>
      </c>
      <c r="EI78" s="214"/>
      <c r="EJ78" s="97">
        <f t="shared" si="678"/>
        <v>0</v>
      </c>
      <c r="EK78" s="214"/>
      <c r="EL78" s="99">
        <f t="shared" si="47"/>
        <v>0</v>
      </c>
      <c r="EM78" s="214">
        <v>300</v>
      </c>
      <c r="EN78" s="97">
        <f t="shared" si="678"/>
        <v>300</v>
      </c>
      <c r="EO78" s="214">
        <v>390</v>
      </c>
      <c r="EP78" s="99">
        <f t="shared" si="48"/>
        <v>130</v>
      </c>
      <c r="EQ78" s="214">
        <v>600</v>
      </c>
      <c r="ER78" s="97">
        <f t="shared" si="678"/>
        <v>600</v>
      </c>
      <c r="ES78" s="214">
        <v>789</v>
      </c>
      <c r="ET78" s="99">
        <f t="shared" si="49"/>
        <v>131.5</v>
      </c>
      <c r="EU78" s="214">
        <v>300</v>
      </c>
      <c r="EV78" s="97">
        <f t="shared" si="678"/>
        <v>300</v>
      </c>
      <c r="EW78" s="214">
        <v>173</v>
      </c>
      <c r="EX78" s="99">
        <f t="shared" si="50"/>
        <v>57.666666666666664</v>
      </c>
      <c r="EY78" s="152">
        <f t="shared" si="51"/>
        <v>115682</v>
      </c>
      <c r="EZ78" s="152">
        <f t="shared" si="51"/>
        <v>115682</v>
      </c>
      <c r="FA78" s="152">
        <f t="shared" si="51"/>
        <v>120665</v>
      </c>
      <c r="FB78" s="152">
        <f t="shared" si="52"/>
        <v>104.30749814145675</v>
      </c>
    </row>
    <row r="79" spans="1:158" ht="15.75" x14ac:dyDescent="0.25">
      <c r="A79" s="174" t="s">
        <v>131</v>
      </c>
      <c r="B79" s="186"/>
      <c r="C79" s="175"/>
      <c r="D79" s="162">
        <f t="shared" si="675"/>
        <v>0</v>
      </c>
      <c r="E79" s="187"/>
      <c r="F79" s="163" t="e">
        <f t="shared" si="676"/>
        <v>#DIV/0!</v>
      </c>
      <c r="G79" s="216"/>
      <c r="H79" s="162">
        <f t="shared" si="677"/>
        <v>0</v>
      </c>
      <c r="I79" s="216"/>
      <c r="J79" s="163">
        <f t="shared" ref="J79:J89" si="679">IF(H79=0,0,I79/H79*100)</f>
        <v>0</v>
      </c>
      <c r="K79" s="216"/>
      <c r="L79" s="162">
        <f t="shared" si="677"/>
        <v>0</v>
      </c>
      <c r="M79" s="216"/>
      <c r="N79" s="163" t="e">
        <f t="shared" si="138"/>
        <v>#DIV/0!</v>
      </c>
      <c r="O79" s="216"/>
      <c r="P79" s="162">
        <f t="shared" si="677"/>
        <v>0</v>
      </c>
      <c r="Q79" s="216"/>
      <c r="R79" s="163">
        <f t="shared" ref="R79:R89" si="680">IF(P79=0,0,Q79/P79*100)</f>
        <v>0</v>
      </c>
      <c r="S79" s="216"/>
      <c r="T79" s="162">
        <f t="shared" si="677"/>
        <v>0</v>
      </c>
      <c r="U79" s="216"/>
      <c r="V79" s="163">
        <f t="shared" ref="V79:V89" si="681">IF(T79=0,0,U79/T79*100)</f>
        <v>0</v>
      </c>
      <c r="W79" s="216"/>
      <c r="X79" s="162">
        <f t="shared" si="677"/>
        <v>0</v>
      </c>
      <c r="Y79" s="216"/>
      <c r="Z79" s="163">
        <f t="shared" ref="Z79:Z89" si="682">IF(X79=0,0,Y79/X79*100)</f>
        <v>0</v>
      </c>
      <c r="AA79" s="216"/>
      <c r="AB79" s="162">
        <f t="shared" si="677"/>
        <v>0</v>
      </c>
      <c r="AC79" s="216"/>
      <c r="AD79" s="163">
        <f t="shared" ref="AD79:AD89" si="683">IF(AB79=0,0,AC79/AB79*100)</f>
        <v>0</v>
      </c>
      <c r="AE79" s="216"/>
      <c r="AF79" s="162">
        <f t="shared" si="677"/>
        <v>0</v>
      </c>
      <c r="AG79" s="216"/>
      <c r="AH79" s="163">
        <f t="shared" ref="AH79:AH89" si="684">IF(AF79=0,0,AG79/AF79*100)</f>
        <v>0</v>
      </c>
      <c r="AI79" s="216"/>
      <c r="AJ79" s="162">
        <f t="shared" si="677"/>
        <v>0</v>
      </c>
      <c r="AK79" s="216"/>
      <c r="AL79" s="163">
        <f t="shared" ref="AL79:AL89" si="685">IF(AJ79=0,0,AK79/AJ79*100)</f>
        <v>0</v>
      </c>
      <c r="AM79" s="216"/>
      <c r="AN79" s="162">
        <f t="shared" si="677"/>
        <v>0</v>
      </c>
      <c r="AO79" s="216"/>
      <c r="AP79" s="163">
        <f t="shared" ref="AP79:AP89" si="686">IF(AN79=0,0,AO79/AN79*100)</f>
        <v>0</v>
      </c>
      <c r="AQ79" s="216"/>
      <c r="AR79" s="162">
        <f t="shared" si="677"/>
        <v>0</v>
      </c>
      <c r="AS79" s="216"/>
      <c r="AT79" s="163">
        <f t="shared" ref="AT79:AT89" si="687">IF(AR79=0,0,AS79/AR79*100)</f>
        <v>0</v>
      </c>
      <c r="AU79" s="216"/>
      <c r="AV79" s="162">
        <f t="shared" si="677"/>
        <v>0</v>
      </c>
      <c r="AW79" s="216"/>
      <c r="AX79" s="163">
        <f t="shared" ref="AX79:AX89" si="688">IF(AV79=0,0,AW79/AV79*100)</f>
        <v>0</v>
      </c>
      <c r="AY79" s="216"/>
      <c r="AZ79" s="162">
        <f t="shared" si="677"/>
        <v>0</v>
      </c>
      <c r="BA79" s="216"/>
      <c r="BB79" s="163">
        <f t="shared" ref="BB79:BB89" si="689">IF(AZ79=0,0,BA79/AZ79*100)</f>
        <v>0</v>
      </c>
      <c r="BC79" s="216"/>
      <c r="BD79" s="162">
        <f t="shared" si="677"/>
        <v>0</v>
      </c>
      <c r="BE79" s="216"/>
      <c r="BF79" s="163">
        <f t="shared" ref="BF79:BF89" si="690">IF(BD79=0,0,BE79/BD79*100)</f>
        <v>0</v>
      </c>
      <c r="BG79" s="216"/>
      <c r="BH79" s="162">
        <f t="shared" si="677"/>
        <v>0</v>
      </c>
      <c r="BI79" s="216"/>
      <c r="BJ79" s="163">
        <f t="shared" ref="BJ79:BJ89" si="691">IF(BH79=0,0,BI79/BH79*100)</f>
        <v>0</v>
      </c>
      <c r="BK79" s="216"/>
      <c r="BL79" s="162">
        <f t="shared" si="677"/>
        <v>0</v>
      </c>
      <c r="BM79" s="216"/>
      <c r="BN79" s="163">
        <f t="shared" ref="BN79:BN89" si="692">IF(BL79=0,0,BM79/BL79*100)</f>
        <v>0</v>
      </c>
      <c r="BO79" s="216"/>
      <c r="BP79" s="162">
        <f t="shared" si="677"/>
        <v>0</v>
      </c>
      <c r="BQ79" s="216"/>
      <c r="BR79" s="163">
        <f t="shared" ref="BR79:BR89" si="693">IF(BP79=0,0,BQ79/BP79*100)</f>
        <v>0</v>
      </c>
      <c r="BS79" s="216"/>
      <c r="BT79" s="162">
        <f t="shared" si="674"/>
        <v>0</v>
      </c>
      <c r="BU79" s="216"/>
      <c r="BV79" s="163">
        <f t="shared" ref="BV79:BV89" si="694">IF(BT79=0,0,BU79/BT79*100)</f>
        <v>0</v>
      </c>
      <c r="BW79" s="216"/>
      <c r="BX79" s="162">
        <f t="shared" si="674"/>
        <v>0</v>
      </c>
      <c r="BY79" s="216"/>
      <c r="BZ79" s="163">
        <f t="shared" ref="BZ79:BZ89" si="695">IF(BX79=0,0,BY79/BX79*100)</f>
        <v>0</v>
      </c>
      <c r="CA79" s="216"/>
      <c r="CB79" s="162">
        <f t="shared" si="674"/>
        <v>0</v>
      </c>
      <c r="CC79" s="216"/>
      <c r="CD79" s="163">
        <f t="shared" ref="CD79:CD89" si="696">IF(CB79=0,0,CC79/CB79*100)</f>
        <v>0</v>
      </c>
      <c r="CE79" s="216">
        <v>30068</v>
      </c>
      <c r="CF79" s="162">
        <v>30068</v>
      </c>
      <c r="CG79" s="216">
        <v>29974</v>
      </c>
      <c r="CH79" s="163">
        <f t="shared" ref="CH79:CH89" si="697">IF(CF79=0,0,CG79/CF79*100)</f>
        <v>99.687375282692557</v>
      </c>
      <c r="CI79" s="216">
        <v>7483.984375</v>
      </c>
      <c r="CJ79" s="162">
        <v>7483.984375</v>
      </c>
      <c r="CK79" s="216">
        <v>7762</v>
      </c>
      <c r="CL79" s="163">
        <f t="shared" ref="CL79:CL89" si="698">IF(CJ79=0,0,CK79/CJ79*100)</f>
        <v>103.71480766219531</v>
      </c>
      <c r="CM79" s="216">
        <v>9031</v>
      </c>
      <c r="CN79" s="162">
        <f t="shared" si="674"/>
        <v>9031</v>
      </c>
      <c r="CO79" s="216">
        <v>9564</v>
      </c>
      <c r="CP79" s="163">
        <f t="shared" ref="CP79:CP89" si="699">IF(CN79=0,0,CO79/CN79*100)</f>
        <v>105.90189347802014</v>
      </c>
      <c r="CQ79" s="216"/>
      <c r="CR79" s="162">
        <f t="shared" si="674"/>
        <v>0</v>
      </c>
      <c r="CS79" s="216"/>
      <c r="CT79" s="163">
        <f t="shared" ref="CT79:CT89" si="700">IF(CR79=0,0,CS79/CR79*100)</f>
        <v>0</v>
      </c>
      <c r="CU79" s="216"/>
      <c r="CV79" s="162">
        <f t="shared" si="674"/>
        <v>0</v>
      </c>
      <c r="CW79" s="216"/>
      <c r="CX79" s="163">
        <f t="shared" ref="CX79:CX89" si="701">IF(CV79=0,0,CW79/CV79*100)</f>
        <v>0</v>
      </c>
      <c r="CY79" s="216"/>
      <c r="CZ79" s="162">
        <f t="shared" si="674"/>
        <v>0</v>
      </c>
      <c r="DA79" s="216"/>
      <c r="DB79" s="163">
        <f t="shared" ref="DB79:DB89" si="702">IF(CZ79=0,0,DA79/CZ79*100)</f>
        <v>0</v>
      </c>
      <c r="DC79" s="216"/>
      <c r="DD79" s="162">
        <f t="shared" si="674"/>
        <v>0</v>
      </c>
      <c r="DE79" s="216"/>
      <c r="DF79" s="163">
        <f t="shared" ref="DF79:DF89" si="703">IF(DD79=0,0,DE79/DD79*100)</f>
        <v>0</v>
      </c>
      <c r="DG79" s="216"/>
      <c r="DH79" s="162">
        <f t="shared" si="674"/>
        <v>0</v>
      </c>
      <c r="DI79" s="216"/>
      <c r="DJ79" s="163" t="e">
        <f t="shared" si="139"/>
        <v>#DIV/0!</v>
      </c>
      <c r="DK79" s="216">
        <v>7787</v>
      </c>
      <c r="DL79" s="162">
        <f t="shared" si="674"/>
        <v>7787</v>
      </c>
      <c r="DM79" s="216">
        <v>8910</v>
      </c>
      <c r="DN79" s="163">
        <f t="shared" ref="DN79:DN89" si="704">IF(DL79=0,0,DM79/DL79*100)</f>
        <v>114.42147168357519</v>
      </c>
      <c r="DO79" s="216"/>
      <c r="DP79" s="162">
        <f t="shared" si="674"/>
        <v>0</v>
      </c>
      <c r="DQ79" s="216"/>
      <c r="DR79" s="163">
        <f t="shared" ref="DR79:DR89" si="705">IF(DP79=0,0,DQ79/DP79*100)</f>
        <v>0</v>
      </c>
      <c r="DS79" s="216"/>
      <c r="DT79" s="162">
        <f t="shared" si="674"/>
        <v>0</v>
      </c>
      <c r="DU79" s="216"/>
      <c r="DV79" s="163" t="e">
        <f t="shared" si="140"/>
        <v>#DIV/0!</v>
      </c>
      <c r="DW79" s="216"/>
      <c r="DX79" s="162">
        <f t="shared" si="678"/>
        <v>0</v>
      </c>
      <c r="DY79" s="216"/>
      <c r="DZ79" s="163" t="e">
        <f t="shared" si="142"/>
        <v>#DIV/0!</v>
      </c>
      <c r="EA79" s="216"/>
      <c r="EB79" s="162">
        <f t="shared" si="678"/>
        <v>0</v>
      </c>
      <c r="EC79" s="216"/>
      <c r="ED79" s="163">
        <f t="shared" ref="ED79:ED89" si="706">IF(EB79=0,0,EC79/EB79*100)</f>
        <v>0</v>
      </c>
      <c r="EE79" s="216"/>
      <c r="EF79" s="162">
        <f t="shared" si="678"/>
        <v>0</v>
      </c>
      <c r="EG79" s="216"/>
      <c r="EH79" s="163">
        <f t="shared" ref="EH79:EH89" si="707">IF(EF79=0,0,EG79/EF79*100)</f>
        <v>0</v>
      </c>
      <c r="EI79" s="216"/>
      <c r="EJ79" s="162">
        <f t="shared" si="678"/>
        <v>0</v>
      </c>
      <c r="EK79" s="216"/>
      <c r="EL79" s="163">
        <f t="shared" ref="EL79:EL89" si="708">IF(EJ79=0,0,EK79/EJ79*100)</f>
        <v>0</v>
      </c>
      <c r="EM79" s="216">
        <v>100</v>
      </c>
      <c r="EN79" s="162">
        <f t="shared" si="678"/>
        <v>100</v>
      </c>
      <c r="EO79" s="216">
        <v>87</v>
      </c>
      <c r="EP79" s="163">
        <f t="shared" ref="EP79:EP89" si="709">IF(EN79=0,0,EO79/EN79*100)</f>
        <v>87</v>
      </c>
      <c r="EQ79" s="216">
        <v>200</v>
      </c>
      <c r="ER79" s="162">
        <f t="shared" si="678"/>
        <v>200</v>
      </c>
      <c r="ES79" s="216">
        <v>96</v>
      </c>
      <c r="ET79" s="163">
        <f t="shared" ref="ET79:ET89" si="710">IF(ER79=0,0,ES79/ER79*100)</f>
        <v>48</v>
      </c>
      <c r="EU79" s="216"/>
      <c r="EV79" s="162">
        <f t="shared" si="678"/>
        <v>0</v>
      </c>
      <c r="EW79" s="216"/>
      <c r="EX79" s="163">
        <f t="shared" ref="EX79:EX89" si="711">IF(EV79=0,0,EW79/EV79*100)</f>
        <v>0</v>
      </c>
      <c r="EY79" s="152">
        <f t="shared" ref="EY79:EZ89" si="712">SUM(EQ79,EM79,EI79,EE79,EA79,DW79,DS79,DO79,DK79,DG79,DC79,CY79,CU79,CQ79,CM79,CI79,CE79,CA79,BW79,BS79,BO79,BK79,BG79,BC79,AY79,AU79,AQ79,AM79,AI79,AE79,AA79,W79,S79,O79,K79,G79,C79)+EU79</f>
        <v>54669.984375</v>
      </c>
      <c r="EZ79" s="152">
        <f t="shared" ref="EZ79:FA89" si="713">SUM(ER79,EN79,EJ79,EF79,EB79,DX79,DT79,DP79,DL79,DH79,DD79,CZ79,CV79,CR79,CN79,CJ79,CF79,CB79,BX79,BT79,BP79,BL79,BH79,BD79,AZ79,AV79,AR79,AN79,AJ79,AF79,AB79,X79,T79,P79,L79,H79,D79)+EV79</f>
        <v>54669.984375</v>
      </c>
      <c r="FA79" s="152">
        <f t="shared" si="713"/>
        <v>56393</v>
      </c>
      <c r="FB79" s="152">
        <f t="shared" ref="FB79:FB89" si="714">IF(EZ79=0,0,FA79/EZ79*100)</f>
        <v>103.15166657663784</v>
      </c>
    </row>
    <row r="80" spans="1:158" ht="31.5" x14ac:dyDescent="0.25">
      <c r="A80" s="174" t="s">
        <v>134</v>
      </c>
      <c r="B80" s="155" t="s">
        <v>3</v>
      </c>
      <c r="C80" s="175"/>
      <c r="D80" s="162">
        <f t="shared" si="675"/>
        <v>0</v>
      </c>
      <c r="E80" s="187"/>
      <c r="F80" s="163" t="e">
        <f t="shared" si="676"/>
        <v>#DIV/0!</v>
      </c>
      <c r="G80" s="216"/>
      <c r="H80" s="162">
        <f t="shared" si="677"/>
        <v>0</v>
      </c>
      <c r="I80" s="216"/>
      <c r="J80" s="163">
        <f t="shared" si="679"/>
        <v>0</v>
      </c>
      <c r="K80" s="216"/>
      <c r="L80" s="162">
        <f t="shared" si="677"/>
        <v>0</v>
      </c>
      <c r="M80" s="216"/>
      <c r="N80" s="163" t="e">
        <f t="shared" si="138"/>
        <v>#DIV/0!</v>
      </c>
      <c r="O80" s="216"/>
      <c r="P80" s="162">
        <f t="shared" si="677"/>
        <v>0</v>
      </c>
      <c r="Q80" s="216"/>
      <c r="R80" s="163">
        <f t="shared" si="680"/>
        <v>0</v>
      </c>
      <c r="S80" s="216"/>
      <c r="T80" s="162">
        <f t="shared" si="677"/>
        <v>0</v>
      </c>
      <c r="U80" s="216"/>
      <c r="V80" s="163">
        <f t="shared" si="681"/>
        <v>0</v>
      </c>
      <c r="W80" s="216"/>
      <c r="X80" s="162">
        <f t="shared" si="677"/>
        <v>0</v>
      </c>
      <c r="Y80" s="216"/>
      <c r="Z80" s="163">
        <f t="shared" si="682"/>
        <v>0</v>
      </c>
      <c r="AA80" s="216"/>
      <c r="AB80" s="162">
        <f t="shared" si="677"/>
        <v>0</v>
      </c>
      <c r="AC80" s="216"/>
      <c r="AD80" s="163">
        <f t="shared" si="683"/>
        <v>0</v>
      </c>
      <c r="AE80" s="216"/>
      <c r="AF80" s="162">
        <f t="shared" si="677"/>
        <v>0</v>
      </c>
      <c r="AG80" s="216"/>
      <c r="AH80" s="163">
        <f t="shared" si="684"/>
        <v>0</v>
      </c>
      <c r="AI80" s="216"/>
      <c r="AJ80" s="162">
        <f t="shared" si="677"/>
        <v>0</v>
      </c>
      <c r="AK80" s="216"/>
      <c r="AL80" s="163">
        <f t="shared" si="685"/>
        <v>0</v>
      </c>
      <c r="AM80" s="216"/>
      <c r="AN80" s="162">
        <f t="shared" si="677"/>
        <v>0</v>
      </c>
      <c r="AO80" s="216"/>
      <c r="AP80" s="163">
        <f t="shared" si="686"/>
        <v>0</v>
      </c>
      <c r="AQ80" s="216"/>
      <c r="AR80" s="162">
        <f t="shared" si="677"/>
        <v>0</v>
      </c>
      <c r="AS80" s="216"/>
      <c r="AT80" s="163">
        <f t="shared" si="687"/>
        <v>0</v>
      </c>
      <c r="AU80" s="216"/>
      <c r="AV80" s="162">
        <f t="shared" si="677"/>
        <v>0</v>
      </c>
      <c r="AW80" s="216"/>
      <c r="AX80" s="163">
        <f t="shared" si="688"/>
        <v>0</v>
      </c>
      <c r="AY80" s="216"/>
      <c r="AZ80" s="162">
        <f t="shared" si="677"/>
        <v>0</v>
      </c>
      <c r="BA80" s="216"/>
      <c r="BB80" s="163">
        <f t="shared" si="689"/>
        <v>0</v>
      </c>
      <c r="BC80" s="216"/>
      <c r="BD80" s="162">
        <f t="shared" si="677"/>
        <v>0</v>
      </c>
      <c r="BE80" s="216"/>
      <c r="BF80" s="163">
        <f t="shared" si="690"/>
        <v>0</v>
      </c>
      <c r="BG80" s="216"/>
      <c r="BH80" s="162">
        <f t="shared" si="677"/>
        <v>0</v>
      </c>
      <c r="BI80" s="216"/>
      <c r="BJ80" s="163">
        <f t="shared" si="691"/>
        <v>0</v>
      </c>
      <c r="BK80" s="216"/>
      <c r="BL80" s="162">
        <f t="shared" si="677"/>
        <v>0</v>
      </c>
      <c r="BM80" s="216"/>
      <c r="BN80" s="163">
        <f t="shared" si="692"/>
        <v>0</v>
      </c>
      <c r="BO80" s="216"/>
      <c r="BP80" s="162">
        <f t="shared" si="677"/>
        <v>0</v>
      </c>
      <c r="BQ80" s="216"/>
      <c r="BR80" s="163">
        <f t="shared" si="693"/>
        <v>0</v>
      </c>
      <c r="BS80" s="216"/>
      <c r="BT80" s="162">
        <f t="shared" si="674"/>
        <v>0</v>
      </c>
      <c r="BU80" s="216"/>
      <c r="BV80" s="163">
        <f t="shared" si="694"/>
        <v>0</v>
      </c>
      <c r="BW80" s="216"/>
      <c r="BX80" s="162">
        <f t="shared" si="674"/>
        <v>0</v>
      </c>
      <c r="BY80" s="216"/>
      <c r="BZ80" s="163">
        <f t="shared" si="695"/>
        <v>0</v>
      </c>
      <c r="CA80" s="216"/>
      <c r="CB80" s="162">
        <f t="shared" si="674"/>
        <v>0</v>
      </c>
      <c r="CC80" s="216"/>
      <c r="CD80" s="163">
        <f t="shared" si="696"/>
        <v>0</v>
      </c>
      <c r="CE80" s="216"/>
      <c r="CF80" s="162">
        <f t="shared" si="674"/>
        <v>0</v>
      </c>
      <c r="CG80" s="216"/>
      <c r="CH80" s="163">
        <f t="shared" si="697"/>
        <v>0</v>
      </c>
      <c r="CI80" s="216"/>
      <c r="CJ80" s="162">
        <f t="shared" si="674"/>
        <v>0</v>
      </c>
      <c r="CK80" s="216"/>
      <c r="CL80" s="163">
        <f t="shared" si="698"/>
        <v>0</v>
      </c>
      <c r="CM80" s="216"/>
      <c r="CN80" s="162">
        <f t="shared" si="674"/>
        <v>0</v>
      </c>
      <c r="CO80" s="216"/>
      <c r="CP80" s="163">
        <f t="shared" si="699"/>
        <v>0</v>
      </c>
      <c r="CQ80" s="216"/>
      <c r="CR80" s="162">
        <f t="shared" si="674"/>
        <v>0</v>
      </c>
      <c r="CS80" s="216"/>
      <c r="CT80" s="163">
        <f t="shared" si="700"/>
        <v>0</v>
      </c>
      <c r="CU80" s="216"/>
      <c r="CV80" s="162">
        <f t="shared" si="674"/>
        <v>0</v>
      </c>
      <c r="CW80" s="216"/>
      <c r="CX80" s="163">
        <f t="shared" si="701"/>
        <v>0</v>
      </c>
      <c r="CY80" s="216"/>
      <c r="CZ80" s="162">
        <f t="shared" si="674"/>
        <v>0</v>
      </c>
      <c r="DA80" s="216"/>
      <c r="DB80" s="163">
        <f t="shared" si="702"/>
        <v>0</v>
      </c>
      <c r="DC80" s="216"/>
      <c r="DD80" s="162">
        <f t="shared" si="674"/>
        <v>0</v>
      </c>
      <c r="DE80" s="216"/>
      <c r="DF80" s="163">
        <f t="shared" si="703"/>
        <v>0</v>
      </c>
      <c r="DG80" s="216"/>
      <c r="DH80" s="162">
        <f t="shared" si="674"/>
        <v>0</v>
      </c>
      <c r="DI80" s="216"/>
      <c r="DJ80" s="163" t="e">
        <f t="shared" si="139"/>
        <v>#DIV/0!</v>
      </c>
      <c r="DK80" s="216"/>
      <c r="DL80" s="162">
        <f t="shared" si="674"/>
        <v>0</v>
      </c>
      <c r="DM80" s="216"/>
      <c r="DN80" s="163">
        <f t="shared" si="704"/>
        <v>0</v>
      </c>
      <c r="DO80" s="216"/>
      <c r="DP80" s="162">
        <f t="shared" si="674"/>
        <v>0</v>
      </c>
      <c r="DQ80" s="216"/>
      <c r="DR80" s="163">
        <f t="shared" si="705"/>
        <v>0</v>
      </c>
      <c r="DS80" s="216"/>
      <c r="DT80" s="162">
        <f t="shared" si="674"/>
        <v>0</v>
      </c>
      <c r="DU80" s="216"/>
      <c r="DV80" s="163" t="e">
        <f t="shared" si="140"/>
        <v>#DIV/0!</v>
      </c>
      <c r="DW80" s="216"/>
      <c r="DX80" s="162">
        <f t="shared" si="678"/>
        <v>0</v>
      </c>
      <c r="DY80" s="216"/>
      <c r="DZ80" s="163" t="e">
        <f t="shared" si="142"/>
        <v>#DIV/0!</v>
      </c>
      <c r="EA80" s="216"/>
      <c r="EB80" s="162">
        <f t="shared" si="678"/>
        <v>0</v>
      </c>
      <c r="EC80" s="216"/>
      <c r="ED80" s="163">
        <f t="shared" si="706"/>
        <v>0</v>
      </c>
      <c r="EE80" s="216"/>
      <c r="EF80" s="162">
        <f t="shared" si="678"/>
        <v>0</v>
      </c>
      <c r="EG80" s="216"/>
      <c r="EH80" s="163">
        <f t="shared" si="707"/>
        <v>0</v>
      </c>
      <c r="EI80" s="216"/>
      <c r="EJ80" s="162">
        <f t="shared" si="678"/>
        <v>0</v>
      </c>
      <c r="EK80" s="216"/>
      <c r="EL80" s="163">
        <f t="shared" si="708"/>
        <v>0</v>
      </c>
      <c r="EM80" s="216">
        <v>100</v>
      </c>
      <c r="EN80" s="162">
        <f t="shared" si="678"/>
        <v>100</v>
      </c>
      <c r="EO80" s="216"/>
      <c r="EP80" s="163">
        <f t="shared" si="709"/>
        <v>0</v>
      </c>
      <c r="EQ80" s="216"/>
      <c r="ER80" s="162">
        <f t="shared" si="678"/>
        <v>0</v>
      </c>
      <c r="ES80" s="216"/>
      <c r="ET80" s="163">
        <f t="shared" si="710"/>
        <v>0</v>
      </c>
      <c r="EU80" s="216"/>
      <c r="EV80" s="162">
        <f t="shared" si="678"/>
        <v>0</v>
      </c>
      <c r="EW80" s="216"/>
      <c r="EX80" s="163">
        <f t="shared" si="711"/>
        <v>0</v>
      </c>
      <c r="EY80" s="152">
        <f t="shared" si="712"/>
        <v>100</v>
      </c>
      <c r="EZ80" s="152">
        <f t="shared" si="713"/>
        <v>100</v>
      </c>
      <c r="FA80" s="152">
        <f t="shared" si="713"/>
        <v>0</v>
      </c>
      <c r="FB80" s="152">
        <f t="shared" si="714"/>
        <v>0</v>
      </c>
    </row>
    <row r="81" spans="1:160" ht="15.75" x14ac:dyDescent="0.25">
      <c r="A81" s="188" t="s">
        <v>135</v>
      </c>
      <c r="B81" s="95"/>
      <c r="C81" s="96"/>
      <c r="D81" s="97">
        <f t="shared" si="675"/>
        <v>0</v>
      </c>
      <c r="E81" s="98"/>
      <c r="F81" s="99" t="e">
        <f t="shared" si="676"/>
        <v>#DIV/0!</v>
      </c>
      <c r="G81" s="214"/>
      <c r="H81" s="97">
        <f t="shared" si="677"/>
        <v>0</v>
      </c>
      <c r="I81" s="214"/>
      <c r="J81" s="99">
        <f t="shared" si="679"/>
        <v>0</v>
      </c>
      <c r="K81" s="214"/>
      <c r="L81" s="97">
        <f t="shared" si="677"/>
        <v>0</v>
      </c>
      <c r="M81" s="214"/>
      <c r="N81" s="99" t="e">
        <f t="shared" si="138"/>
        <v>#DIV/0!</v>
      </c>
      <c r="O81" s="214"/>
      <c r="P81" s="97">
        <f t="shared" si="677"/>
        <v>0</v>
      </c>
      <c r="Q81" s="214"/>
      <c r="R81" s="99">
        <f t="shared" si="680"/>
        <v>0</v>
      </c>
      <c r="S81" s="214"/>
      <c r="T81" s="97">
        <f t="shared" si="677"/>
        <v>0</v>
      </c>
      <c r="U81" s="214"/>
      <c r="V81" s="99">
        <f t="shared" si="681"/>
        <v>0</v>
      </c>
      <c r="W81" s="214"/>
      <c r="X81" s="97">
        <f t="shared" si="677"/>
        <v>0</v>
      </c>
      <c r="Y81" s="214"/>
      <c r="Z81" s="99">
        <f t="shared" si="682"/>
        <v>0</v>
      </c>
      <c r="AA81" s="214"/>
      <c r="AB81" s="97">
        <f t="shared" si="677"/>
        <v>0</v>
      </c>
      <c r="AC81" s="214"/>
      <c r="AD81" s="99">
        <f t="shared" si="683"/>
        <v>0</v>
      </c>
      <c r="AE81" s="214"/>
      <c r="AF81" s="97">
        <f t="shared" si="677"/>
        <v>0</v>
      </c>
      <c r="AG81" s="214"/>
      <c r="AH81" s="99">
        <f t="shared" si="684"/>
        <v>0</v>
      </c>
      <c r="AI81" s="214"/>
      <c r="AJ81" s="97">
        <f t="shared" si="677"/>
        <v>0</v>
      </c>
      <c r="AK81" s="214"/>
      <c r="AL81" s="99">
        <f t="shared" si="685"/>
        <v>0</v>
      </c>
      <c r="AM81" s="214"/>
      <c r="AN81" s="97">
        <f t="shared" si="677"/>
        <v>0</v>
      </c>
      <c r="AO81" s="214"/>
      <c r="AP81" s="99">
        <f t="shared" si="686"/>
        <v>0</v>
      </c>
      <c r="AQ81" s="214"/>
      <c r="AR81" s="97">
        <f t="shared" si="677"/>
        <v>0</v>
      </c>
      <c r="AS81" s="214"/>
      <c r="AT81" s="99">
        <f t="shared" si="687"/>
        <v>0</v>
      </c>
      <c r="AU81" s="214"/>
      <c r="AV81" s="97">
        <f t="shared" si="677"/>
        <v>0</v>
      </c>
      <c r="AW81" s="214"/>
      <c r="AX81" s="99">
        <f t="shared" si="688"/>
        <v>0</v>
      </c>
      <c r="AY81" s="214"/>
      <c r="AZ81" s="97">
        <f t="shared" si="677"/>
        <v>0</v>
      </c>
      <c r="BA81" s="214"/>
      <c r="BB81" s="99">
        <f t="shared" si="689"/>
        <v>0</v>
      </c>
      <c r="BC81" s="214"/>
      <c r="BD81" s="97">
        <f t="shared" si="677"/>
        <v>0</v>
      </c>
      <c r="BE81" s="214"/>
      <c r="BF81" s="99">
        <f t="shared" si="690"/>
        <v>0</v>
      </c>
      <c r="BG81" s="214"/>
      <c r="BH81" s="97">
        <f t="shared" si="677"/>
        <v>0</v>
      </c>
      <c r="BI81" s="214"/>
      <c r="BJ81" s="99">
        <f t="shared" si="691"/>
        <v>0</v>
      </c>
      <c r="BK81" s="214"/>
      <c r="BL81" s="97">
        <f t="shared" si="677"/>
        <v>0</v>
      </c>
      <c r="BM81" s="214"/>
      <c r="BN81" s="99">
        <f t="shared" si="692"/>
        <v>0</v>
      </c>
      <c r="BO81" s="214"/>
      <c r="BP81" s="97">
        <f t="shared" si="677"/>
        <v>0</v>
      </c>
      <c r="BQ81" s="214"/>
      <c r="BR81" s="99">
        <f t="shared" si="693"/>
        <v>0</v>
      </c>
      <c r="BS81" s="214"/>
      <c r="BT81" s="97">
        <f t="shared" si="674"/>
        <v>0</v>
      </c>
      <c r="BU81" s="214"/>
      <c r="BV81" s="99">
        <f t="shared" si="694"/>
        <v>0</v>
      </c>
      <c r="BW81" s="214"/>
      <c r="BX81" s="97">
        <f t="shared" si="674"/>
        <v>0</v>
      </c>
      <c r="BY81" s="214"/>
      <c r="BZ81" s="99">
        <f t="shared" si="695"/>
        <v>0</v>
      </c>
      <c r="CA81" s="214"/>
      <c r="CB81" s="97">
        <f t="shared" si="674"/>
        <v>0</v>
      </c>
      <c r="CC81" s="214"/>
      <c r="CD81" s="99">
        <f t="shared" si="696"/>
        <v>0</v>
      </c>
      <c r="CE81" s="214"/>
      <c r="CF81" s="97">
        <f t="shared" si="674"/>
        <v>0</v>
      </c>
      <c r="CG81" s="214"/>
      <c r="CH81" s="99">
        <f t="shared" si="697"/>
        <v>0</v>
      </c>
      <c r="CI81" s="214"/>
      <c r="CJ81" s="97">
        <f t="shared" si="674"/>
        <v>0</v>
      </c>
      <c r="CK81" s="214"/>
      <c r="CL81" s="99">
        <f t="shared" si="698"/>
        <v>0</v>
      </c>
      <c r="CM81" s="214"/>
      <c r="CN81" s="97">
        <f t="shared" si="674"/>
        <v>0</v>
      </c>
      <c r="CO81" s="214"/>
      <c r="CP81" s="99">
        <f t="shared" si="699"/>
        <v>0</v>
      </c>
      <c r="CQ81" s="214"/>
      <c r="CR81" s="97">
        <f t="shared" si="674"/>
        <v>0</v>
      </c>
      <c r="CS81" s="214"/>
      <c r="CT81" s="99">
        <f t="shared" si="700"/>
        <v>0</v>
      </c>
      <c r="CU81" s="214"/>
      <c r="CV81" s="97">
        <f t="shared" si="674"/>
        <v>0</v>
      </c>
      <c r="CW81" s="214"/>
      <c r="CX81" s="99">
        <f t="shared" si="701"/>
        <v>0</v>
      </c>
      <c r="CY81" s="214"/>
      <c r="CZ81" s="97">
        <f t="shared" si="674"/>
        <v>0</v>
      </c>
      <c r="DA81" s="214"/>
      <c r="DB81" s="99">
        <f t="shared" si="702"/>
        <v>0</v>
      </c>
      <c r="DC81" s="214"/>
      <c r="DD81" s="97">
        <f t="shared" si="674"/>
        <v>0</v>
      </c>
      <c r="DE81" s="214"/>
      <c r="DF81" s="99">
        <f t="shared" si="703"/>
        <v>0</v>
      </c>
      <c r="DG81" s="214"/>
      <c r="DH81" s="97">
        <f t="shared" si="674"/>
        <v>0</v>
      </c>
      <c r="DI81" s="214"/>
      <c r="DJ81" s="99" t="e">
        <f t="shared" si="139"/>
        <v>#DIV/0!</v>
      </c>
      <c r="DK81" s="214"/>
      <c r="DL81" s="97">
        <f t="shared" si="674"/>
        <v>0</v>
      </c>
      <c r="DM81" s="214"/>
      <c r="DN81" s="99">
        <f t="shared" si="704"/>
        <v>0</v>
      </c>
      <c r="DO81" s="214"/>
      <c r="DP81" s="97">
        <f t="shared" si="674"/>
        <v>0</v>
      </c>
      <c r="DQ81" s="214"/>
      <c r="DR81" s="99">
        <f t="shared" si="705"/>
        <v>0</v>
      </c>
      <c r="DS81" s="214"/>
      <c r="DT81" s="97">
        <f t="shared" si="674"/>
        <v>0</v>
      </c>
      <c r="DU81" s="214"/>
      <c r="DV81" s="99" t="e">
        <f t="shared" si="140"/>
        <v>#DIV/0!</v>
      </c>
      <c r="DW81" s="214"/>
      <c r="DX81" s="97">
        <f t="shared" si="678"/>
        <v>0</v>
      </c>
      <c r="DY81" s="214"/>
      <c r="DZ81" s="99" t="e">
        <f t="shared" si="142"/>
        <v>#DIV/0!</v>
      </c>
      <c r="EA81" s="214"/>
      <c r="EB81" s="97">
        <f t="shared" si="678"/>
        <v>0</v>
      </c>
      <c r="EC81" s="214"/>
      <c r="ED81" s="99">
        <f t="shared" si="706"/>
        <v>0</v>
      </c>
      <c r="EE81" s="214"/>
      <c r="EF81" s="97">
        <f t="shared" si="678"/>
        <v>0</v>
      </c>
      <c r="EG81" s="214"/>
      <c r="EH81" s="99">
        <f t="shared" si="707"/>
        <v>0</v>
      </c>
      <c r="EI81" s="214"/>
      <c r="EJ81" s="97">
        <f t="shared" si="678"/>
        <v>0</v>
      </c>
      <c r="EK81" s="214"/>
      <c r="EL81" s="99">
        <f t="shared" si="708"/>
        <v>0</v>
      </c>
      <c r="EM81" s="214"/>
      <c r="EN81" s="97">
        <f t="shared" si="678"/>
        <v>0</v>
      </c>
      <c r="EO81" s="214"/>
      <c r="EP81" s="99">
        <f t="shared" si="709"/>
        <v>0</v>
      </c>
      <c r="EQ81" s="214"/>
      <c r="ER81" s="97">
        <f t="shared" si="678"/>
        <v>0</v>
      </c>
      <c r="ES81" s="214"/>
      <c r="ET81" s="99">
        <f t="shared" si="710"/>
        <v>0</v>
      </c>
      <c r="EU81" s="214"/>
      <c r="EV81" s="97">
        <f t="shared" si="678"/>
        <v>0</v>
      </c>
      <c r="EW81" s="214"/>
      <c r="EX81" s="99">
        <f t="shared" si="711"/>
        <v>0</v>
      </c>
      <c r="EY81" s="152">
        <f t="shared" si="712"/>
        <v>0</v>
      </c>
      <c r="EZ81" s="152">
        <f t="shared" si="713"/>
        <v>0</v>
      </c>
      <c r="FA81" s="152">
        <f t="shared" si="713"/>
        <v>0</v>
      </c>
      <c r="FB81" s="152">
        <f t="shared" si="714"/>
        <v>0</v>
      </c>
    </row>
    <row r="82" spans="1:160" ht="15.75" x14ac:dyDescent="0.25">
      <c r="A82" s="188"/>
      <c r="B82" s="95"/>
      <c r="C82" s="96"/>
      <c r="D82" s="97"/>
      <c r="E82" s="98"/>
      <c r="F82" s="99"/>
      <c r="G82" s="214"/>
      <c r="H82" s="97"/>
      <c r="I82" s="214"/>
      <c r="J82" s="99">
        <f t="shared" si="679"/>
        <v>0</v>
      </c>
      <c r="K82" s="214"/>
      <c r="L82" s="97"/>
      <c r="M82" s="214"/>
      <c r="N82" s="99"/>
      <c r="O82" s="214"/>
      <c r="P82" s="97"/>
      <c r="Q82" s="214"/>
      <c r="R82" s="99">
        <f t="shared" si="680"/>
        <v>0</v>
      </c>
      <c r="S82" s="214"/>
      <c r="T82" s="97"/>
      <c r="U82" s="214"/>
      <c r="V82" s="99">
        <f t="shared" si="681"/>
        <v>0</v>
      </c>
      <c r="W82" s="214"/>
      <c r="X82" s="97"/>
      <c r="Y82" s="214"/>
      <c r="Z82" s="99">
        <f t="shared" si="682"/>
        <v>0</v>
      </c>
      <c r="AA82" s="214"/>
      <c r="AB82" s="97"/>
      <c r="AC82" s="214"/>
      <c r="AD82" s="99">
        <f t="shared" si="683"/>
        <v>0</v>
      </c>
      <c r="AE82" s="214"/>
      <c r="AF82" s="97"/>
      <c r="AG82" s="214"/>
      <c r="AH82" s="99">
        <f t="shared" si="684"/>
        <v>0</v>
      </c>
      <c r="AI82" s="214"/>
      <c r="AJ82" s="97"/>
      <c r="AK82" s="214"/>
      <c r="AL82" s="99">
        <f t="shared" si="685"/>
        <v>0</v>
      </c>
      <c r="AM82" s="214"/>
      <c r="AN82" s="97"/>
      <c r="AO82" s="214"/>
      <c r="AP82" s="99">
        <f t="shared" si="686"/>
        <v>0</v>
      </c>
      <c r="AQ82" s="214"/>
      <c r="AR82" s="97"/>
      <c r="AS82" s="214"/>
      <c r="AT82" s="99">
        <f t="shared" si="687"/>
        <v>0</v>
      </c>
      <c r="AU82" s="214"/>
      <c r="AV82" s="97"/>
      <c r="AW82" s="214"/>
      <c r="AX82" s="99">
        <f t="shared" si="688"/>
        <v>0</v>
      </c>
      <c r="AY82" s="214"/>
      <c r="AZ82" s="97"/>
      <c r="BA82" s="214"/>
      <c r="BB82" s="99">
        <f t="shared" si="689"/>
        <v>0</v>
      </c>
      <c r="BC82" s="214"/>
      <c r="BD82" s="97"/>
      <c r="BE82" s="214"/>
      <c r="BF82" s="99">
        <f t="shared" si="690"/>
        <v>0</v>
      </c>
      <c r="BG82" s="214"/>
      <c r="BH82" s="97"/>
      <c r="BI82" s="214"/>
      <c r="BJ82" s="99">
        <f t="shared" si="691"/>
        <v>0</v>
      </c>
      <c r="BK82" s="214"/>
      <c r="BL82" s="97"/>
      <c r="BM82" s="214"/>
      <c r="BN82" s="99">
        <f t="shared" si="692"/>
        <v>0</v>
      </c>
      <c r="BO82" s="214"/>
      <c r="BP82" s="97"/>
      <c r="BQ82" s="214"/>
      <c r="BR82" s="99">
        <f t="shared" si="693"/>
        <v>0</v>
      </c>
      <c r="BS82" s="214"/>
      <c r="BT82" s="97"/>
      <c r="BU82" s="214"/>
      <c r="BV82" s="99">
        <f t="shared" si="694"/>
        <v>0</v>
      </c>
      <c r="BW82" s="214"/>
      <c r="BX82" s="97"/>
      <c r="BY82" s="214"/>
      <c r="BZ82" s="99">
        <f t="shared" si="695"/>
        <v>0</v>
      </c>
      <c r="CA82" s="214"/>
      <c r="CB82" s="97"/>
      <c r="CC82" s="214"/>
      <c r="CD82" s="99">
        <f t="shared" si="696"/>
        <v>0</v>
      </c>
      <c r="CE82" s="214"/>
      <c r="CF82" s="97"/>
      <c r="CG82" s="214"/>
      <c r="CH82" s="99">
        <f t="shared" si="697"/>
        <v>0</v>
      </c>
      <c r="CI82" s="214"/>
      <c r="CJ82" s="97"/>
      <c r="CK82" s="214"/>
      <c r="CL82" s="99">
        <f t="shared" si="698"/>
        <v>0</v>
      </c>
      <c r="CM82" s="214"/>
      <c r="CN82" s="97"/>
      <c r="CO82" s="214"/>
      <c r="CP82" s="99">
        <f t="shared" si="699"/>
        <v>0</v>
      </c>
      <c r="CQ82" s="214"/>
      <c r="CR82" s="97"/>
      <c r="CS82" s="214"/>
      <c r="CT82" s="99">
        <f t="shared" si="700"/>
        <v>0</v>
      </c>
      <c r="CU82" s="214"/>
      <c r="CV82" s="97"/>
      <c r="CW82" s="214"/>
      <c r="CX82" s="99">
        <f t="shared" si="701"/>
        <v>0</v>
      </c>
      <c r="CY82" s="214"/>
      <c r="CZ82" s="97"/>
      <c r="DA82" s="214"/>
      <c r="DB82" s="99">
        <f t="shared" si="702"/>
        <v>0</v>
      </c>
      <c r="DC82" s="214"/>
      <c r="DD82" s="97"/>
      <c r="DE82" s="214"/>
      <c r="DF82" s="99">
        <f t="shared" si="703"/>
        <v>0</v>
      </c>
      <c r="DG82" s="214"/>
      <c r="DH82" s="97"/>
      <c r="DI82" s="214"/>
      <c r="DJ82" s="99"/>
      <c r="DK82" s="214"/>
      <c r="DL82" s="97"/>
      <c r="DM82" s="214"/>
      <c r="DN82" s="99">
        <f t="shared" si="704"/>
        <v>0</v>
      </c>
      <c r="DO82" s="214"/>
      <c r="DP82" s="97"/>
      <c r="DQ82" s="214"/>
      <c r="DR82" s="99">
        <f t="shared" si="705"/>
        <v>0</v>
      </c>
      <c r="DS82" s="214"/>
      <c r="DT82" s="97"/>
      <c r="DU82" s="214"/>
      <c r="DV82" s="99"/>
      <c r="DW82" s="214"/>
      <c r="DX82" s="97"/>
      <c r="DY82" s="214"/>
      <c r="DZ82" s="99"/>
      <c r="EA82" s="214"/>
      <c r="EB82" s="97"/>
      <c r="EC82" s="214"/>
      <c r="ED82" s="99">
        <f t="shared" si="706"/>
        <v>0</v>
      </c>
      <c r="EE82" s="214"/>
      <c r="EF82" s="97"/>
      <c r="EG82" s="214"/>
      <c r="EH82" s="99">
        <f t="shared" si="707"/>
        <v>0</v>
      </c>
      <c r="EI82" s="214"/>
      <c r="EJ82" s="97"/>
      <c r="EK82" s="214"/>
      <c r="EL82" s="99">
        <f t="shared" si="708"/>
        <v>0</v>
      </c>
      <c r="EM82" s="214"/>
      <c r="EN82" s="97"/>
      <c r="EO82" s="214"/>
      <c r="EP82" s="99">
        <f t="shared" si="709"/>
        <v>0</v>
      </c>
      <c r="EQ82" s="214"/>
      <c r="ER82" s="97"/>
      <c r="ES82" s="214"/>
      <c r="ET82" s="99">
        <f t="shared" si="710"/>
        <v>0</v>
      </c>
      <c r="EU82" s="214"/>
      <c r="EV82" s="97"/>
      <c r="EW82" s="214"/>
      <c r="EX82" s="99">
        <f t="shared" si="711"/>
        <v>0</v>
      </c>
      <c r="EY82" s="152"/>
      <c r="EZ82" s="152"/>
      <c r="FA82" s="152"/>
      <c r="FB82" s="152">
        <f t="shared" si="714"/>
        <v>0</v>
      </c>
    </row>
    <row r="83" spans="1:160" s="131" customFormat="1" ht="15.75" x14ac:dyDescent="0.25">
      <c r="A83" s="94" t="s">
        <v>187</v>
      </c>
      <c r="B83" s="101"/>
      <c r="C83" s="102">
        <f t="shared" ref="C83" si="715">SUM(C25+C79*3.2+C80)</f>
        <v>0</v>
      </c>
      <c r="D83" s="103">
        <f t="shared" si="675"/>
        <v>0</v>
      </c>
      <c r="E83" s="104">
        <f t="shared" ref="E83" si="716">SUM(E25+E79*3.2+E80)</f>
        <v>0</v>
      </c>
      <c r="F83" s="105" t="e">
        <f t="shared" si="676"/>
        <v>#DIV/0!</v>
      </c>
      <c r="G83" s="272">
        <f t="shared" ref="G83:BO83" si="717">SUM(G25+G79*3.2+G80)</f>
        <v>21823</v>
      </c>
      <c r="H83" s="272">
        <f t="shared" si="717"/>
        <v>21823</v>
      </c>
      <c r="I83" s="272">
        <f t="shared" ref="I83:BQ83" si="718">SUM(I25+I79*3.2+I80)</f>
        <v>20769</v>
      </c>
      <c r="J83" s="105">
        <f t="shared" si="679"/>
        <v>95.170233240159462</v>
      </c>
      <c r="K83" s="272">
        <f t="shared" si="717"/>
        <v>0</v>
      </c>
      <c r="L83" s="103">
        <f t="shared" si="677"/>
        <v>0</v>
      </c>
      <c r="M83" s="272">
        <f t="shared" si="718"/>
        <v>0</v>
      </c>
      <c r="N83" s="105" t="e">
        <f t="shared" si="138"/>
        <v>#DIV/0!</v>
      </c>
      <c r="O83" s="272">
        <f t="shared" si="717"/>
        <v>22894</v>
      </c>
      <c r="P83" s="272">
        <f t="shared" si="717"/>
        <v>22894</v>
      </c>
      <c r="Q83" s="272">
        <f t="shared" si="718"/>
        <v>22800</v>
      </c>
      <c r="R83" s="105">
        <f t="shared" si="680"/>
        <v>99.589412073032236</v>
      </c>
      <c r="S83" s="272">
        <f t="shared" si="717"/>
        <v>13650</v>
      </c>
      <c r="T83" s="272">
        <f t="shared" si="717"/>
        <v>13650</v>
      </c>
      <c r="U83" s="272">
        <f t="shared" si="718"/>
        <v>12569</v>
      </c>
      <c r="V83" s="105">
        <f t="shared" si="681"/>
        <v>92.080586080586073</v>
      </c>
      <c r="W83" s="272">
        <f t="shared" si="717"/>
        <v>22938</v>
      </c>
      <c r="X83" s="272">
        <f t="shared" si="717"/>
        <v>22938</v>
      </c>
      <c r="Y83" s="272">
        <f t="shared" si="718"/>
        <v>20967</v>
      </c>
      <c r="Z83" s="105">
        <f t="shared" si="682"/>
        <v>91.407271776092074</v>
      </c>
      <c r="AA83" s="272">
        <f t="shared" si="717"/>
        <v>26974</v>
      </c>
      <c r="AB83" s="272">
        <f t="shared" si="717"/>
        <v>26974</v>
      </c>
      <c r="AC83" s="272">
        <f t="shared" si="718"/>
        <v>28014</v>
      </c>
      <c r="AD83" s="105">
        <f t="shared" si="683"/>
        <v>103.85556461778009</v>
      </c>
      <c r="AE83" s="272">
        <f t="shared" si="717"/>
        <v>18203.952499999999</v>
      </c>
      <c r="AF83" s="272">
        <f t="shared" si="717"/>
        <v>18203.952499999999</v>
      </c>
      <c r="AG83" s="272">
        <f t="shared" si="718"/>
        <v>25566</v>
      </c>
      <c r="AH83" s="105">
        <f t="shared" si="684"/>
        <v>140.44202763108726</v>
      </c>
      <c r="AI83" s="272">
        <f t="shared" si="717"/>
        <v>41155</v>
      </c>
      <c r="AJ83" s="272">
        <f t="shared" si="717"/>
        <v>41155</v>
      </c>
      <c r="AK83" s="272">
        <f t="shared" si="718"/>
        <v>36661</v>
      </c>
      <c r="AL83" s="105">
        <f t="shared" si="685"/>
        <v>89.080306159640386</v>
      </c>
      <c r="AM83" s="272">
        <f t="shared" si="717"/>
        <v>13990</v>
      </c>
      <c r="AN83" s="272">
        <f t="shared" si="717"/>
        <v>13990</v>
      </c>
      <c r="AO83" s="272">
        <f t="shared" si="718"/>
        <v>17308</v>
      </c>
      <c r="AP83" s="105">
        <f t="shared" si="686"/>
        <v>123.7169406719085</v>
      </c>
      <c r="AQ83" s="272">
        <f t="shared" si="717"/>
        <v>14839</v>
      </c>
      <c r="AR83" s="272">
        <f t="shared" si="717"/>
        <v>14839</v>
      </c>
      <c r="AS83" s="272">
        <f t="shared" si="718"/>
        <v>13608</v>
      </c>
      <c r="AT83" s="105">
        <f t="shared" si="687"/>
        <v>91.704292742098531</v>
      </c>
      <c r="AU83" s="272">
        <f t="shared" si="717"/>
        <v>53366</v>
      </c>
      <c r="AV83" s="272">
        <f t="shared" si="717"/>
        <v>53366</v>
      </c>
      <c r="AW83" s="272">
        <f t="shared" si="718"/>
        <v>66394</v>
      </c>
      <c r="AX83" s="105">
        <f t="shared" si="688"/>
        <v>124.4125473147697</v>
      </c>
      <c r="AY83" s="272">
        <f t="shared" si="717"/>
        <v>32153.5</v>
      </c>
      <c r="AZ83" s="272">
        <f t="shared" si="717"/>
        <v>32153.5</v>
      </c>
      <c r="BA83" s="272">
        <f t="shared" si="718"/>
        <v>58854</v>
      </c>
      <c r="BB83" s="105">
        <f t="shared" si="689"/>
        <v>183.04072651499837</v>
      </c>
      <c r="BC83" s="272">
        <f t="shared" si="717"/>
        <v>38089</v>
      </c>
      <c r="BD83" s="272">
        <f t="shared" si="717"/>
        <v>38089</v>
      </c>
      <c r="BE83" s="272">
        <f t="shared" si="718"/>
        <v>47635</v>
      </c>
      <c r="BF83" s="105">
        <f t="shared" si="690"/>
        <v>125.06235396046101</v>
      </c>
      <c r="BG83" s="272">
        <f t="shared" si="717"/>
        <v>25093</v>
      </c>
      <c r="BH83" s="272">
        <f t="shared" si="717"/>
        <v>25093</v>
      </c>
      <c r="BI83" s="272">
        <f t="shared" si="718"/>
        <v>35213</v>
      </c>
      <c r="BJ83" s="105">
        <f t="shared" si="691"/>
        <v>140.32997250229147</v>
      </c>
      <c r="BK83" s="272">
        <f t="shared" si="717"/>
        <v>0</v>
      </c>
      <c r="BL83" s="103">
        <f t="shared" si="677"/>
        <v>0</v>
      </c>
      <c r="BM83" s="272">
        <f t="shared" si="718"/>
        <v>0</v>
      </c>
      <c r="BN83" s="105">
        <f t="shared" si="692"/>
        <v>0</v>
      </c>
      <c r="BO83" s="272">
        <f t="shared" si="717"/>
        <v>0</v>
      </c>
      <c r="BP83" s="103">
        <f t="shared" si="677"/>
        <v>0</v>
      </c>
      <c r="BQ83" s="272">
        <f t="shared" si="718"/>
        <v>0</v>
      </c>
      <c r="BR83" s="105">
        <f t="shared" si="693"/>
        <v>0</v>
      </c>
      <c r="BS83" s="272">
        <f t="shared" ref="BS83:DW83" si="719">SUM(BS25+BS79*3.2+BS80)</f>
        <v>0</v>
      </c>
      <c r="BT83" s="103">
        <f t="shared" si="674"/>
        <v>0</v>
      </c>
      <c r="BU83" s="272">
        <f t="shared" ref="BU83:DY83" si="720">SUM(BU25+BU79*3.2+BU80)</f>
        <v>0</v>
      </c>
      <c r="BV83" s="105">
        <f t="shared" si="694"/>
        <v>0</v>
      </c>
      <c r="BW83" s="272">
        <f t="shared" si="719"/>
        <v>0</v>
      </c>
      <c r="BX83" s="103">
        <f t="shared" si="674"/>
        <v>0</v>
      </c>
      <c r="BY83" s="272">
        <f t="shared" si="720"/>
        <v>0</v>
      </c>
      <c r="BZ83" s="105">
        <f t="shared" si="695"/>
        <v>0</v>
      </c>
      <c r="CA83" s="272">
        <f t="shared" si="719"/>
        <v>0</v>
      </c>
      <c r="CB83" s="103">
        <f t="shared" si="674"/>
        <v>0</v>
      </c>
      <c r="CC83" s="272">
        <f t="shared" si="720"/>
        <v>0</v>
      </c>
      <c r="CD83" s="105">
        <f t="shared" si="696"/>
        <v>0</v>
      </c>
      <c r="CE83" s="272">
        <f t="shared" si="719"/>
        <v>138717.6</v>
      </c>
      <c r="CF83" s="272">
        <f t="shared" si="719"/>
        <v>138717.6</v>
      </c>
      <c r="CG83" s="272">
        <f t="shared" si="720"/>
        <v>137420.79999999999</v>
      </c>
      <c r="CH83" s="105">
        <f t="shared" si="697"/>
        <v>99.065151069510989</v>
      </c>
      <c r="CI83" s="272">
        <f t="shared" si="719"/>
        <v>59948.75</v>
      </c>
      <c r="CJ83" s="272">
        <f t="shared" si="719"/>
        <v>59948.75</v>
      </c>
      <c r="CK83" s="272">
        <f t="shared" si="720"/>
        <v>60012.4</v>
      </c>
      <c r="CL83" s="105">
        <f t="shared" si="698"/>
        <v>100.1061740236452</v>
      </c>
      <c r="CM83" s="272">
        <f t="shared" si="719"/>
        <v>39899.199999999997</v>
      </c>
      <c r="CN83" s="272">
        <f t="shared" si="719"/>
        <v>39899.199999999997</v>
      </c>
      <c r="CO83" s="272">
        <f t="shared" si="720"/>
        <v>41593.800000000003</v>
      </c>
      <c r="CP83" s="105">
        <f t="shared" si="699"/>
        <v>104.24720295143763</v>
      </c>
      <c r="CQ83" s="272">
        <f t="shared" si="719"/>
        <v>0</v>
      </c>
      <c r="CR83" s="103">
        <f t="shared" si="674"/>
        <v>0</v>
      </c>
      <c r="CS83" s="272">
        <f t="shared" si="720"/>
        <v>0</v>
      </c>
      <c r="CT83" s="105">
        <f t="shared" si="700"/>
        <v>0</v>
      </c>
      <c r="CU83" s="272">
        <f t="shared" si="719"/>
        <v>0</v>
      </c>
      <c r="CV83" s="103">
        <f t="shared" si="674"/>
        <v>0</v>
      </c>
      <c r="CW83" s="272">
        <f t="shared" si="720"/>
        <v>0</v>
      </c>
      <c r="CX83" s="105">
        <f t="shared" si="701"/>
        <v>0</v>
      </c>
      <c r="CY83" s="272">
        <f t="shared" si="719"/>
        <v>833</v>
      </c>
      <c r="CZ83" s="272">
        <f t="shared" si="719"/>
        <v>833</v>
      </c>
      <c r="DA83" s="272">
        <f t="shared" si="720"/>
        <v>824</v>
      </c>
      <c r="DB83" s="105">
        <f t="shared" si="702"/>
        <v>98.919567827130848</v>
      </c>
      <c r="DC83" s="272">
        <f t="shared" si="719"/>
        <v>100</v>
      </c>
      <c r="DD83" s="103">
        <f t="shared" si="674"/>
        <v>100</v>
      </c>
      <c r="DE83" s="272">
        <f t="shared" si="720"/>
        <v>9</v>
      </c>
      <c r="DF83" s="105">
        <f t="shared" si="703"/>
        <v>9</v>
      </c>
      <c r="DG83" s="272">
        <f t="shared" si="719"/>
        <v>0</v>
      </c>
      <c r="DH83" s="103">
        <f t="shared" si="674"/>
        <v>0</v>
      </c>
      <c r="DI83" s="272">
        <f t="shared" si="720"/>
        <v>0</v>
      </c>
      <c r="DJ83" s="105" t="e">
        <f t="shared" si="139"/>
        <v>#DIV/0!</v>
      </c>
      <c r="DK83" s="272">
        <f t="shared" si="719"/>
        <v>77384.399999999994</v>
      </c>
      <c r="DL83" s="272">
        <f t="shared" si="719"/>
        <v>77384.399999999994</v>
      </c>
      <c r="DM83" s="272">
        <f t="shared" si="720"/>
        <v>83172</v>
      </c>
      <c r="DN83" s="105">
        <f t="shared" si="704"/>
        <v>107.47902678059145</v>
      </c>
      <c r="DO83" s="272">
        <f t="shared" si="719"/>
        <v>65026</v>
      </c>
      <c r="DP83" s="272">
        <f t="shared" si="719"/>
        <v>65026</v>
      </c>
      <c r="DQ83" s="272">
        <f t="shared" si="720"/>
        <v>83518</v>
      </c>
      <c r="DR83" s="105">
        <f t="shared" si="705"/>
        <v>128.43785562697997</v>
      </c>
      <c r="DS83" s="272">
        <f t="shared" si="719"/>
        <v>0</v>
      </c>
      <c r="DT83" s="103">
        <f t="shared" si="674"/>
        <v>0</v>
      </c>
      <c r="DU83" s="272">
        <f t="shared" si="720"/>
        <v>0</v>
      </c>
      <c r="DV83" s="105" t="e">
        <f t="shared" si="140"/>
        <v>#DIV/0!</v>
      </c>
      <c r="DW83" s="272">
        <f t="shared" si="719"/>
        <v>0</v>
      </c>
      <c r="DX83" s="103">
        <f t="shared" si="678"/>
        <v>0</v>
      </c>
      <c r="DY83" s="272">
        <f t="shared" si="720"/>
        <v>0</v>
      </c>
      <c r="DZ83" s="105" t="e">
        <f t="shared" si="142"/>
        <v>#DIV/0!</v>
      </c>
      <c r="EA83" s="272">
        <f t="shared" ref="EA83:EU83" si="721">SUM(EA25+EA79*3.2+EA80)</f>
        <v>3651</v>
      </c>
      <c r="EB83" s="272">
        <f t="shared" si="721"/>
        <v>3651</v>
      </c>
      <c r="EC83" s="272">
        <f t="shared" ref="EC83:EW83" si="722">SUM(EC25+EC79*3.2+EC80)</f>
        <v>4007</v>
      </c>
      <c r="ED83" s="105">
        <f t="shared" si="706"/>
        <v>109.75075321829635</v>
      </c>
      <c r="EE83" s="272">
        <f t="shared" si="721"/>
        <v>43139</v>
      </c>
      <c r="EF83" s="272">
        <f t="shared" si="721"/>
        <v>43139</v>
      </c>
      <c r="EG83" s="272">
        <f t="shared" si="722"/>
        <v>50816</v>
      </c>
      <c r="EH83" s="105">
        <f t="shared" si="707"/>
        <v>117.79596189063261</v>
      </c>
      <c r="EI83" s="272">
        <f t="shared" si="721"/>
        <v>839</v>
      </c>
      <c r="EJ83" s="272">
        <f t="shared" si="721"/>
        <v>839</v>
      </c>
      <c r="EK83" s="272">
        <f t="shared" si="722"/>
        <v>627</v>
      </c>
      <c r="EL83" s="105">
        <f t="shared" si="708"/>
        <v>74.731823599523238</v>
      </c>
      <c r="EM83" s="272">
        <f t="shared" si="721"/>
        <v>1981</v>
      </c>
      <c r="EN83" s="272">
        <f t="shared" si="721"/>
        <v>1981</v>
      </c>
      <c r="EO83" s="272">
        <f t="shared" si="722"/>
        <v>1158.4000000000001</v>
      </c>
      <c r="EP83" s="105">
        <f t="shared" si="709"/>
        <v>58.475517415446753</v>
      </c>
      <c r="EQ83" s="272">
        <f t="shared" si="721"/>
        <v>1240</v>
      </c>
      <c r="ER83" s="103">
        <f t="shared" si="678"/>
        <v>1240</v>
      </c>
      <c r="ES83" s="272">
        <f t="shared" si="722"/>
        <v>1096.2</v>
      </c>
      <c r="ET83" s="105">
        <f t="shared" si="710"/>
        <v>88.403225806451616</v>
      </c>
      <c r="EU83" s="272">
        <f t="shared" si="721"/>
        <v>300</v>
      </c>
      <c r="EV83" s="103">
        <f t="shared" si="678"/>
        <v>300</v>
      </c>
      <c r="EW83" s="272">
        <f t="shared" si="722"/>
        <v>173</v>
      </c>
      <c r="EX83" s="105">
        <f t="shared" si="711"/>
        <v>57.666666666666664</v>
      </c>
      <c r="EY83" s="271">
        <f t="shared" si="712"/>
        <v>778227.40249999997</v>
      </c>
      <c r="EZ83" s="271">
        <f t="shared" si="713"/>
        <v>778227.40249999997</v>
      </c>
      <c r="FA83" s="271">
        <f t="shared" si="713"/>
        <v>870785.60000000009</v>
      </c>
      <c r="FB83" s="271">
        <f t="shared" si="714"/>
        <v>111.89346419859586</v>
      </c>
      <c r="FC83" s="131">
        <f>FA25+FA79*3.2+FA80</f>
        <v>870785.6</v>
      </c>
      <c r="FD83" s="131">
        <f>EZ25+EZ79*3.2+EZ80</f>
        <v>778227.40250000008</v>
      </c>
    </row>
    <row r="84" spans="1:160" ht="15.75" x14ac:dyDescent="0.25">
      <c r="A84" s="94" t="s">
        <v>184</v>
      </c>
      <c r="B84" s="189"/>
      <c r="C84" s="96"/>
      <c r="D84" s="97">
        <f t="shared" si="675"/>
        <v>0</v>
      </c>
      <c r="E84" s="98"/>
      <c r="F84" s="99" t="e">
        <f t="shared" si="676"/>
        <v>#DIV/0!</v>
      </c>
      <c r="G84" s="214"/>
      <c r="H84" s="97">
        <f t="shared" si="677"/>
        <v>0</v>
      </c>
      <c r="I84" s="214"/>
      <c r="J84" s="99">
        <f t="shared" si="679"/>
        <v>0</v>
      </c>
      <c r="K84" s="214"/>
      <c r="L84" s="97">
        <f t="shared" si="677"/>
        <v>0</v>
      </c>
      <c r="M84" s="214"/>
      <c r="N84" s="99" t="e">
        <f t="shared" si="138"/>
        <v>#DIV/0!</v>
      </c>
      <c r="O84" s="214"/>
      <c r="P84" s="97">
        <f t="shared" si="677"/>
        <v>0</v>
      </c>
      <c r="Q84" s="214"/>
      <c r="R84" s="99">
        <f t="shared" si="680"/>
        <v>0</v>
      </c>
      <c r="S84" s="214"/>
      <c r="T84" s="97">
        <f t="shared" si="677"/>
        <v>0</v>
      </c>
      <c r="U84" s="214"/>
      <c r="V84" s="99">
        <f t="shared" si="681"/>
        <v>0</v>
      </c>
      <c r="W84" s="214"/>
      <c r="X84" s="97">
        <f t="shared" si="677"/>
        <v>0</v>
      </c>
      <c r="Y84" s="214"/>
      <c r="Z84" s="99">
        <f t="shared" si="682"/>
        <v>0</v>
      </c>
      <c r="AA84" s="214"/>
      <c r="AB84" s="97">
        <f t="shared" si="677"/>
        <v>0</v>
      </c>
      <c r="AC84" s="214"/>
      <c r="AD84" s="99">
        <f t="shared" si="683"/>
        <v>0</v>
      </c>
      <c r="AE84" s="214"/>
      <c r="AF84" s="97">
        <f t="shared" si="677"/>
        <v>0</v>
      </c>
      <c r="AG84" s="214"/>
      <c r="AH84" s="99">
        <f t="shared" si="684"/>
        <v>0</v>
      </c>
      <c r="AI84" s="214"/>
      <c r="AJ84" s="97">
        <f t="shared" si="677"/>
        <v>0</v>
      </c>
      <c r="AK84" s="214"/>
      <c r="AL84" s="99">
        <f t="shared" si="685"/>
        <v>0</v>
      </c>
      <c r="AM84" s="214"/>
      <c r="AN84" s="97">
        <f t="shared" si="677"/>
        <v>0</v>
      </c>
      <c r="AO84" s="214"/>
      <c r="AP84" s="99">
        <f t="shared" si="686"/>
        <v>0</v>
      </c>
      <c r="AQ84" s="214"/>
      <c r="AR84" s="97">
        <f t="shared" si="677"/>
        <v>0</v>
      </c>
      <c r="AS84" s="214"/>
      <c r="AT84" s="99">
        <f t="shared" si="687"/>
        <v>0</v>
      </c>
      <c r="AU84" s="214"/>
      <c r="AV84" s="97">
        <f t="shared" si="677"/>
        <v>0</v>
      </c>
      <c r="AW84" s="214"/>
      <c r="AX84" s="99">
        <f t="shared" si="688"/>
        <v>0</v>
      </c>
      <c r="AY84" s="214"/>
      <c r="AZ84" s="97">
        <f t="shared" si="677"/>
        <v>0</v>
      </c>
      <c r="BA84" s="214"/>
      <c r="BB84" s="99">
        <f t="shared" si="689"/>
        <v>0</v>
      </c>
      <c r="BC84" s="214"/>
      <c r="BD84" s="97">
        <f t="shared" si="677"/>
        <v>0</v>
      </c>
      <c r="BE84" s="214"/>
      <c r="BF84" s="99">
        <f t="shared" si="690"/>
        <v>0</v>
      </c>
      <c r="BG84" s="214"/>
      <c r="BH84" s="97">
        <f t="shared" si="677"/>
        <v>0</v>
      </c>
      <c r="BI84" s="214"/>
      <c r="BJ84" s="99">
        <f t="shared" si="691"/>
        <v>0</v>
      </c>
      <c r="BK84" s="214"/>
      <c r="BL84" s="97">
        <f t="shared" si="677"/>
        <v>0</v>
      </c>
      <c r="BM84" s="214"/>
      <c r="BN84" s="99">
        <f t="shared" si="692"/>
        <v>0</v>
      </c>
      <c r="BO84" s="214"/>
      <c r="BP84" s="97">
        <f t="shared" si="677"/>
        <v>0</v>
      </c>
      <c r="BQ84" s="214"/>
      <c r="BR84" s="99">
        <f t="shared" si="693"/>
        <v>0</v>
      </c>
      <c r="BS84" s="214"/>
      <c r="BT84" s="97">
        <f t="shared" si="674"/>
        <v>0</v>
      </c>
      <c r="BU84" s="214"/>
      <c r="BV84" s="99">
        <f t="shared" si="694"/>
        <v>0</v>
      </c>
      <c r="BW84" s="214"/>
      <c r="BX84" s="97">
        <f t="shared" si="674"/>
        <v>0</v>
      </c>
      <c r="BY84" s="214"/>
      <c r="BZ84" s="99">
        <f t="shared" si="695"/>
        <v>0</v>
      </c>
      <c r="CA84" s="214"/>
      <c r="CB84" s="97">
        <f t="shared" si="674"/>
        <v>0</v>
      </c>
      <c r="CC84" s="214"/>
      <c r="CD84" s="99">
        <f t="shared" si="696"/>
        <v>0</v>
      </c>
      <c r="CE84" s="214"/>
      <c r="CF84" s="97">
        <f t="shared" si="674"/>
        <v>0</v>
      </c>
      <c r="CG84" s="214"/>
      <c r="CH84" s="99">
        <f t="shared" si="697"/>
        <v>0</v>
      </c>
      <c r="CI84" s="214"/>
      <c r="CJ84" s="97">
        <f t="shared" si="674"/>
        <v>0</v>
      </c>
      <c r="CK84" s="214"/>
      <c r="CL84" s="99">
        <f t="shared" si="698"/>
        <v>0</v>
      </c>
      <c r="CM84" s="214"/>
      <c r="CN84" s="97"/>
      <c r="CO84" s="214"/>
      <c r="CP84" s="99">
        <f t="shared" si="699"/>
        <v>0</v>
      </c>
      <c r="CQ84" s="214"/>
      <c r="CR84" s="97">
        <f t="shared" si="674"/>
        <v>0</v>
      </c>
      <c r="CS84" s="214"/>
      <c r="CT84" s="99">
        <f t="shared" si="700"/>
        <v>0</v>
      </c>
      <c r="CU84" s="214"/>
      <c r="CV84" s="97">
        <f t="shared" si="674"/>
        <v>0</v>
      </c>
      <c r="CW84" s="214"/>
      <c r="CX84" s="99">
        <f t="shared" si="701"/>
        <v>0</v>
      </c>
      <c r="CY84" s="214"/>
      <c r="CZ84" s="97">
        <f t="shared" si="674"/>
        <v>0</v>
      </c>
      <c r="DA84" s="214"/>
      <c r="DB84" s="99">
        <f t="shared" si="702"/>
        <v>0</v>
      </c>
      <c r="DC84" s="214"/>
      <c r="DD84" s="97">
        <f t="shared" si="674"/>
        <v>0</v>
      </c>
      <c r="DE84" s="214"/>
      <c r="DF84" s="99">
        <f t="shared" si="703"/>
        <v>0</v>
      </c>
      <c r="DG84" s="214"/>
      <c r="DH84" s="97">
        <f t="shared" si="674"/>
        <v>0</v>
      </c>
      <c r="DI84" s="214"/>
      <c r="DJ84" s="99" t="e">
        <f t="shared" si="139"/>
        <v>#DIV/0!</v>
      </c>
      <c r="DK84" s="214"/>
      <c r="DL84" s="97">
        <f t="shared" si="674"/>
        <v>0</v>
      </c>
      <c r="DM84" s="214"/>
      <c r="DN84" s="99">
        <f t="shared" si="704"/>
        <v>0</v>
      </c>
      <c r="DO84" s="214"/>
      <c r="DP84" s="97">
        <f t="shared" si="674"/>
        <v>0</v>
      </c>
      <c r="DQ84" s="214"/>
      <c r="DR84" s="99">
        <f t="shared" si="705"/>
        <v>0</v>
      </c>
      <c r="DS84" s="214"/>
      <c r="DT84" s="97">
        <f t="shared" si="674"/>
        <v>0</v>
      </c>
      <c r="DU84" s="214"/>
      <c r="DV84" s="99" t="e">
        <f t="shared" si="140"/>
        <v>#DIV/0!</v>
      </c>
      <c r="DW84" s="214"/>
      <c r="DX84" s="97">
        <f t="shared" si="678"/>
        <v>0</v>
      </c>
      <c r="DY84" s="214"/>
      <c r="DZ84" s="99" t="e">
        <f t="shared" si="142"/>
        <v>#DIV/0!</v>
      </c>
      <c r="EA84" s="214"/>
      <c r="EB84" s="97">
        <f t="shared" si="678"/>
        <v>0</v>
      </c>
      <c r="EC84" s="214"/>
      <c r="ED84" s="99">
        <f t="shared" si="706"/>
        <v>0</v>
      </c>
      <c r="EE84" s="214"/>
      <c r="EF84" s="97">
        <f t="shared" si="678"/>
        <v>0</v>
      </c>
      <c r="EG84" s="214"/>
      <c r="EH84" s="99">
        <f t="shared" si="707"/>
        <v>0</v>
      </c>
      <c r="EI84" s="214"/>
      <c r="EJ84" s="97">
        <f t="shared" si="678"/>
        <v>0</v>
      </c>
      <c r="EK84" s="214"/>
      <c r="EL84" s="99">
        <f t="shared" si="708"/>
        <v>0</v>
      </c>
      <c r="EM84" s="214"/>
      <c r="EN84" s="97">
        <f t="shared" si="678"/>
        <v>0</v>
      </c>
      <c r="EO84" s="214"/>
      <c r="EP84" s="99">
        <f t="shared" si="709"/>
        <v>0</v>
      </c>
      <c r="EQ84" s="214"/>
      <c r="ER84" s="97">
        <f t="shared" si="678"/>
        <v>0</v>
      </c>
      <c r="ES84" s="214"/>
      <c r="ET84" s="99">
        <f t="shared" si="710"/>
        <v>0</v>
      </c>
      <c r="EU84" s="214"/>
      <c r="EV84" s="97">
        <f t="shared" si="678"/>
        <v>0</v>
      </c>
      <c r="EW84" s="214"/>
      <c r="EX84" s="99">
        <f t="shared" si="711"/>
        <v>0</v>
      </c>
      <c r="EY84" s="152">
        <f t="shared" si="712"/>
        <v>0</v>
      </c>
      <c r="EZ84" s="152">
        <f t="shared" si="713"/>
        <v>0</v>
      </c>
      <c r="FA84" s="152">
        <f t="shared" si="713"/>
        <v>0</v>
      </c>
      <c r="FB84" s="152">
        <f t="shared" si="714"/>
        <v>0</v>
      </c>
    </row>
    <row r="85" spans="1:160" s="325" customFormat="1" ht="15.75" x14ac:dyDescent="0.25">
      <c r="A85" s="306" t="s">
        <v>186</v>
      </c>
      <c r="B85" s="324"/>
      <c r="C85" s="307"/>
      <c r="D85" s="304">
        <f t="shared" si="675"/>
        <v>0</v>
      </c>
      <c r="E85" s="308"/>
      <c r="F85" s="213" t="e">
        <f t="shared" si="676"/>
        <v>#DIV/0!</v>
      </c>
      <c r="G85" s="310"/>
      <c r="H85" s="304">
        <f t="shared" si="677"/>
        <v>0</v>
      </c>
      <c r="I85" s="310"/>
      <c r="J85" s="213">
        <f t="shared" si="679"/>
        <v>0</v>
      </c>
      <c r="K85" s="310"/>
      <c r="L85" s="304">
        <f t="shared" si="677"/>
        <v>0</v>
      </c>
      <c r="M85" s="310"/>
      <c r="N85" s="213" t="e">
        <f t="shared" si="138"/>
        <v>#DIV/0!</v>
      </c>
      <c r="O85" s="310"/>
      <c r="P85" s="304">
        <f t="shared" si="677"/>
        <v>0</v>
      </c>
      <c r="Q85" s="310"/>
      <c r="R85" s="213">
        <f t="shared" si="680"/>
        <v>0</v>
      </c>
      <c r="S85" s="310"/>
      <c r="T85" s="304">
        <f t="shared" si="677"/>
        <v>0</v>
      </c>
      <c r="U85" s="310"/>
      <c r="V85" s="213">
        <f t="shared" si="681"/>
        <v>0</v>
      </c>
      <c r="W85" s="310"/>
      <c r="X85" s="304">
        <f t="shared" si="677"/>
        <v>0</v>
      </c>
      <c r="Y85" s="310"/>
      <c r="Z85" s="213">
        <f t="shared" si="682"/>
        <v>0</v>
      </c>
      <c r="AA85" s="310"/>
      <c r="AB85" s="304">
        <f t="shared" si="677"/>
        <v>0</v>
      </c>
      <c r="AC85" s="310"/>
      <c r="AD85" s="213">
        <f t="shared" si="683"/>
        <v>0</v>
      </c>
      <c r="AE85" s="310"/>
      <c r="AF85" s="304">
        <f t="shared" si="677"/>
        <v>0</v>
      </c>
      <c r="AG85" s="310"/>
      <c r="AH85" s="213">
        <f t="shared" si="684"/>
        <v>0</v>
      </c>
      <c r="AI85" s="310"/>
      <c r="AJ85" s="304">
        <f t="shared" si="677"/>
        <v>0</v>
      </c>
      <c r="AK85" s="310"/>
      <c r="AL85" s="213">
        <f t="shared" si="685"/>
        <v>0</v>
      </c>
      <c r="AM85" s="310"/>
      <c r="AN85" s="304">
        <f t="shared" si="677"/>
        <v>0</v>
      </c>
      <c r="AO85" s="310"/>
      <c r="AP85" s="213">
        <f t="shared" si="686"/>
        <v>0</v>
      </c>
      <c r="AQ85" s="310"/>
      <c r="AR85" s="304">
        <f t="shared" si="677"/>
        <v>0</v>
      </c>
      <c r="AS85" s="310"/>
      <c r="AT85" s="213">
        <f t="shared" si="687"/>
        <v>0</v>
      </c>
      <c r="AU85" s="310"/>
      <c r="AV85" s="304">
        <f t="shared" si="677"/>
        <v>0</v>
      </c>
      <c r="AW85" s="310"/>
      <c r="AX85" s="213">
        <f t="shared" si="688"/>
        <v>0</v>
      </c>
      <c r="AY85" s="310"/>
      <c r="AZ85" s="304">
        <f t="shared" si="677"/>
        <v>0</v>
      </c>
      <c r="BA85" s="310"/>
      <c r="BB85" s="213">
        <f t="shared" si="689"/>
        <v>0</v>
      </c>
      <c r="BC85" s="310"/>
      <c r="BD85" s="304">
        <f t="shared" si="677"/>
        <v>0</v>
      </c>
      <c r="BE85" s="310"/>
      <c r="BF85" s="213">
        <f t="shared" si="690"/>
        <v>0</v>
      </c>
      <c r="BG85" s="310"/>
      <c r="BH85" s="304">
        <f t="shared" si="677"/>
        <v>0</v>
      </c>
      <c r="BI85" s="310"/>
      <c r="BJ85" s="213">
        <f t="shared" si="691"/>
        <v>0</v>
      </c>
      <c r="BK85" s="310">
        <v>286220</v>
      </c>
      <c r="BL85" s="310">
        <v>286220</v>
      </c>
      <c r="BM85" s="310">
        <v>285546</v>
      </c>
      <c r="BN85" s="213">
        <f t="shared" si="692"/>
        <v>99.764516805254701</v>
      </c>
      <c r="BO85" s="310">
        <v>195660</v>
      </c>
      <c r="BP85" s="304">
        <f t="shared" si="677"/>
        <v>195660</v>
      </c>
      <c r="BQ85" s="310">
        <v>197246.5</v>
      </c>
      <c r="BR85" s="213">
        <f t="shared" si="693"/>
        <v>100.81084534396403</v>
      </c>
      <c r="BS85" s="310">
        <v>11396</v>
      </c>
      <c r="BT85" s="304">
        <v>11396</v>
      </c>
      <c r="BU85" s="310">
        <v>11395.5</v>
      </c>
      <c r="BV85" s="213">
        <f t="shared" si="694"/>
        <v>99.995612495612491</v>
      </c>
      <c r="BW85" s="310">
        <v>241985</v>
      </c>
      <c r="BX85" s="304">
        <v>241985</v>
      </c>
      <c r="BY85" s="310">
        <v>241018.5</v>
      </c>
      <c r="BZ85" s="213">
        <f t="shared" si="695"/>
        <v>99.600595078207334</v>
      </c>
      <c r="CA85" s="310">
        <v>199526</v>
      </c>
      <c r="CB85" s="304">
        <v>199526</v>
      </c>
      <c r="CC85" s="310">
        <v>196262.5</v>
      </c>
      <c r="CD85" s="213">
        <f t="shared" si="696"/>
        <v>98.364373565349879</v>
      </c>
      <c r="CE85" s="310">
        <v>10650</v>
      </c>
      <c r="CF85" s="304">
        <v>10650</v>
      </c>
      <c r="CG85" s="310">
        <v>12223.5</v>
      </c>
      <c r="CH85" s="213">
        <f t="shared" si="697"/>
        <v>114.77464788732394</v>
      </c>
      <c r="CI85" s="310">
        <v>5325</v>
      </c>
      <c r="CJ85" s="304">
        <v>5325</v>
      </c>
      <c r="CK85" s="310">
        <v>5312</v>
      </c>
      <c r="CL85" s="213">
        <f t="shared" si="698"/>
        <v>99.755868544600929</v>
      </c>
      <c r="CM85" s="310">
        <v>6000</v>
      </c>
      <c r="CN85" s="304">
        <f t="shared" si="674"/>
        <v>6000</v>
      </c>
      <c r="CO85" s="310">
        <v>4545.5</v>
      </c>
      <c r="CP85" s="213">
        <f t="shared" si="699"/>
        <v>75.75833333333334</v>
      </c>
      <c r="CQ85" s="310">
        <v>4006</v>
      </c>
      <c r="CR85" s="304">
        <v>4006</v>
      </c>
      <c r="CS85" s="310">
        <v>4261</v>
      </c>
      <c r="CT85" s="213">
        <f t="shared" si="700"/>
        <v>106.36545182226659</v>
      </c>
      <c r="CU85" s="310">
        <v>52800</v>
      </c>
      <c r="CV85" s="304">
        <f t="shared" si="674"/>
        <v>52800</v>
      </c>
      <c r="CW85" s="310">
        <v>52742.5</v>
      </c>
      <c r="CX85" s="213">
        <f t="shared" si="701"/>
        <v>99.891098484848484</v>
      </c>
      <c r="CY85" s="310"/>
      <c r="CZ85" s="304">
        <f t="shared" si="674"/>
        <v>0</v>
      </c>
      <c r="DA85" s="310"/>
      <c r="DB85" s="213">
        <f t="shared" si="702"/>
        <v>0</v>
      </c>
      <c r="DC85" s="310"/>
      <c r="DD85" s="304">
        <f t="shared" si="674"/>
        <v>0</v>
      </c>
      <c r="DE85" s="310"/>
      <c r="DF85" s="213">
        <f t="shared" si="703"/>
        <v>0</v>
      </c>
      <c r="DG85" s="310"/>
      <c r="DH85" s="304">
        <f t="shared" si="674"/>
        <v>0</v>
      </c>
      <c r="DI85" s="310"/>
      <c r="DJ85" s="213" t="e">
        <f t="shared" si="139"/>
        <v>#DIV/0!</v>
      </c>
      <c r="DK85" s="310"/>
      <c r="DL85" s="304">
        <f t="shared" si="674"/>
        <v>0</v>
      </c>
      <c r="DM85" s="310"/>
      <c r="DN85" s="213">
        <f t="shared" si="704"/>
        <v>0</v>
      </c>
      <c r="DO85" s="310"/>
      <c r="DP85" s="304">
        <f t="shared" si="674"/>
        <v>0</v>
      </c>
      <c r="DQ85" s="310"/>
      <c r="DR85" s="213">
        <f t="shared" si="705"/>
        <v>0</v>
      </c>
      <c r="DS85" s="310"/>
      <c r="DT85" s="304">
        <f t="shared" si="674"/>
        <v>0</v>
      </c>
      <c r="DU85" s="310"/>
      <c r="DV85" s="213" t="e">
        <f t="shared" si="140"/>
        <v>#DIV/0!</v>
      </c>
      <c r="DW85" s="310"/>
      <c r="DX85" s="304">
        <f t="shared" si="678"/>
        <v>0</v>
      </c>
      <c r="DY85" s="310"/>
      <c r="DZ85" s="213" t="e">
        <f t="shared" si="142"/>
        <v>#DIV/0!</v>
      </c>
      <c r="EA85" s="310"/>
      <c r="EB85" s="304">
        <f t="shared" si="678"/>
        <v>0</v>
      </c>
      <c r="EC85" s="310"/>
      <c r="ED85" s="213">
        <f t="shared" si="706"/>
        <v>0</v>
      </c>
      <c r="EE85" s="310"/>
      <c r="EF85" s="304">
        <f t="shared" si="678"/>
        <v>0</v>
      </c>
      <c r="EG85" s="310"/>
      <c r="EH85" s="213">
        <f t="shared" si="707"/>
        <v>0</v>
      </c>
      <c r="EI85" s="310">
        <v>53312</v>
      </c>
      <c r="EJ85" s="304">
        <f t="shared" si="678"/>
        <v>53312</v>
      </c>
      <c r="EK85" s="310">
        <v>55454.25</v>
      </c>
      <c r="EL85" s="213">
        <f t="shared" si="708"/>
        <v>104.01832608043217</v>
      </c>
      <c r="EM85" s="310"/>
      <c r="EN85" s="304">
        <f t="shared" si="678"/>
        <v>0</v>
      </c>
      <c r="EO85" s="310"/>
      <c r="EP85" s="213">
        <f t="shared" si="709"/>
        <v>0</v>
      </c>
      <c r="EQ85" s="310"/>
      <c r="ER85" s="304">
        <f t="shared" si="678"/>
        <v>0</v>
      </c>
      <c r="ES85" s="310"/>
      <c r="ET85" s="213">
        <f t="shared" si="710"/>
        <v>0</v>
      </c>
      <c r="EU85" s="310"/>
      <c r="EV85" s="304">
        <f t="shared" si="678"/>
        <v>0</v>
      </c>
      <c r="EW85" s="310"/>
      <c r="EX85" s="213">
        <f t="shared" si="711"/>
        <v>0</v>
      </c>
      <c r="EY85" s="309">
        <f t="shared" si="712"/>
        <v>1066880</v>
      </c>
      <c r="EZ85" s="309">
        <f t="shared" si="713"/>
        <v>1066880</v>
      </c>
      <c r="FA85" s="309">
        <f t="shared" si="713"/>
        <v>1066007.75</v>
      </c>
      <c r="FB85" s="309">
        <f t="shared" si="714"/>
        <v>99.918242913917226</v>
      </c>
    </row>
    <row r="86" spans="1:160" s="131" customFormat="1" ht="15.75" x14ac:dyDescent="0.25">
      <c r="A86" s="190" t="s">
        <v>185</v>
      </c>
      <c r="B86" s="270"/>
      <c r="C86" s="102">
        <f t="shared" ref="C86" si="723">C85/4</f>
        <v>0</v>
      </c>
      <c r="D86" s="103">
        <f t="shared" si="675"/>
        <v>0</v>
      </c>
      <c r="E86" s="104">
        <f t="shared" ref="E86" si="724">E85/4</f>
        <v>0</v>
      </c>
      <c r="F86" s="105" t="e">
        <f t="shared" si="676"/>
        <v>#DIV/0!</v>
      </c>
      <c r="G86" s="272">
        <f t="shared" ref="G86" si="725">G85/4</f>
        <v>0</v>
      </c>
      <c r="H86" s="103">
        <f t="shared" si="677"/>
        <v>0</v>
      </c>
      <c r="I86" s="272">
        <f t="shared" ref="I86" si="726">I85/4</f>
        <v>0</v>
      </c>
      <c r="J86" s="105">
        <f t="shared" si="679"/>
        <v>0</v>
      </c>
      <c r="K86" s="272">
        <f t="shared" ref="K86" si="727">K85/4</f>
        <v>0</v>
      </c>
      <c r="L86" s="103">
        <f t="shared" si="677"/>
        <v>0</v>
      </c>
      <c r="M86" s="272">
        <f t="shared" ref="M86" si="728">M85/4</f>
        <v>0</v>
      </c>
      <c r="N86" s="105" t="e">
        <f t="shared" si="138"/>
        <v>#DIV/0!</v>
      </c>
      <c r="O86" s="272">
        <f t="shared" ref="O86" si="729">O85/4</f>
        <v>0</v>
      </c>
      <c r="P86" s="103">
        <f t="shared" si="677"/>
        <v>0</v>
      </c>
      <c r="Q86" s="272">
        <f t="shared" ref="Q86" si="730">Q85/4</f>
        <v>0</v>
      </c>
      <c r="R86" s="105">
        <f t="shared" si="680"/>
        <v>0</v>
      </c>
      <c r="S86" s="272">
        <f t="shared" ref="S86" si="731">S85/4</f>
        <v>0</v>
      </c>
      <c r="T86" s="103">
        <f t="shared" si="677"/>
        <v>0</v>
      </c>
      <c r="U86" s="272">
        <f t="shared" ref="U86" si="732">U85/4</f>
        <v>0</v>
      </c>
      <c r="V86" s="105">
        <f t="shared" si="681"/>
        <v>0</v>
      </c>
      <c r="W86" s="272">
        <f t="shared" ref="W86" si="733">W85/4</f>
        <v>0</v>
      </c>
      <c r="X86" s="103">
        <f t="shared" si="677"/>
        <v>0</v>
      </c>
      <c r="Y86" s="272">
        <f t="shared" ref="Y86" si="734">Y85/4</f>
        <v>0</v>
      </c>
      <c r="Z86" s="105">
        <f t="shared" si="682"/>
        <v>0</v>
      </c>
      <c r="AA86" s="272">
        <f t="shared" ref="AA86" si="735">AA85/4</f>
        <v>0</v>
      </c>
      <c r="AB86" s="103">
        <f t="shared" si="677"/>
        <v>0</v>
      </c>
      <c r="AC86" s="272">
        <f t="shared" ref="AC86" si="736">AC85/4</f>
        <v>0</v>
      </c>
      <c r="AD86" s="105">
        <f t="shared" si="683"/>
        <v>0</v>
      </c>
      <c r="AE86" s="272">
        <f t="shared" ref="AE86" si="737">AE85/4</f>
        <v>0</v>
      </c>
      <c r="AF86" s="103">
        <f t="shared" si="677"/>
        <v>0</v>
      </c>
      <c r="AG86" s="272">
        <f t="shared" ref="AG86" si="738">AG85/4</f>
        <v>0</v>
      </c>
      <c r="AH86" s="105">
        <f t="shared" si="684"/>
        <v>0</v>
      </c>
      <c r="AI86" s="272">
        <f t="shared" ref="AI86" si="739">AI85/4</f>
        <v>0</v>
      </c>
      <c r="AJ86" s="103">
        <f t="shared" si="677"/>
        <v>0</v>
      </c>
      <c r="AK86" s="272">
        <f t="shared" ref="AK86" si="740">AK85/4</f>
        <v>0</v>
      </c>
      <c r="AL86" s="105">
        <f t="shared" si="685"/>
        <v>0</v>
      </c>
      <c r="AM86" s="272">
        <f t="shared" ref="AM86" si="741">AM85/4</f>
        <v>0</v>
      </c>
      <c r="AN86" s="103">
        <f t="shared" si="677"/>
        <v>0</v>
      </c>
      <c r="AO86" s="272">
        <f t="shared" ref="AO86" si="742">AO85/4</f>
        <v>0</v>
      </c>
      <c r="AP86" s="105">
        <f t="shared" si="686"/>
        <v>0</v>
      </c>
      <c r="AQ86" s="272">
        <f t="shared" ref="AQ86" si="743">AQ85/4</f>
        <v>0</v>
      </c>
      <c r="AR86" s="103">
        <f t="shared" si="677"/>
        <v>0</v>
      </c>
      <c r="AS86" s="272">
        <f t="shared" ref="AS86" si="744">AS85/4</f>
        <v>0</v>
      </c>
      <c r="AT86" s="105">
        <f t="shared" si="687"/>
        <v>0</v>
      </c>
      <c r="AU86" s="272">
        <f t="shared" ref="AU86" si="745">AU85/4</f>
        <v>0</v>
      </c>
      <c r="AV86" s="103">
        <f t="shared" si="677"/>
        <v>0</v>
      </c>
      <c r="AW86" s="272">
        <f t="shared" ref="AW86" si="746">AW85/4</f>
        <v>0</v>
      </c>
      <c r="AX86" s="105">
        <f t="shared" si="688"/>
        <v>0</v>
      </c>
      <c r="AY86" s="272">
        <f t="shared" ref="AY86" si="747">AY85/4</f>
        <v>0</v>
      </c>
      <c r="AZ86" s="103">
        <f t="shared" si="677"/>
        <v>0</v>
      </c>
      <c r="BA86" s="272">
        <f t="shared" ref="BA86" si="748">BA85/4</f>
        <v>0</v>
      </c>
      <c r="BB86" s="105">
        <f t="shared" si="689"/>
        <v>0</v>
      </c>
      <c r="BC86" s="272">
        <f t="shared" ref="BC86" si="749">BC85/4</f>
        <v>0</v>
      </c>
      <c r="BD86" s="103">
        <f t="shared" si="677"/>
        <v>0</v>
      </c>
      <c r="BE86" s="272">
        <f t="shared" ref="BE86" si="750">BE85/4</f>
        <v>0</v>
      </c>
      <c r="BF86" s="105">
        <f t="shared" si="690"/>
        <v>0</v>
      </c>
      <c r="BG86" s="272">
        <f t="shared" ref="BG86" si="751">BG85/4</f>
        <v>0</v>
      </c>
      <c r="BH86" s="103">
        <f t="shared" si="677"/>
        <v>0</v>
      </c>
      <c r="BI86" s="272">
        <f t="shared" ref="BI86" si="752">BI85/4</f>
        <v>0</v>
      </c>
      <c r="BJ86" s="105">
        <f t="shared" si="691"/>
        <v>0</v>
      </c>
      <c r="BK86" s="272">
        <f t="shared" ref="BK86" si="753">BK85/4</f>
        <v>71555</v>
      </c>
      <c r="BL86" s="272">
        <f t="shared" ref="BL86" si="754">BL85/4</f>
        <v>71555</v>
      </c>
      <c r="BM86" s="272">
        <f t="shared" ref="BM86" si="755">BM85/4</f>
        <v>71386.5</v>
      </c>
      <c r="BN86" s="105">
        <f t="shared" si="692"/>
        <v>99.764516805254701</v>
      </c>
      <c r="BO86" s="272">
        <f t="shared" ref="BO86" si="756">BO85/4</f>
        <v>48915</v>
      </c>
      <c r="BP86" s="103">
        <f t="shared" si="677"/>
        <v>48915</v>
      </c>
      <c r="BQ86" s="272">
        <f t="shared" ref="BQ86" si="757">BQ85/4</f>
        <v>49311.625</v>
      </c>
      <c r="BR86" s="105">
        <f t="shared" si="693"/>
        <v>100.81084534396403</v>
      </c>
      <c r="BS86" s="249">
        <f t="shared" ref="BS86:BT86" si="758">BS85/4</f>
        <v>2849</v>
      </c>
      <c r="BT86" s="249">
        <f t="shared" si="758"/>
        <v>2849</v>
      </c>
      <c r="BU86" s="249">
        <f t="shared" ref="BU86" si="759">BU85/4</f>
        <v>2848.875</v>
      </c>
      <c r="BV86" s="105">
        <f t="shared" si="694"/>
        <v>99.995612495612491</v>
      </c>
      <c r="BW86" s="272">
        <f t="shared" ref="BW86:BX86" si="760">BW85/4</f>
        <v>60496.25</v>
      </c>
      <c r="BX86" s="103">
        <f t="shared" si="760"/>
        <v>60496.25</v>
      </c>
      <c r="BY86" s="272">
        <f t="shared" ref="BY86" si="761">BY85/4</f>
        <v>60254.625</v>
      </c>
      <c r="BZ86" s="105">
        <f t="shared" si="695"/>
        <v>99.600595078207334</v>
      </c>
      <c r="CA86" s="272">
        <f t="shared" ref="CA86:CB86" si="762">CA85/4</f>
        <v>49881.5</v>
      </c>
      <c r="CB86" s="103">
        <f t="shared" si="762"/>
        <v>49881.5</v>
      </c>
      <c r="CC86" s="272">
        <f t="shared" ref="CC86" si="763">CC85/4</f>
        <v>49065.625</v>
      </c>
      <c r="CD86" s="105">
        <f t="shared" si="696"/>
        <v>98.364373565349879</v>
      </c>
      <c r="CE86" s="272">
        <f t="shared" ref="CE86" si="764">CE85/4</f>
        <v>2662.5</v>
      </c>
      <c r="CF86" s="272">
        <f t="shared" ref="CF86" si="765">CF85/4</f>
        <v>2662.5</v>
      </c>
      <c r="CG86" s="272">
        <f t="shared" ref="CG86" si="766">CG85/4</f>
        <v>3055.875</v>
      </c>
      <c r="CH86" s="105">
        <f t="shared" si="697"/>
        <v>114.77464788732394</v>
      </c>
      <c r="CI86" s="272">
        <f t="shared" ref="CI86:CJ86" si="767">CI85/4</f>
        <v>1331.25</v>
      </c>
      <c r="CJ86" s="103">
        <f t="shared" si="767"/>
        <v>1331.25</v>
      </c>
      <c r="CK86" s="272">
        <f t="shared" ref="CK86" si="768">CK85/4</f>
        <v>1328</v>
      </c>
      <c r="CL86" s="105">
        <f t="shared" si="698"/>
        <v>99.755868544600929</v>
      </c>
      <c r="CM86" s="272">
        <f t="shared" ref="CM86:CN86" si="769">CM85/4</f>
        <v>1500</v>
      </c>
      <c r="CN86" s="272">
        <f t="shared" si="769"/>
        <v>1500</v>
      </c>
      <c r="CO86" s="272">
        <f t="shared" ref="CO86" si="770">CO85/4</f>
        <v>1136.375</v>
      </c>
      <c r="CP86" s="105">
        <f t="shared" si="699"/>
        <v>75.75833333333334</v>
      </c>
      <c r="CQ86" s="272">
        <f t="shared" ref="CQ86" si="771">CQ85/4</f>
        <v>1001.5</v>
      </c>
      <c r="CR86" s="103">
        <f t="shared" ref="CR86" si="772">CR85/4</f>
        <v>1001.5</v>
      </c>
      <c r="CS86" s="272">
        <f t="shared" ref="CS86" si="773">CS85/4</f>
        <v>1065.25</v>
      </c>
      <c r="CT86" s="105">
        <f t="shared" si="700"/>
        <v>106.36545182226659</v>
      </c>
      <c r="CU86" s="272">
        <f t="shared" ref="CU86" si="774">CU85/4</f>
        <v>13200</v>
      </c>
      <c r="CV86" s="103">
        <f t="shared" si="674"/>
        <v>13200</v>
      </c>
      <c r="CW86" s="272">
        <f t="shared" ref="CW86" si="775">CW85/4</f>
        <v>13185.625</v>
      </c>
      <c r="CX86" s="105">
        <f t="shared" si="701"/>
        <v>99.891098484848484</v>
      </c>
      <c r="CY86" s="272">
        <f t="shared" ref="CY86" si="776">CY85/4</f>
        <v>0</v>
      </c>
      <c r="CZ86" s="103">
        <f t="shared" si="674"/>
        <v>0</v>
      </c>
      <c r="DA86" s="272">
        <f t="shared" ref="DA86" si="777">DA85/4</f>
        <v>0</v>
      </c>
      <c r="DB86" s="105">
        <f t="shared" si="702"/>
        <v>0</v>
      </c>
      <c r="DC86" s="272">
        <f t="shared" ref="DC86" si="778">DC85/4</f>
        <v>0</v>
      </c>
      <c r="DD86" s="103">
        <f t="shared" si="674"/>
        <v>0</v>
      </c>
      <c r="DE86" s="272">
        <f t="shared" ref="DE86" si="779">DE85/4</f>
        <v>0</v>
      </c>
      <c r="DF86" s="105">
        <f t="shared" si="703"/>
        <v>0</v>
      </c>
      <c r="DG86" s="272">
        <f t="shared" ref="DG86" si="780">DG85/4</f>
        <v>0</v>
      </c>
      <c r="DH86" s="103">
        <f t="shared" si="674"/>
        <v>0</v>
      </c>
      <c r="DI86" s="272">
        <f t="shared" ref="DI86" si="781">DI85/4</f>
        <v>0</v>
      </c>
      <c r="DJ86" s="105" t="e">
        <f t="shared" si="139"/>
        <v>#DIV/0!</v>
      </c>
      <c r="DK86" s="272">
        <f t="shared" ref="DK86" si="782">DK85/4</f>
        <v>0</v>
      </c>
      <c r="DL86" s="103">
        <f t="shared" si="674"/>
        <v>0</v>
      </c>
      <c r="DM86" s="272">
        <f t="shared" ref="DM86" si="783">DM85/4</f>
        <v>0</v>
      </c>
      <c r="DN86" s="105">
        <f t="shared" si="704"/>
        <v>0</v>
      </c>
      <c r="DO86" s="272">
        <f t="shared" ref="DO86" si="784">DO85/4</f>
        <v>0</v>
      </c>
      <c r="DP86" s="103">
        <f t="shared" si="674"/>
        <v>0</v>
      </c>
      <c r="DQ86" s="272">
        <f t="shared" ref="DQ86" si="785">DQ85/4</f>
        <v>0</v>
      </c>
      <c r="DR86" s="105">
        <f t="shared" si="705"/>
        <v>0</v>
      </c>
      <c r="DS86" s="272">
        <f t="shared" ref="DS86" si="786">DS85/4</f>
        <v>0</v>
      </c>
      <c r="DT86" s="103">
        <f t="shared" si="674"/>
        <v>0</v>
      </c>
      <c r="DU86" s="272">
        <f t="shared" ref="DU86" si="787">DU85/4</f>
        <v>0</v>
      </c>
      <c r="DV86" s="105" t="e">
        <f t="shared" si="140"/>
        <v>#DIV/0!</v>
      </c>
      <c r="DW86" s="272">
        <f t="shared" ref="DW86" si="788">DW85/4</f>
        <v>0</v>
      </c>
      <c r="DX86" s="103">
        <f t="shared" si="678"/>
        <v>0</v>
      </c>
      <c r="DY86" s="272">
        <f t="shared" ref="DY86" si="789">DY85/4</f>
        <v>0</v>
      </c>
      <c r="DZ86" s="105" t="e">
        <f t="shared" si="142"/>
        <v>#DIV/0!</v>
      </c>
      <c r="EA86" s="272">
        <f t="shared" ref="EA86" si="790">EA85/4</f>
        <v>0</v>
      </c>
      <c r="EB86" s="103">
        <f t="shared" si="678"/>
        <v>0</v>
      </c>
      <c r="EC86" s="272">
        <f t="shared" ref="EC86" si="791">EC85/4</f>
        <v>0</v>
      </c>
      <c r="ED86" s="105">
        <f t="shared" si="706"/>
        <v>0</v>
      </c>
      <c r="EE86" s="272">
        <f t="shared" ref="EE86" si="792">EE85/4</f>
        <v>0</v>
      </c>
      <c r="EF86" s="103">
        <f t="shared" si="678"/>
        <v>0</v>
      </c>
      <c r="EG86" s="272">
        <f t="shared" ref="EG86" si="793">EG85/4</f>
        <v>0</v>
      </c>
      <c r="EH86" s="105">
        <f t="shared" si="707"/>
        <v>0</v>
      </c>
      <c r="EI86" s="272">
        <f t="shared" ref="EI86:EJ86" si="794">EI85/4</f>
        <v>13328</v>
      </c>
      <c r="EJ86" s="272">
        <f t="shared" si="794"/>
        <v>13328</v>
      </c>
      <c r="EK86" s="272">
        <f t="shared" ref="EK86" si="795">EK85/4</f>
        <v>13863.5625</v>
      </c>
      <c r="EL86" s="105">
        <f t="shared" si="708"/>
        <v>104.01832608043217</v>
      </c>
      <c r="EM86" s="272">
        <f t="shared" ref="EM86" si="796">EM85/4</f>
        <v>0</v>
      </c>
      <c r="EN86" s="103">
        <f t="shared" si="678"/>
        <v>0</v>
      </c>
      <c r="EO86" s="272">
        <f t="shared" ref="EO86" si="797">EO85/4</f>
        <v>0</v>
      </c>
      <c r="EP86" s="105">
        <f t="shared" si="709"/>
        <v>0</v>
      </c>
      <c r="EQ86" s="272">
        <f t="shared" ref="EQ86" si="798">EQ85/4</f>
        <v>0</v>
      </c>
      <c r="ER86" s="103">
        <f t="shared" si="678"/>
        <v>0</v>
      </c>
      <c r="ES86" s="272">
        <f t="shared" ref="ES86" si="799">ES85/4</f>
        <v>0</v>
      </c>
      <c r="ET86" s="105">
        <f t="shared" si="710"/>
        <v>0</v>
      </c>
      <c r="EU86" s="272">
        <f t="shared" ref="EU86" si="800">EU85/4</f>
        <v>0</v>
      </c>
      <c r="EV86" s="103">
        <f t="shared" si="678"/>
        <v>0</v>
      </c>
      <c r="EW86" s="272">
        <f t="shared" ref="EW86" si="801">EW85/4</f>
        <v>0</v>
      </c>
      <c r="EX86" s="105">
        <f t="shared" si="711"/>
        <v>0</v>
      </c>
      <c r="EY86" s="271">
        <f t="shared" si="712"/>
        <v>266720</v>
      </c>
      <c r="EZ86" s="271">
        <f t="shared" si="713"/>
        <v>266720</v>
      </c>
      <c r="FA86" s="271">
        <f t="shared" si="713"/>
        <v>266501.9375</v>
      </c>
      <c r="FB86" s="152">
        <f t="shared" si="714"/>
        <v>99.918242913917226</v>
      </c>
      <c r="FC86" s="131">
        <f>SUM(FA83,FA86)</f>
        <v>1137287.5375000001</v>
      </c>
      <c r="FD86" s="131">
        <f>EZ86</f>
        <v>266720</v>
      </c>
    </row>
    <row r="87" spans="1:160" ht="15.75" x14ac:dyDescent="0.25">
      <c r="A87" s="94" t="s">
        <v>179</v>
      </c>
      <c r="B87" s="189"/>
      <c r="C87" s="96">
        <f t="shared" ref="C87" si="802">SUM(C86,C83)</f>
        <v>0</v>
      </c>
      <c r="D87" s="97">
        <f t="shared" si="675"/>
        <v>0</v>
      </c>
      <c r="E87" s="98">
        <f t="shared" ref="E87" si="803">SUM(E86,E83)</f>
        <v>0</v>
      </c>
      <c r="F87" s="99" t="e">
        <f t="shared" si="676"/>
        <v>#DIV/0!</v>
      </c>
      <c r="G87" s="214">
        <f t="shared" ref="G87:H87" si="804">SUM(G86,G83)</f>
        <v>21823</v>
      </c>
      <c r="H87" s="214">
        <f t="shared" si="804"/>
        <v>21823</v>
      </c>
      <c r="I87" s="214">
        <f t="shared" ref="I87:BQ87" si="805">SUM(I86,I83)</f>
        <v>20769</v>
      </c>
      <c r="J87" s="99">
        <f t="shared" si="679"/>
        <v>95.170233240159462</v>
      </c>
      <c r="K87" s="214">
        <f t="shared" ref="K87" si="806">SUM(K86,K83)</f>
        <v>0</v>
      </c>
      <c r="L87" s="97">
        <f t="shared" si="677"/>
        <v>0</v>
      </c>
      <c r="M87" s="214">
        <f t="shared" si="805"/>
        <v>0</v>
      </c>
      <c r="N87" s="99" t="e">
        <f t="shared" si="138"/>
        <v>#DIV/0!</v>
      </c>
      <c r="O87" s="214">
        <f t="shared" ref="O87:P87" si="807">SUM(O86,O83)</f>
        <v>22894</v>
      </c>
      <c r="P87" s="214">
        <f t="shared" si="807"/>
        <v>22894</v>
      </c>
      <c r="Q87" s="214">
        <f t="shared" si="805"/>
        <v>22800</v>
      </c>
      <c r="R87" s="99">
        <f t="shared" si="680"/>
        <v>99.589412073032236</v>
      </c>
      <c r="S87" s="214">
        <f t="shared" ref="S87:T87" si="808">SUM(S86,S83)</f>
        <v>13650</v>
      </c>
      <c r="T87" s="214">
        <f t="shared" si="808"/>
        <v>13650</v>
      </c>
      <c r="U87" s="214">
        <f t="shared" si="805"/>
        <v>12569</v>
      </c>
      <c r="V87" s="99">
        <f t="shared" si="681"/>
        <v>92.080586080586073</v>
      </c>
      <c r="W87" s="214">
        <f t="shared" ref="W87:X87" si="809">SUM(W86,W83)</f>
        <v>22938</v>
      </c>
      <c r="X87" s="214">
        <f t="shared" si="809"/>
        <v>22938</v>
      </c>
      <c r="Y87" s="214">
        <f t="shared" si="805"/>
        <v>20967</v>
      </c>
      <c r="Z87" s="99">
        <f t="shared" si="682"/>
        <v>91.407271776092074</v>
      </c>
      <c r="AA87" s="214">
        <f t="shared" ref="AA87:AB87" si="810">SUM(AA86,AA83)</f>
        <v>26974</v>
      </c>
      <c r="AB87" s="214">
        <f t="shared" si="810"/>
        <v>26974</v>
      </c>
      <c r="AC87" s="214">
        <f t="shared" si="805"/>
        <v>28014</v>
      </c>
      <c r="AD87" s="99">
        <f t="shared" si="683"/>
        <v>103.85556461778009</v>
      </c>
      <c r="AE87" s="214">
        <f t="shared" ref="AE87:AF87" si="811">SUM(AE86,AE83)</f>
        <v>18203.952499999999</v>
      </c>
      <c r="AF87" s="214">
        <f t="shared" si="811"/>
        <v>18203.952499999999</v>
      </c>
      <c r="AG87" s="214">
        <f t="shared" si="805"/>
        <v>25566</v>
      </c>
      <c r="AH87" s="99">
        <f t="shared" si="684"/>
        <v>140.44202763108726</v>
      </c>
      <c r="AI87" s="214">
        <f t="shared" ref="AI87:AJ87" si="812">SUM(AI86,AI83)</f>
        <v>41155</v>
      </c>
      <c r="AJ87" s="214">
        <f t="shared" si="812"/>
        <v>41155</v>
      </c>
      <c r="AK87" s="214">
        <f t="shared" si="805"/>
        <v>36661</v>
      </c>
      <c r="AL87" s="99">
        <f t="shared" si="685"/>
        <v>89.080306159640386</v>
      </c>
      <c r="AM87" s="214">
        <f t="shared" ref="AM87:AN87" si="813">SUM(AM86,AM83)</f>
        <v>13990</v>
      </c>
      <c r="AN87" s="214">
        <f t="shared" si="813"/>
        <v>13990</v>
      </c>
      <c r="AO87" s="214">
        <f t="shared" si="805"/>
        <v>17308</v>
      </c>
      <c r="AP87" s="99">
        <f t="shared" si="686"/>
        <v>123.7169406719085</v>
      </c>
      <c r="AQ87" s="214">
        <f t="shared" ref="AQ87:AR87" si="814">SUM(AQ86,AQ83)</f>
        <v>14839</v>
      </c>
      <c r="AR87" s="214">
        <f t="shared" si="814"/>
        <v>14839</v>
      </c>
      <c r="AS87" s="214">
        <f t="shared" si="805"/>
        <v>13608</v>
      </c>
      <c r="AT87" s="99">
        <f t="shared" si="687"/>
        <v>91.704292742098531</v>
      </c>
      <c r="AU87" s="214">
        <f t="shared" ref="AU87:AV87" si="815">SUM(AU86,AU83)</f>
        <v>53366</v>
      </c>
      <c r="AV87" s="214">
        <f t="shared" si="815"/>
        <v>53366</v>
      </c>
      <c r="AW87" s="214">
        <f t="shared" si="805"/>
        <v>66394</v>
      </c>
      <c r="AX87" s="99">
        <f t="shared" si="688"/>
        <v>124.4125473147697</v>
      </c>
      <c r="AY87" s="214">
        <f t="shared" ref="AY87:AZ87" si="816">SUM(AY86,AY83)</f>
        <v>32153.5</v>
      </c>
      <c r="AZ87" s="214">
        <f t="shared" si="816"/>
        <v>32153.5</v>
      </c>
      <c r="BA87" s="214">
        <f t="shared" si="805"/>
        <v>58854</v>
      </c>
      <c r="BB87" s="99">
        <f t="shared" si="689"/>
        <v>183.04072651499837</v>
      </c>
      <c r="BC87" s="214">
        <f t="shared" ref="BC87:BD87" si="817">SUM(BC86,BC83)</f>
        <v>38089</v>
      </c>
      <c r="BD87" s="214">
        <f t="shared" si="817"/>
        <v>38089</v>
      </c>
      <c r="BE87" s="214">
        <f t="shared" si="805"/>
        <v>47635</v>
      </c>
      <c r="BF87" s="99">
        <f t="shared" si="690"/>
        <v>125.06235396046101</v>
      </c>
      <c r="BG87" s="214">
        <f t="shared" ref="BG87:BH87" si="818">SUM(BG86,BG83)</f>
        <v>25093</v>
      </c>
      <c r="BH87" s="214">
        <f t="shared" si="818"/>
        <v>25093</v>
      </c>
      <c r="BI87" s="214">
        <f t="shared" si="805"/>
        <v>35213</v>
      </c>
      <c r="BJ87" s="99">
        <f t="shared" si="691"/>
        <v>140.32997250229147</v>
      </c>
      <c r="BK87" s="214">
        <f t="shared" ref="BK87:BL87" si="819">SUM(BK86,BK83)</f>
        <v>71555</v>
      </c>
      <c r="BL87" s="97">
        <f t="shared" si="819"/>
        <v>71555</v>
      </c>
      <c r="BM87" s="214">
        <f t="shared" si="805"/>
        <v>71386.5</v>
      </c>
      <c r="BN87" s="99">
        <f t="shared" si="692"/>
        <v>99.764516805254701</v>
      </c>
      <c r="BO87" s="214">
        <f t="shared" ref="BO87" si="820">SUM(BO86,BO83)</f>
        <v>48915</v>
      </c>
      <c r="BP87" s="97">
        <f t="shared" si="677"/>
        <v>48915</v>
      </c>
      <c r="BQ87" s="214">
        <f t="shared" si="805"/>
        <v>49311.625</v>
      </c>
      <c r="BR87" s="99">
        <f t="shared" si="693"/>
        <v>100.81084534396403</v>
      </c>
      <c r="BS87" s="323">
        <f t="shared" ref="BS87:BT87" si="821">SUM(BS86,BS83)</f>
        <v>2849</v>
      </c>
      <c r="BT87" s="323">
        <f t="shared" si="821"/>
        <v>2849</v>
      </c>
      <c r="BU87" s="323">
        <f t="shared" ref="BU87:DY87" si="822">SUM(BU86,BU83)</f>
        <v>2848.875</v>
      </c>
      <c r="BV87" s="99">
        <f t="shared" si="694"/>
        <v>99.995612495612491</v>
      </c>
      <c r="BW87" s="214">
        <f t="shared" ref="BW87:BX87" si="823">SUM(BW86,BW83)</f>
        <v>60496.25</v>
      </c>
      <c r="BX87" s="97">
        <f t="shared" si="823"/>
        <v>60496.25</v>
      </c>
      <c r="BY87" s="214">
        <f t="shared" si="822"/>
        <v>60254.625</v>
      </c>
      <c r="BZ87" s="99">
        <f t="shared" si="695"/>
        <v>99.600595078207334</v>
      </c>
      <c r="CA87" s="214">
        <f t="shared" ref="CA87:CB87" si="824">SUM(CA86,CA83)</f>
        <v>49881.5</v>
      </c>
      <c r="CB87" s="97">
        <f t="shared" si="824"/>
        <v>49881.5</v>
      </c>
      <c r="CC87" s="214">
        <f t="shared" si="822"/>
        <v>49065.625</v>
      </c>
      <c r="CD87" s="99">
        <f t="shared" si="696"/>
        <v>98.364373565349879</v>
      </c>
      <c r="CE87" s="214">
        <f t="shared" ref="CE87" si="825">SUM(CE86,CE83)</f>
        <v>141380.1</v>
      </c>
      <c r="CF87" s="214">
        <f t="shared" ref="CF87" si="826">SUM(CF86,CF83)</f>
        <v>141380.1</v>
      </c>
      <c r="CG87" s="214">
        <f t="shared" si="822"/>
        <v>140476.67499999999</v>
      </c>
      <c r="CH87" s="99">
        <f t="shared" si="697"/>
        <v>99.36099564224385</v>
      </c>
      <c r="CI87" s="214">
        <f t="shared" ref="CI87" si="827">SUM(CI86,CI83)</f>
        <v>61280</v>
      </c>
      <c r="CJ87" s="214">
        <f t="shared" ref="CJ87" si="828">SUM(CJ86,CJ83)</f>
        <v>61280</v>
      </c>
      <c r="CK87" s="214">
        <f t="shared" si="822"/>
        <v>61340.4</v>
      </c>
      <c r="CL87" s="99">
        <f t="shared" si="698"/>
        <v>100.0985639686684</v>
      </c>
      <c r="CM87" s="214">
        <f t="shared" ref="CM87:CN87" si="829">SUM(CM86,CM83)</f>
        <v>41399.199999999997</v>
      </c>
      <c r="CN87" s="214">
        <f t="shared" si="829"/>
        <v>41399.199999999997</v>
      </c>
      <c r="CO87" s="214">
        <f t="shared" si="822"/>
        <v>42730.175000000003</v>
      </c>
      <c r="CP87" s="99">
        <f t="shared" si="699"/>
        <v>103.21497758410791</v>
      </c>
      <c r="CQ87" s="214">
        <f t="shared" ref="CQ87" si="830">SUM(CQ86,CQ83)</f>
        <v>1001.5</v>
      </c>
      <c r="CR87" s="97">
        <f t="shared" ref="CR87" si="831">SUM(CR86,CR83)</f>
        <v>1001.5</v>
      </c>
      <c r="CS87" s="214">
        <f t="shared" si="822"/>
        <v>1065.25</v>
      </c>
      <c r="CT87" s="99">
        <f t="shared" si="700"/>
        <v>106.36545182226659</v>
      </c>
      <c r="CU87" s="214">
        <f t="shared" ref="CU87" si="832">SUM(CU86,CU83)</f>
        <v>13200</v>
      </c>
      <c r="CV87" s="97">
        <f t="shared" si="674"/>
        <v>13200</v>
      </c>
      <c r="CW87" s="214">
        <f t="shared" si="822"/>
        <v>13185.625</v>
      </c>
      <c r="CX87" s="99">
        <f t="shared" si="701"/>
        <v>99.891098484848484</v>
      </c>
      <c r="CY87" s="214">
        <f t="shared" ref="CY87:CZ87" si="833">SUM(CY86,CY83)</f>
        <v>833</v>
      </c>
      <c r="CZ87" s="214">
        <f t="shared" si="833"/>
        <v>833</v>
      </c>
      <c r="DA87" s="214">
        <f t="shared" si="822"/>
        <v>824</v>
      </c>
      <c r="DB87" s="99">
        <f t="shared" si="702"/>
        <v>98.919567827130848</v>
      </c>
      <c r="DC87" s="214">
        <f t="shared" ref="DC87" si="834">SUM(DC86,DC83)</f>
        <v>100</v>
      </c>
      <c r="DD87" s="97">
        <f t="shared" si="674"/>
        <v>100</v>
      </c>
      <c r="DE87" s="214">
        <f t="shared" si="822"/>
        <v>9</v>
      </c>
      <c r="DF87" s="99">
        <f t="shared" si="703"/>
        <v>9</v>
      </c>
      <c r="DG87" s="214">
        <f t="shared" ref="DG87" si="835">SUM(DG86,DG83)</f>
        <v>0</v>
      </c>
      <c r="DH87" s="97">
        <f t="shared" si="674"/>
        <v>0</v>
      </c>
      <c r="DI87" s="214">
        <f t="shared" si="822"/>
        <v>0</v>
      </c>
      <c r="DJ87" s="99" t="e">
        <f t="shared" si="139"/>
        <v>#DIV/0!</v>
      </c>
      <c r="DK87" s="214">
        <f t="shared" ref="DK87:DL87" si="836">SUM(DK86,DK83)</f>
        <v>77384.399999999994</v>
      </c>
      <c r="DL87" s="214">
        <f t="shared" si="836"/>
        <v>77384.399999999994</v>
      </c>
      <c r="DM87" s="214">
        <f t="shared" si="822"/>
        <v>83172</v>
      </c>
      <c r="DN87" s="99">
        <f t="shared" si="704"/>
        <v>107.47902678059145</v>
      </c>
      <c r="DO87" s="214">
        <f t="shared" ref="DO87:DP87" si="837">SUM(DO86,DO83)</f>
        <v>65026</v>
      </c>
      <c r="DP87" s="214">
        <f t="shared" si="837"/>
        <v>65026</v>
      </c>
      <c r="DQ87" s="214">
        <f t="shared" si="822"/>
        <v>83518</v>
      </c>
      <c r="DR87" s="99">
        <f t="shared" si="705"/>
        <v>128.43785562697997</v>
      </c>
      <c r="DS87" s="214">
        <f t="shared" ref="DS87" si="838">SUM(DS86,DS83)</f>
        <v>0</v>
      </c>
      <c r="DT87" s="97">
        <f t="shared" si="674"/>
        <v>0</v>
      </c>
      <c r="DU87" s="214">
        <f t="shared" si="822"/>
        <v>0</v>
      </c>
      <c r="DV87" s="99" t="e">
        <f t="shared" si="140"/>
        <v>#DIV/0!</v>
      </c>
      <c r="DW87" s="214">
        <f t="shared" ref="DW87" si="839">SUM(DW86,DW83)</f>
        <v>0</v>
      </c>
      <c r="DX87" s="97">
        <f t="shared" si="678"/>
        <v>0</v>
      </c>
      <c r="DY87" s="214">
        <f t="shared" si="822"/>
        <v>0</v>
      </c>
      <c r="DZ87" s="99" t="e">
        <f t="shared" si="142"/>
        <v>#DIV/0!</v>
      </c>
      <c r="EA87" s="214">
        <f t="shared" ref="EA87:EC87" si="840">SUM(EA86,EA83)</f>
        <v>3651</v>
      </c>
      <c r="EB87" s="214">
        <f t="shared" si="840"/>
        <v>3651</v>
      </c>
      <c r="EC87" s="214">
        <f t="shared" si="840"/>
        <v>4007</v>
      </c>
      <c r="ED87" s="99">
        <f t="shared" si="706"/>
        <v>109.75075321829635</v>
      </c>
      <c r="EE87" s="214">
        <f t="shared" ref="EE87:EF87" si="841">SUM(EE86,EE83)</f>
        <v>43139</v>
      </c>
      <c r="EF87" s="214">
        <f t="shared" si="841"/>
        <v>43139</v>
      </c>
      <c r="EG87" s="214">
        <f t="shared" ref="EG87:EW87" si="842">SUM(EG86,EG83)</f>
        <v>50816</v>
      </c>
      <c r="EH87" s="99">
        <f t="shared" si="707"/>
        <v>117.79596189063261</v>
      </c>
      <c r="EI87" s="214">
        <f t="shared" ref="EI87:EJ87" si="843">SUM(EI86,EI83)</f>
        <v>14167</v>
      </c>
      <c r="EJ87" s="214">
        <f t="shared" si="843"/>
        <v>14167</v>
      </c>
      <c r="EK87" s="214">
        <f t="shared" si="842"/>
        <v>14490.5625</v>
      </c>
      <c r="EL87" s="99">
        <f t="shared" si="708"/>
        <v>102.28391684901533</v>
      </c>
      <c r="EM87" s="214">
        <f t="shared" ref="EM87:EN87" si="844">SUM(EM86,EM83)</f>
        <v>1981</v>
      </c>
      <c r="EN87" s="214">
        <f t="shared" si="844"/>
        <v>1981</v>
      </c>
      <c r="EO87" s="214">
        <f t="shared" si="842"/>
        <v>1158.4000000000001</v>
      </c>
      <c r="EP87" s="99">
        <f t="shared" si="709"/>
        <v>58.475517415446753</v>
      </c>
      <c r="EQ87" s="214">
        <f t="shared" ref="EQ87" si="845">SUM(EQ86,EQ83)</f>
        <v>1240</v>
      </c>
      <c r="ER87" s="97">
        <f t="shared" si="678"/>
        <v>1240</v>
      </c>
      <c r="ES87" s="214">
        <f t="shared" si="842"/>
        <v>1096.2</v>
      </c>
      <c r="ET87" s="99">
        <f t="shared" si="710"/>
        <v>88.403225806451616</v>
      </c>
      <c r="EU87" s="214">
        <f t="shared" ref="EU87" si="846">SUM(EU86,EU83)</f>
        <v>300</v>
      </c>
      <c r="EV87" s="97">
        <f t="shared" si="678"/>
        <v>300</v>
      </c>
      <c r="EW87" s="214">
        <f t="shared" si="842"/>
        <v>173</v>
      </c>
      <c r="EX87" s="99">
        <f t="shared" si="711"/>
        <v>57.666666666666664</v>
      </c>
      <c r="EY87" s="152">
        <f t="shared" si="712"/>
        <v>1044947.4025</v>
      </c>
      <c r="EZ87" s="152">
        <f t="shared" si="713"/>
        <v>1044947.4025</v>
      </c>
      <c r="FA87" s="152">
        <f t="shared" si="713"/>
        <v>1137287.5375000001</v>
      </c>
      <c r="FB87" s="152">
        <f t="shared" si="714"/>
        <v>108.83682133465086</v>
      </c>
    </row>
    <row r="88" spans="1:160" ht="15.75" x14ac:dyDescent="0.25">
      <c r="A88" s="94"/>
      <c r="B88" s="95"/>
      <c r="C88" s="96"/>
      <c r="D88" s="97">
        <f t="shared" si="675"/>
        <v>0</v>
      </c>
      <c r="E88" s="98"/>
      <c r="F88" s="99" t="e">
        <f t="shared" si="676"/>
        <v>#DIV/0!</v>
      </c>
      <c r="G88" s="214"/>
      <c r="H88" s="97">
        <f t="shared" si="677"/>
        <v>0</v>
      </c>
      <c r="I88" s="214"/>
      <c r="J88" s="99">
        <f t="shared" si="679"/>
        <v>0</v>
      </c>
      <c r="K88" s="214"/>
      <c r="L88" s="97">
        <f t="shared" si="677"/>
        <v>0</v>
      </c>
      <c r="M88" s="214"/>
      <c r="N88" s="99" t="e">
        <f t="shared" si="138"/>
        <v>#DIV/0!</v>
      </c>
      <c r="O88" s="214"/>
      <c r="P88" s="97">
        <f t="shared" si="677"/>
        <v>0</v>
      </c>
      <c r="Q88" s="214"/>
      <c r="R88" s="99">
        <f t="shared" si="680"/>
        <v>0</v>
      </c>
      <c r="S88" s="214"/>
      <c r="T88" s="97">
        <f t="shared" si="677"/>
        <v>0</v>
      </c>
      <c r="U88" s="214"/>
      <c r="V88" s="99">
        <f t="shared" si="681"/>
        <v>0</v>
      </c>
      <c r="W88" s="214"/>
      <c r="X88" s="97">
        <f t="shared" si="677"/>
        <v>0</v>
      </c>
      <c r="Y88" s="214"/>
      <c r="Z88" s="99">
        <f t="shared" si="682"/>
        <v>0</v>
      </c>
      <c r="AA88" s="214"/>
      <c r="AB88" s="97">
        <f t="shared" si="677"/>
        <v>0</v>
      </c>
      <c r="AC88" s="214"/>
      <c r="AD88" s="99">
        <f t="shared" si="683"/>
        <v>0</v>
      </c>
      <c r="AE88" s="214"/>
      <c r="AF88" s="97">
        <f t="shared" si="677"/>
        <v>0</v>
      </c>
      <c r="AG88" s="214"/>
      <c r="AH88" s="99">
        <f t="shared" si="684"/>
        <v>0</v>
      </c>
      <c r="AI88" s="214"/>
      <c r="AJ88" s="97">
        <f t="shared" si="677"/>
        <v>0</v>
      </c>
      <c r="AK88" s="214"/>
      <c r="AL88" s="99">
        <f t="shared" si="685"/>
        <v>0</v>
      </c>
      <c r="AM88" s="214"/>
      <c r="AN88" s="97">
        <f t="shared" si="677"/>
        <v>0</v>
      </c>
      <c r="AO88" s="214"/>
      <c r="AP88" s="99">
        <f t="shared" si="686"/>
        <v>0</v>
      </c>
      <c r="AQ88" s="214"/>
      <c r="AR88" s="97">
        <f t="shared" si="677"/>
        <v>0</v>
      </c>
      <c r="AS88" s="214"/>
      <c r="AT88" s="99">
        <f t="shared" si="687"/>
        <v>0</v>
      </c>
      <c r="AU88" s="214"/>
      <c r="AV88" s="97">
        <f t="shared" si="677"/>
        <v>0</v>
      </c>
      <c r="AW88" s="214"/>
      <c r="AX88" s="99">
        <f t="shared" si="688"/>
        <v>0</v>
      </c>
      <c r="AY88" s="214"/>
      <c r="AZ88" s="97">
        <f t="shared" si="677"/>
        <v>0</v>
      </c>
      <c r="BA88" s="214"/>
      <c r="BB88" s="99">
        <f t="shared" si="689"/>
        <v>0</v>
      </c>
      <c r="BC88" s="214"/>
      <c r="BD88" s="97">
        <f t="shared" si="677"/>
        <v>0</v>
      </c>
      <c r="BE88" s="214"/>
      <c r="BF88" s="99">
        <f t="shared" si="690"/>
        <v>0</v>
      </c>
      <c r="BG88" s="214"/>
      <c r="BH88" s="97">
        <f t="shared" si="677"/>
        <v>0</v>
      </c>
      <c r="BI88" s="214"/>
      <c r="BJ88" s="99">
        <f t="shared" si="691"/>
        <v>0</v>
      </c>
      <c r="BK88" s="214"/>
      <c r="BL88" s="97">
        <f t="shared" si="677"/>
        <v>0</v>
      </c>
      <c r="BM88" s="214"/>
      <c r="BN88" s="99">
        <f t="shared" si="692"/>
        <v>0</v>
      </c>
      <c r="BO88" s="214"/>
      <c r="BP88" s="97">
        <f t="shared" si="677"/>
        <v>0</v>
      </c>
      <c r="BQ88" s="214"/>
      <c r="BR88" s="99">
        <f t="shared" si="693"/>
        <v>0</v>
      </c>
      <c r="BS88" s="323"/>
      <c r="BT88" s="248">
        <f t="shared" si="674"/>
        <v>0</v>
      </c>
      <c r="BU88" s="323"/>
      <c r="BV88" s="99">
        <f t="shared" si="694"/>
        <v>0</v>
      </c>
      <c r="BW88" s="214"/>
      <c r="BX88" s="97">
        <f t="shared" si="674"/>
        <v>0</v>
      </c>
      <c r="BY88" s="214"/>
      <c r="BZ88" s="99">
        <f t="shared" si="695"/>
        <v>0</v>
      </c>
      <c r="CA88" s="214"/>
      <c r="CB88" s="97">
        <f t="shared" si="674"/>
        <v>0</v>
      </c>
      <c r="CC88" s="214"/>
      <c r="CD88" s="99">
        <f t="shared" si="696"/>
        <v>0</v>
      </c>
      <c r="CE88" s="214"/>
      <c r="CF88" s="97"/>
      <c r="CG88" s="214"/>
      <c r="CH88" s="99">
        <f t="shared" si="697"/>
        <v>0</v>
      </c>
      <c r="CI88" s="214"/>
      <c r="CJ88" s="97">
        <f t="shared" si="674"/>
        <v>0</v>
      </c>
      <c r="CK88" s="214"/>
      <c r="CL88" s="99">
        <f t="shared" si="698"/>
        <v>0</v>
      </c>
      <c r="CM88" s="214"/>
      <c r="CN88" s="97">
        <f t="shared" si="674"/>
        <v>0</v>
      </c>
      <c r="CO88" s="214"/>
      <c r="CP88" s="99">
        <f t="shared" si="699"/>
        <v>0</v>
      </c>
      <c r="CQ88" s="214"/>
      <c r="CR88" s="97">
        <f t="shared" si="674"/>
        <v>0</v>
      </c>
      <c r="CS88" s="214"/>
      <c r="CT88" s="99">
        <f t="shared" si="700"/>
        <v>0</v>
      </c>
      <c r="CU88" s="214"/>
      <c r="CV88" s="97">
        <f t="shared" si="674"/>
        <v>0</v>
      </c>
      <c r="CW88" s="214"/>
      <c r="CX88" s="99">
        <f t="shared" si="701"/>
        <v>0</v>
      </c>
      <c r="CY88" s="214"/>
      <c r="CZ88" s="97">
        <f t="shared" si="674"/>
        <v>0</v>
      </c>
      <c r="DA88" s="214"/>
      <c r="DB88" s="99">
        <f t="shared" si="702"/>
        <v>0</v>
      </c>
      <c r="DC88" s="214"/>
      <c r="DD88" s="97">
        <f t="shared" si="674"/>
        <v>0</v>
      </c>
      <c r="DE88" s="214"/>
      <c r="DF88" s="99">
        <f t="shared" si="703"/>
        <v>0</v>
      </c>
      <c r="DG88" s="214"/>
      <c r="DH88" s="97">
        <f t="shared" si="674"/>
        <v>0</v>
      </c>
      <c r="DI88" s="214"/>
      <c r="DJ88" s="99" t="e">
        <f t="shared" si="139"/>
        <v>#DIV/0!</v>
      </c>
      <c r="DK88" s="214"/>
      <c r="DL88" s="97">
        <f t="shared" si="674"/>
        <v>0</v>
      </c>
      <c r="DM88" s="214"/>
      <c r="DN88" s="99">
        <f t="shared" si="704"/>
        <v>0</v>
      </c>
      <c r="DO88" s="214"/>
      <c r="DP88" s="97">
        <f t="shared" si="674"/>
        <v>0</v>
      </c>
      <c r="DQ88" s="214"/>
      <c r="DR88" s="99">
        <f t="shared" si="705"/>
        <v>0</v>
      </c>
      <c r="DS88" s="214"/>
      <c r="DT88" s="97">
        <f t="shared" si="674"/>
        <v>0</v>
      </c>
      <c r="DU88" s="214"/>
      <c r="DV88" s="99" t="e">
        <f t="shared" si="140"/>
        <v>#DIV/0!</v>
      </c>
      <c r="DW88" s="214"/>
      <c r="DX88" s="97">
        <f t="shared" si="678"/>
        <v>0</v>
      </c>
      <c r="DY88" s="214"/>
      <c r="DZ88" s="99" t="e">
        <f t="shared" si="142"/>
        <v>#DIV/0!</v>
      </c>
      <c r="EA88" s="214"/>
      <c r="EB88" s="97">
        <f t="shared" si="678"/>
        <v>0</v>
      </c>
      <c r="EC88" s="214"/>
      <c r="ED88" s="99">
        <f t="shared" si="706"/>
        <v>0</v>
      </c>
      <c r="EE88" s="214"/>
      <c r="EF88" s="97">
        <f t="shared" si="678"/>
        <v>0</v>
      </c>
      <c r="EG88" s="214"/>
      <c r="EH88" s="99">
        <f t="shared" si="707"/>
        <v>0</v>
      </c>
      <c r="EI88" s="214"/>
      <c r="EJ88" s="97">
        <f t="shared" si="678"/>
        <v>0</v>
      </c>
      <c r="EK88" s="214"/>
      <c r="EL88" s="99">
        <f t="shared" si="708"/>
        <v>0</v>
      </c>
      <c r="EM88" s="214"/>
      <c r="EN88" s="97">
        <f t="shared" si="678"/>
        <v>0</v>
      </c>
      <c r="EO88" s="214"/>
      <c r="EP88" s="99">
        <f t="shared" si="709"/>
        <v>0</v>
      </c>
      <c r="EQ88" s="214"/>
      <c r="ER88" s="97">
        <f t="shared" si="678"/>
        <v>0</v>
      </c>
      <c r="ES88" s="214"/>
      <c r="ET88" s="99">
        <f t="shared" si="710"/>
        <v>0</v>
      </c>
      <c r="EU88" s="214"/>
      <c r="EV88" s="97">
        <f t="shared" si="678"/>
        <v>0</v>
      </c>
      <c r="EW88" s="214"/>
      <c r="EX88" s="99">
        <f t="shared" si="711"/>
        <v>0</v>
      </c>
      <c r="EY88" s="152">
        <f t="shared" si="712"/>
        <v>0</v>
      </c>
      <c r="EZ88" s="152">
        <f t="shared" si="713"/>
        <v>0</v>
      </c>
      <c r="FA88" s="152">
        <f t="shared" si="713"/>
        <v>0</v>
      </c>
      <c r="FB88" s="152">
        <f t="shared" si="714"/>
        <v>0</v>
      </c>
    </row>
    <row r="89" spans="1:160" s="131" customFormat="1" ht="15.75" x14ac:dyDescent="0.25">
      <c r="A89" s="87" t="s">
        <v>180</v>
      </c>
      <c r="B89" s="108"/>
      <c r="C89" s="109">
        <f t="shared" ref="C89:E89" si="847">SUM(C87,C23)</f>
        <v>0</v>
      </c>
      <c r="D89" s="109">
        <f t="shared" si="847"/>
        <v>0</v>
      </c>
      <c r="E89" s="109">
        <f t="shared" si="847"/>
        <v>0</v>
      </c>
      <c r="F89" s="110" t="e">
        <f t="shared" si="676"/>
        <v>#DIV/0!</v>
      </c>
      <c r="G89" s="109">
        <f t="shared" ref="G89:I89" si="848">SUM(G87,G23)</f>
        <v>283557.59999999998</v>
      </c>
      <c r="H89" s="109">
        <f t="shared" si="848"/>
        <v>283557.59999999998</v>
      </c>
      <c r="I89" s="109">
        <f t="shared" si="848"/>
        <v>289141.80000000005</v>
      </c>
      <c r="J89" s="110">
        <f t="shared" si="679"/>
        <v>101.96933533081112</v>
      </c>
      <c r="K89" s="109">
        <f t="shared" ref="K89:M89" si="849">SUM(K87,K23)</f>
        <v>0</v>
      </c>
      <c r="L89" s="109">
        <f t="shared" si="849"/>
        <v>0</v>
      </c>
      <c r="M89" s="109">
        <f t="shared" si="849"/>
        <v>0</v>
      </c>
      <c r="N89" s="110" t="e">
        <f t="shared" si="138"/>
        <v>#DIV/0!</v>
      </c>
      <c r="O89" s="109">
        <f t="shared" ref="O89:Q89" si="850">SUM(O87,O23)</f>
        <v>321220.2</v>
      </c>
      <c r="P89" s="109">
        <f t="shared" si="850"/>
        <v>321220.2</v>
      </c>
      <c r="Q89" s="109">
        <f t="shared" si="850"/>
        <v>348260.4</v>
      </c>
      <c r="R89" s="110">
        <f t="shared" si="680"/>
        <v>108.41796375196829</v>
      </c>
      <c r="S89" s="109">
        <f t="shared" ref="S89:U89" si="851">SUM(S87,S23)</f>
        <v>189657.60000000001</v>
      </c>
      <c r="T89" s="109">
        <f t="shared" si="851"/>
        <v>189657.60000000001</v>
      </c>
      <c r="U89" s="109">
        <f t="shared" si="851"/>
        <v>189621.4</v>
      </c>
      <c r="V89" s="110">
        <f t="shared" si="681"/>
        <v>99.98091297158669</v>
      </c>
      <c r="W89" s="109">
        <f t="shared" ref="W89:Y89" si="852">SUM(W87,W23)</f>
        <v>287919.80000000005</v>
      </c>
      <c r="X89" s="109">
        <f t="shared" si="852"/>
        <v>287919.80000000005</v>
      </c>
      <c r="Y89" s="109">
        <f t="shared" si="852"/>
        <v>290587</v>
      </c>
      <c r="Z89" s="110">
        <f t="shared" si="682"/>
        <v>100.92636907916716</v>
      </c>
      <c r="AA89" s="109">
        <f t="shared" ref="AA89:AC89" si="853">SUM(AA87,AA23)</f>
        <v>259362.40000000002</v>
      </c>
      <c r="AB89" s="109">
        <f t="shared" si="853"/>
        <v>259362.40000000002</v>
      </c>
      <c r="AC89" s="109">
        <f t="shared" si="853"/>
        <v>260863.6</v>
      </c>
      <c r="AD89" s="110">
        <f t="shared" si="683"/>
        <v>100.57880402093748</v>
      </c>
      <c r="AE89" s="109">
        <f t="shared" ref="AE89:AG89" si="854">SUM(AE87,AE23)</f>
        <v>183580.7525</v>
      </c>
      <c r="AF89" s="109">
        <f t="shared" si="854"/>
        <v>183580.7525</v>
      </c>
      <c r="AG89" s="109">
        <f t="shared" si="854"/>
        <v>191552.16250000001</v>
      </c>
      <c r="AH89" s="110">
        <f t="shared" si="684"/>
        <v>104.34218178727642</v>
      </c>
      <c r="AI89" s="109">
        <f t="shared" ref="AI89:AK89" si="855">SUM(AI87,AI23)</f>
        <v>708446.4</v>
      </c>
      <c r="AJ89" s="109">
        <f t="shared" si="855"/>
        <v>708446.4</v>
      </c>
      <c r="AK89" s="109">
        <f t="shared" si="855"/>
        <v>711799.75</v>
      </c>
      <c r="AL89" s="110">
        <f t="shared" si="685"/>
        <v>100.47333856167523</v>
      </c>
      <c r="AM89" s="109">
        <f t="shared" ref="AM89:AO89" si="856">SUM(AM87,AM23)</f>
        <v>176731</v>
      </c>
      <c r="AN89" s="109">
        <f t="shared" si="856"/>
        <v>176731</v>
      </c>
      <c r="AO89" s="109">
        <f t="shared" si="856"/>
        <v>196923.36250000002</v>
      </c>
      <c r="AP89" s="110">
        <f t="shared" si="686"/>
        <v>111.42547855214988</v>
      </c>
      <c r="AQ89" s="109">
        <f t="shared" ref="AQ89:AS89" si="857">SUM(AQ87,AQ23)</f>
        <v>228967.2</v>
      </c>
      <c r="AR89" s="109">
        <f t="shared" si="857"/>
        <v>228967.2</v>
      </c>
      <c r="AS89" s="109">
        <f t="shared" si="857"/>
        <v>204313.40000000002</v>
      </c>
      <c r="AT89" s="110">
        <f t="shared" si="687"/>
        <v>89.232606242291482</v>
      </c>
      <c r="AU89" s="109">
        <f t="shared" ref="AU89:AW89" si="858">SUM(AU87,AU23)</f>
        <v>316484.40000000002</v>
      </c>
      <c r="AV89" s="109">
        <f t="shared" si="858"/>
        <v>316484.40000000002</v>
      </c>
      <c r="AW89" s="109">
        <f t="shared" si="858"/>
        <v>301936.59999999998</v>
      </c>
      <c r="AX89" s="110">
        <f t="shared" si="688"/>
        <v>95.403312137975831</v>
      </c>
      <c r="AY89" s="109">
        <f t="shared" ref="AY89:BA89" si="859">SUM(AY87,AY23)</f>
        <v>280717.09999999998</v>
      </c>
      <c r="AZ89" s="109">
        <f t="shared" si="859"/>
        <v>280717.09999999998</v>
      </c>
      <c r="BA89" s="109">
        <f t="shared" si="859"/>
        <v>299675</v>
      </c>
      <c r="BB89" s="110">
        <f t="shared" si="689"/>
        <v>106.75338267601084</v>
      </c>
      <c r="BC89" s="109">
        <f t="shared" ref="BC89:BE89" si="860">SUM(BC87,BC23)</f>
        <v>227322.2</v>
      </c>
      <c r="BD89" s="109">
        <f t="shared" si="860"/>
        <v>227322.2</v>
      </c>
      <c r="BE89" s="109">
        <f t="shared" si="860"/>
        <v>237137.4</v>
      </c>
      <c r="BF89" s="110">
        <f t="shared" si="690"/>
        <v>104.31774811259085</v>
      </c>
      <c r="BG89" s="109">
        <f t="shared" ref="BG89:BI89" si="861">SUM(BG87,BG23)</f>
        <v>206361.80000000002</v>
      </c>
      <c r="BH89" s="109">
        <f t="shared" si="861"/>
        <v>206361.80000000002</v>
      </c>
      <c r="BI89" s="109">
        <f t="shared" si="861"/>
        <v>207732.6</v>
      </c>
      <c r="BJ89" s="110">
        <f t="shared" si="691"/>
        <v>100.66427022830776</v>
      </c>
      <c r="BK89" s="109">
        <f t="shared" ref="BK89:BM89" si="862">SUM(BK87,BK23)</f>
        <v>71555</v>
      </c>
      <c r="BL89" s="109">
        <f t="shared" si="862"/>
        <v>71555</v>
      </c>
      <c r="BM89" s="109">
        <f t="shared" si="862"/>
        <v>71386.5</v>
      </c>
      <c r="BN89" s="110">
        <f t="shared" si="692"/>
        <v>99.764516805254701</v>
      </c>
      <c r="BO89" s="109">
        <f t="shared" ref="BO89:BQ89" si="863">SUM(BO87,BO23)</f>
        <v>48915</v>
      </c>
      <c r="BP89" s="109">
        <f t="shared" si="863"/>
        <v>48915</v>
      </c>
      <c r="BQ89" s="109">
        <f t="shared" si="863"/>
        <v>49311.625</v>
      </c>
      <c r="BR89" s="110">
        <f t="shared" si="693"/>
        <v>100.81084534396403</v>
      </c>
      <c r="BS89" s="249">
        <f t="shared" ref="BS89:BU89" si="864">SUM(BS87,BS23)</f>
        <v>2849</v>
      </c>
      <c r="BT89" s="249">
        <f t="shared" si="864"/>
        <v>2849</v>
      </c>
      <c r="BU89" s="249">
        <f t="shared" si="864"/>
        <v>2848.875</v>
      </c>
      <c r="BV89" s="110">
        <f t="shared" si="694"/>
        <v>99.995612495612491</v>
      </c>
      <c r="BW89" s="109">
        <f t="shared" ref="BW89:BY89" si="865">SUM(BW87,BW23)</f>
        <v>60496.25</v>
      </c>
      <c r="BX89" s="109">
        <f t="shared" si="865"/>
        <v>60496.25</v>
      </c>
      <c r="BY89" s="109">
        <f t="shared" si="865"/>
        <v>60254.625</v>
      </c>
      <c r="BZ89" s="110">
        <f t="shared" si="695"/>
        <v>99.600595078207334</v>
      </c>
      <c r="CA89" s="109">
        <f t="shared" ref="CA89:CC89" si="866">SUM(CA87,CA23)</f>
        <v>49881.5</v>
      </c>
      <c r="CB89" s="109">
        <f t="shared" si="866"/>
        <v>49881.5</v>
      </c>
      <c r="CC89" s="109">
        <f t="shared" si="866"/>
        <v>49065.625</v>
      </c>
      <c r="CD89" s="110">
        <f t="shared" si="696"/>
        <v>98.364373565349879</v>
      </c>
      <c r="CE89" s="109">
        <f t="shared" ref="CE89:CG89" si="867">SUM(CE87,CE23)</f>
        <v>141380.1</v>
      </c>
      <c r="CF89" s="109">
        <f t="shared" si="867"/>
        <v>141380.1</v>
      </c>
      <c r="CG89" s="109">
        <f t="shared" si="867"/>
        <v>140476.67499999999</v>
      </c>
      <c r="CH89" s="110">
        <f t="shared" si="697"/>
        <v>99.36099564224385</v>
      </c>
      <c r="CI89" s="109">
        <f t="shared" ref="CI89:CK89" si="868">SUM(CI87,CI23)</f>
        <v>61280</v>
      </c>
      <c r="CJ89" s="109">
        <f t="shared" si="868"/>
        <v>61280</v>
      </c>
      <c r="CK89" s="109">
        <f t="shared" si="868"/>
        <v>61340.4</v>
      </c>
      <c r="CL89" s="110">
        <f t="shared" si="698"/>
        <v>100.0985639686684</v>
      </c>
      <c r="CM89" s="109">
        <f t="shared" ref="CM89:CO89" si="869">SUM(CM87,CM23)</f>
        <v>41399.199999999997</v>
      </c>
      <c r="CN89" s="109">
        <f t="shared" si="869"/>
        <v>41399.199999999997</v>
      </c>
      <c r="CO89" s="109">
        <f t="shared" si="869"/>
        <v>42730.175000000003</v>
      </c>
      <c r="CP89" s="110">
        <f t="shared" si="699"/>
        <v>103.21497758410791</v>
      </c>
      <c r="CQ89" s="109">
        <f t="shared" ref="CQ89:CS89" si="870">SUM(CQ87,CQ23)</f>
        <v>1001.5</v>
      </c>
      <c r="CR89" s="109">
        <f t="shared" si="870"/>
        <v>1001.5</v>
      </c>
      <c r="CS89" s="109">
        <f t="shared" si="870"/>
        <v>1065.25</v>
      </c>
      <c r="CT89" s="110">
        <f t="shared" si="700"/>
        <v>106.36545182226659</v>
      </c>
      <c r="CU89" s="109">
        <f t="shared" ref="CU89:CW89" si="871">SUM(CU87,CU23)</f>
        <v>13200</v>
      </c>
      <c r="CV89" s="109">
        <f t="shared" si="871"/>
        <v>13200</v>
      </c>
      <c r="CW89" s="109">
        <f t="shared" si="871"/>
        <v>13185.625</v>
      </c>
      <c r="CX89" s="110">
        <f t="shared" si="701"/>
        <v>99.891098484848484</v>
      </c>
      <c r="CY89" s="109">
        <f t="shared" ref="CY89:DA89" si="872">SUM(CY87,CY23)</f>
        <v>24650</v>
      </c>
      <c r="CZ89" s="109">
        <f t="shared" si="872"/>
        <v>24650</v>
      </c>
      <c r="DA89" s="109">
        <f t="shared" si="872"/>
        <v>27891.975000000002</v>
      </c>
      <c r="DB89" s="110">
        <f t="shared" si="702"/>
        <v>113.15202839756593</v>
      </c>
      <c r="DC89" s="109">
        <f t="shared" ref="DC89:DE89" si="873">SUM(DC87,DC23)</f>
        <v>100</v>
      </c>
      <c r="DD89" s="109">
        <f t="shared" si="873"/>
        <v>100</v>
      </c>
      <c r="DE89" s="109">
        <f t="shared" si="873"/>
        <v>9</v>
      </c>
      <c r="DF89" s="110">
        <f t="shared" si="703"/>
        <v>9</v>
      </c>
      <c r="DG89" s="109">
        <f t="shared" ref="DG89:DI89" si="874">SUM(DG87,DG23)</f>
        <v>0</v>
      </c>
      <c r="DH89" s="109">
        <f t="shared" si="874"/>
        <v>0</v>
      </c>
      <c r="DI89" s="109">
        <f t="shared" si="874"/>
        <v>0</v>
      </c>
      <c r="DJ89" s="110" t="e">
        <f t="shared" si="139"/>
        <v>#DIV/0!</v>
      </c>
      <c r="DK89" s="109">
        <f t="shared" ref="DK89:DM89" si="875">SUM(DK87,DK23)</f>
        <v>182831</v>
      </c>
      <c r="DL89" s="109">
        <f t="shared" si="875"/>
        <v>182831</v>
      </c>
      <c r="DM89" s="109">
        <f t="shared" si="875"/>
        <v>213781.40000000002</v>
      </c>
      <c r="DN89" s="110">
        <f t="shared" si="704"/>
        <v>116.92842023508049</v>
      </c>
      <c r="DO89" s="109">
        <f t="shared" ref="DO89:DQ89" si="876">SUM(DO87,DO23)</f>
        <v>288931.20000000001</v>
      </c>
      <c r="DP89" s="109">
        <f t="shared" si="876"/>
        <v>288931.20000000001</v>
      </c>
      <c r="DQ89" s="109">
        <f t="shared" si="876"/>
        <v>308724.40000000002</v>
      </c>
      <c r="DR89" s="110">
        <f t="shared" si="705"/>
        <v>106.85048897453788</v>
      </c>
      <c r="DS89" s="109">
        <f t="shared" ref="DS89:DU89" si="877">SUM(DS87,DS23)</f>
        <v>0</v>
      </c>
      <c r="DT89" s="109">
        <f t="shared" si="877"/>
        <v>0</v>
      </c>
      <c r="DU89" s="109">
        <f t="shared" si="877"/>
        <v>0</v>
      </c>
      <c r="DV89" s="110" t="e">
        <f t="shared" si="140"/>
        <v>#DIV/0!</v>
      </c>
      <c r="DW89" s="109">
        <f t="shared" ref="DW89:DY89" si="878">SUM(DW87,DW23)</f>
        <v>0</v>
      </c>
      <c r="DX89" s="109">
        <f t="shared" si="878"/>
        <v>0</v>
      </c>
      <c r="DY89" s="109">
        <f t="shared" si="878"/>
        <v>0</v>
      </c>
      <c r="DZ89" s="110" t="e">
        <f t="shared" si="142"/>
        <v>#DIV/0!</v>
      </c>
      <c r="EA89" s="109">
        <f t="shared" ref="EA89:EC89" si="879">SUM(EA87,EA23)</f>
        <v>15831.2</v>
      </c>
      <c r="EB89" s="109">
        <f t="shared" si="879"/>
        <v>15831.2</v>
      </c>
      <c r="EC89" s="109">
        <f t="shared" si="879"/>
        <v>9195.9125000000004</v>
      </c>
      <c r="ED89" s="110">
        <f t="shared" si="706"/>
        <v>58.087273864268028</v>
      </c>
      <c r="EE89" s="109">
        <f t="shared" ref="EE89:EG89" si="880">SUM(EE87,EE23)</f>
        <v>231135.4</v>
      </c>
      <c r="EF89" s="109">
        <f t="shared" si="880"/>
        <v>231135.4</v>
      </c>
      <c r="EG89" s="109">
        <f t="shared" si="880"/>
        <v>312956.72499999998</v>
      </c>
      <c r="EH89" s="110">
        <f t="shared" si="707"/>
        <v>135.39973755642797</v>
      </c>
      <c r="EI89" s="109">
        <f t="shared" ref="EI89:EK89" si="881">SUM(EI87,EI23)</f>
        <v>31551.200000000001</v>
      </c>
      <c r="EJ89" s="109">
        <f t="shared" si="881"/>
        <v>31551.200000000001</v>
      </c>
      <c r="EK89" s="109">
        <f t="shared" si="881"/>
        <v>34239.362500000003</v>
      </c>
      <c r="EL89" s="110">
        <f t="shared" si="708"/>
        <v>108.52000082405742</v>
      </c>
      <c r="EM89" s="109">
        <f t="shared" ref="EM89:EO89" si="882">SUM(EM87,EM23)</f>
        <v>28861.8</v>
      </c>
      <c r="EN89" s="109">
        <f t="shared" si="882"/>
        <v>28861.8</v>
      </c>
      <c r="EO89" s="109">
        <f t="shared" si="882"/>
        <v>33775.525000000001</v>
      </c>
      <c r="EP89" s="110">
        <f t="shared" si="709"/>
        <v>117.02501229999515</v>
      </c>
      <c r="EQ89" s="109">
        <f t="shared" ref="EQ89:ES89" si="883">SUM(EQ87,EQ23)</f>
        <v>1240</v>
      </c>
      <c r="ER89" s="109">
        <f t="shared" si="883"/>
        <v>1240</v>
      </c>
      <c r="ES89" s="109">
        <f t="shared" si="883"/>
        <v>1096.2</v>
      </c>
      <c r="ET89" s="110">
        <f t="shared" si="710"/>
        <v>88.403225806451616</v>
      </c>
      <c r="EU89" s="109">
        <f t="shared" ref="EU89:EW89" si="884">SUM(EU87,EU23)</f>
        <v>300</v>
      </c>
      <c r="EV89" s="109">
        <f t="shared" si="884"/>
        <v>300</v>
      </c>
      <c r="EW89" s="109">
        <f t="shared" si="884"/>
        <v>173</v>
      </c>
      <c r="EX89" s="110">
        <f t="shared" si="711"/>
        <v>57.666666666666664</v>
      </c>
      <c r="EY89" s="152">
        <f t="shared" si="712"/>
        <v>4967717.8024999993</v>
      </c>
      <c r="EZ89" s="152">
        <f t="shared" si="712"/>
        <v>4967717.8024999993</v>
      </c>
      <c r="FA89" s="152">
        <f t="shared" si="713"/>
        <v>5163053.3500000006</v>
      </c>
      <c r="FB89" s="152">
        <f t="shared" si="714"/>
        <v>103.93209830481311</v>
      </c>
      <c r="FC89" s="131">
        <f>SUM(FA87,FA23)</f>
        <v>5163053.3499999996</v>
      </c>
      <c r="FD89" s="131">
        <f>SUM(FD86,FD83,FD23)</f>
        <v>4967717.8025000002</v>
      </c>
    </row>
    <row r="91" spans="1:160" ht="25.5" x14ac:dyDescent="0.2">
      <c r="A91" s="253" t="s">
        <v>263</v>
      </c>
      <c r="B91" s="252"/>
      <c r="C91" s="252"/>
      <c r="D91" s="252"/>
      <c r="E91" s="252"/>
      <c r="F91" s="252"/>
      <c r="G91" s="252"/>
      <c r="H91" s="252"/>
      <c r="I91" s="252" t="s">
        <v>355</v>
      </c>
      <c r="J91" s="252"/>
      <c r="K91" s="252"/>
      <c r="L91" s="252"/>
      <c r="M91" s="252"/>
      <c r="N91" s="252"/>
      <c r="O91" s="252"/>
      <c r="P91" s="252"/>
      <c r="Q91" s="252" t="s">
        <v>356</v>
      </c>
      <c r="R91" s="252"/>
      <c r="S91" s="252"/>
      <c r="T91" s="252"/>
      <c r="U91" s="252" t="s">
        <v>358</v>
      </c>
      <c r="V91" s="252"/>
      <c r="W91" s="252"/>
      <c r="X91" s="252"/>
      <c r="Y91" s="252" t="s">
        <v>357</v>
      </c>
      <c r="Z91" s="252"/>
      <c r="AA91" s="252"/>
      <c r="AB91" s="252"/>
      <c r="AC91" s="252" t="s">
        <v>359</v>
      </c>
      <c r="AD91" s="252"/>
      <c r="AE91" s="252"/>
      <c r="AF91" s="252"/>
      <c r="AG91" s="252" t="s">
        <v>350</v>
      </c>
      <c r="AH91" s="252"/>
      <c r="AI91" s="252"/>
      <c r="AJ91" s="252"/>
      <c r="AK91" s="252" t="s">
        <v>360</v>
      </c>
      <c r="AL91" s="252"/>
      <c r="AM91" s="252"/>
      <c r="AN91" s="252"/>
      <c r="AO91" s="252" t="s">
        <v>361</v>
      </c>
      <c r="AP91" s="252"/>
      <c r="AQ91" s="252"/>
      <c r="AR91" s="252"/>
      <c r="AS91" s="252" t="s">
        <v>362</v>
      </c>
      <c r="AT91" s="252"/>
      <c r="AU91" s="252"/>
      <c r="AV91" s="252"/>
      <c r="AW91" s="252" t="s">
        <v>363</v>
      </c>
      <c r="AX91" s="252"/>
      <c r="AY91" s="252"/>
      <c r="AZ91" s="252"/>
      <c r="BA91" s="252" t="s">
        <v>364</v>
      </c>
      <c r="BB91" s="252"/>
      <c r="BC91" s="252"/>
      <c r="BD91" s="252"/>
      <c r="BE91" s="252" t="s">
        <v>365</v>
      </c>
      <c r="BF91" s="252"/>
      <c r="BG91" s="252"/>
      <c r="BH91" s="252"/>
      <c r="BI91" s="252" t="s">
        <v>366</v>
      </c>
      <c r="BJ91" s="252"/>
      <c r="BK91" s="252"/>
      <c r="BL91" s="252"/>
      <c r="BM91" s="252"/>
      <c r="BN91" s="252"/>
      <c r="BO91" s="252"/>
      <c r="BP91" s="252"/>
      <c r="BQ91" s="252"/>
      <c r="BR91" s="252"/>
      <c r="BS91" s="252"/>
      <c r="BT91" s="252"/>
      <c r="BU91" s="252"/>
      <c r="BV91" s="252"/>
      <c r="BW91" s="252"/>
      <c r="BX91" s="252"/>
      <c r="BY91" s="252"/>
      <c r="BZ91" s="252"/>
      <c r="CA91" s="252"/>
      <c r="CB91" s="252"/>
      <c r="CC91" s="252"/>
      <c r="CD91" s="252"/>
      <c r="CE91" s="252"/>
      <c r="CF91" s="252"/>
      <c r="CG91" s="252"/>
      <c r="CH91" s="252"/>
      <c r="CI91" s="252"/>
      <c r="CJ91" s="252"/>
      <c r="CK91" s="252"/>
      <c r="CL91" s="252"/>
      <c r="CM91" s="252"/>
      <c r="CN91" s="252"/>
      <c r="CO91" s="252"/>
      <c r="CP91" s="252"/>
      <c r="CQ91" s="252"/>
      <c r="CR91" s="252"/>
      <c r="CS91" s="252"/>
      <c r="CT91" s="252"/>
      <c r="CU91" s="252"/>
      <c r="CV91" s="252"/>
      <c r="CW91" s="252"/>
      <c r="CX91" s="252"/>
      <c r="CY91" s="252"/>
      <c r="CZ91" s="252"/>
      <c r="DA91" s="252" t="s">
        <v>349</v>
      </c>
      <c r="DB91" s="252"/>
      <c r="DC91" s="252"/>
      <c r="DD91" s="252"/>
      <c r="DE91" s="252"/>
      <c r="DF91" s="252"/>
      <c r="DG91" s="252"/>
      <c r="DH91" s="252"/>
      <c r="DI91" s="252"/>
      <c r="DJ91" s="252"/>
      <c r="DK91" s="252"/>
      <c r="DL91" s="252"/>
      <c r="DM91" s="252" t="s">
        <v>367</v>
      </c>
      <c r="DN91" s="252"/>
      <c r="DO91" s="252"/>
      <c r="DP91" s="252"/>
      <c r="DQ91" s="252" t="s">
        <v>368</v>
      </c>
      <c r="DR91" s="252"/>
      <c r="DS91" s="252"/>
      <c r="DT91" s="252"/>
      <c r="DU91" s="252"/>
      <c r="DV91" s="252"/>
      <c r="DW91" s="252"/>
      <c r="DX91" s="252"/>
      <c r="DY91" s="252"/>
      <c r="DZ91" s="252"/>
      <c r="EA91" s="252"/>
      <c r="EB91" s="252"/>
      <c r="EC91" s="252">
        <v>-2</v>
      </c>
      <c r="ED91" s="252"/>
      <c r="EE91" s="252"/>
      <c r="EF91" s="252"/>
      <c r="EG91" s="252" t="s">
        <v>369</v>
      </c>
      <c r="EH91" s="252"/>
      <c r="EI91" s="252"/>
      <c r="EJ91" s="252"/>
      <c r="EK91" s="252">
        <v>-4</v>
      </c>
      <c r="EL91" s="252"/>
      <c r="EM91" s="252"/>
      <c r="EN91" s="252"/>
      <c r="EO91" s="252" t="s">
        <v>370</v>
      </c>
      <c r="EP91" s="252"/>
      <c r="EQ91" s="252"/>
      <c r="ER91" s="252"/>
      <c r="ES91" s="252"/>
      <c r="ET91" s="252"/>
      <c r="EU91" s="252"/>
      <c r="EV91" s="252"/>
      <c r="EW91" s="252"/>
      <c r="EX91" s="252"/>
      <c r="EY91" s="252"/>
      <c r="EZ91" s="252"/>
      <c r="FA91" s="252"/>
      <c r="FB91" s="252"/>
    </row>
    <row r="92" spans="1:160" x14ac:dyDescent="0.2">
      <c r="CC92" s="252"/>
    </row>
    <row r="95" spans="1:160" x14ac:dyDescent="0.2">
      <c r="I95" s="127">
        <f>SUM(I56:I69,I71:I73,I75:I77)</f>
        <v>0</v>
      </c>
    </row>
  </sheetData>
  <sheetProtection formatColumns="0" formatRows="0" insertColumns="0" insertRows="0" insertHyperlinks="0" deleteColumns="0" deleteRows="0" sort="0" autoFilter="0" pivotTables="0"/>
  <customSheetViews>
    <customSheetView guid="{C4C3C6EA-4E99-4A9E-A26B-FFCC7AED73F2}">
      <pane xSplit="3" ySplit="10" topLeftCell="EX16" activePane="bottomRight" state="frozen"/>
      <selection pane="bottomRight" activeCell="FB29" sqref="FB29"/>
      <pageMargins left="0.7" right="0.7" top="0.75" bottom="0.75" header="0.3" footer="0.3"/>
    </customSheetView>
    <customSheetView guid="{7AB5B88D-359A-416D-9EE2-70D3717CE362}" showPageBreaks="1">
      <pane xSplit="3" ySplit="10" topLeftCell="FF11" activePane="bottomRight" state="frozen"/>
      <selection pane="bottomRight" activeCell="FJ5" sqref="FJ5:FO9"/>
      <pageMargins left="0.7" right="0.7" top="0.75" bottom="0.75" header="0.3" footer="0.3"/>
      <pageSetup paperSize="9" orientation="portrait" r:id="rId1"/>
    </customSheetView>
    <customSheetView guid="{54C0345E-C30A-4773-9BED-454F3B675FBE}">
      <pane xSplit="2" ySplit="9" topLeftCell="AF11" activePane="bottomRight" state="frozen"/>
      <selection pane="bottomRight" activeCell="AO21" sqref="AO21"/>
      <pageMargins left="0.7" right="0.7" top="0.75" bottom="0.75" header="0.3" footer="0.3"/>
    </customSheetView>
  </customSheetViews>
  <mergeCells count="194">
    <mergeCell ref="A1:H2"/>
    <mergeCell ref="EY3:FB6"/>
    <mergeCell ref="EM4:EP4"/>
    <mergeCell ref="EQ4:ET4"/>
    <mergeCell ref="EM3:EP3"/>
    <mergeCell ref="EY8:FB8"/>
    <mergeCell ref="EQ8:ET8"/>
    <mergeCell ref="DG8:DJ8"/>
    <mergeCell ref="DK8:DN8"/>
    <mergeCell ref="DO8:DR8"/>
    <mergeCell ref="DS8:DV8"/>
    <mergeCell ref="DW8:DZ8"/>
    <mergeCell ref="EA8:ED8"/>
    <mergeCell ref="EE8:EH8"/>
    <mergeCell ref="EI8:EL8"/>
    <mergeCell ref="EM8:EP8"/>
    <mergeCell ref="EQ6:ET6"/>
    <mergeCell ref="DO6:DR6"/>
    <mergeCell ref="DS6:DV6"/>
    <mergeCell ref="DW6:DZ6"/>
    <mergeCell ref="EU3:EX3"/>
    <mergeCell ref="EU4:EX4"/>
    <mergeCell ref="EU5:EX5"/>
    <mergeCell ref="EU6:EX6"/>
    <mergeCell ref="EU8:EX8"/>
    <mergeCell ref="EM5:EP5"/>
    <mergeCell ref="EQ5:ET5"/>
    <mergeCell ref="C8:F8"/>
    <mergeCell ref="G8:J8"/>
    <mergeCell ref="K8:N8"/>
    <mergeCell ref="O8:R8"/>
    <mergeCell ref="S8:V8"/>
    <mergeCell ref="W8:Z8"/>
    <mergeCell ref="AA8:AD8"/>
    <mergeCell ref="AE8:AH8"/>
    <mergeCell ref="AI8:AL8"/>
    <mergeCell ref="AM8:AP8"/>
    <mergeCell ref="AQ8:AT8"/>
    <mergeCell ref="AU8:AX8"/>
    <mergeCell ref="AY8:BB8"/>
    <mergeCell ref="BC8:BF8"/>
    <mergeCell ref="BG8:BJ8"/>
    <mergeCell ref="BK8:BN8"/>
    <mergeCell ref="BO8:BR8"/>
    <mergeCell ref="BS8:BV8"/>
    <mergeCell ref="BW8:BZ8"/>
    <mergeCell ref="CY6:DB6"/>
    <mergeCell ref="DC6:DF6"/>
    <mergeCell ref="DG6:DJ6"/>
    <mergeCell ref="DK6:DN6"/>
    <mergeCell ref="EA6:ED6"/>
    <mergeCell ref="EE6:EH6"/>
    <mergeCell ref="EI6:EL6"/>
    <mergeCell ref="EM6:EP6"/>
    <mergeCell ref="CI6:CL6"/>
    <mergeCell ref="CM6:CP6"/>
    <mergeCell ref="CQ6:CT6"/>
    <mergeCell ref="CU6:CX6"/>
    <mergeCell ref="CA8:CD8"/>
    <mergeCell ref="CE8:CH8"/>
    <mergeCell ref="CI8:CL8"/>
    <mergeCell ref="CM8:CP8"/>
    <mergeCell ref="CQ8:CT8"/>
    <mergeCell ref="CU8:CX8"/>
    <mergeCell ref="CY8:DB8"/>
    <mergeCell ref="DC8:DF8"/>
    <mergeCell ref="S6:V6"/>
    <mergeCell ref="W6:Z6"/>
    <mergeCell ref="AA6:AD6"/>
    <mergeCell ref="AE6:AH6"/>
    <mergeCell ref="AI6:AL6"/>
    <mergeCell ref="AM6:AP6"/>
    <mergeCell ref="AQ6:AT6"/>
    <mergeCell ref="AU6:AX6"/>
    <mergeCell ref="BK6:BN6"/>
    <mergeCell ref="AY6:BB6"/>
    <mergeCell ref="BC6:BF6"/>
    <mergeCell ref="BG6:BJ6"/>
    <mergeCell ref="BO6:BR6"/>
    <mergeCell ref="BS6:BV6"/>
    <mergeCell ref="BW6:BZ6"/>
    <mergeCell ref="CA6:CD6"/>
    <mergeCell ref="CE6:CH6"/>
    <mergeCell ref="BK3:BN3"/>
    <mergeCell ref="BO3:BR3"/>
    <mergeCell ref="BS3:BV3"/>
    <mergeCell ref="BW3:BZ3"/>
    <mergeCell ref="BW4:BZ4"/>
    <mergeCell ref="BW5:BZ5"/>
    <mergeCell ref="C6:F6"/>
    <mergeCell ref="G6:J6"/>
    <mergeCell ref="K6:N6"/>
    <mergeCell ref="O6:R6"/>
    <mergeCell ref="C5:F5"/>
    <mergeCell ref="G5:J5"/>
    <mergeCell ref="K5:N5"/>
    <mergeCell ref="O5:R5"/>
    <mergeCell ref="AM4:AP4"/>
    <mergeCell ref="AQ4:AT4"/>
    <mergeCell ref="AU4:AX4"/>
    <mergeCell ref="AY4:BB4"/>
    <mergeCell ref="BC4:BF4"/>
    <mergeCell ref="BG4:BJ4"/>
    <mergeCell ref="S4:V4"/>
    <mergeCell ref="W4:Z4"/>
    <mergeCell ref="AA4:AD4"/>
    <mergeCell ref="B3:B5"/>
    <mergeCell ref="C3:F3"/>
    <mergeCell ref="G3:J3"/>
    <mergeCell ref="K3:N3"/>
    <mergeCell ref="O3:R3"/>
    <mergeCell ref="C4:F4"/>
    <mergeCell ref="G4:J4"/>
    <mergeCell ref="K4:N4"/>
    <mergeCell ref="O4:R4"/>
    <mergeCell ref="EA3:ED3"/>
    <mergeCell ref="S3:V3"/>
    <mergeCell ref="W3:Z3"/>
    <mergeCell ref="AA3:AD3"/>
    <mergeCell ref="AE3:AH3"/>
    <mergeCell ref="AI3:AL3"/>
    <mergeCell ref="AM3:AP3"/>
    <mergeCell ref="AQ3:AT3"/>
    <mergeCell ref="AU3:AX3"/>
    <mergeCell ref="AY3:BB3"/>
    <mergeCell ref="DG3:DJ3"/>
    <mergeCell ref="AE4:AH4"/>
    <mergeCell ref="AI4:AL4"/>
    <mergeCell ref="CY4:DB4"/>
    <mergeCell ref="CA5:CD5"/>
    <mergeCell ref="CE5:CH5"/>
    <mergeCell ref="CI5:CL5"/>
    <mergeCell ref="EE3:EH3"/>
    <mergeCell ref="EI3:EL3"/>
    <mergeCell ref="BC3:BF3"/>
    <mergeCell ref="BG3:BJ3"/>
    <mergeCell ref="DK3:DN3"/>
    <mergeCell ref="DO3:DR3"/>
    <mergeCell ref="DS3:DV3"/>
    <mergeCell ref="DW3:DZ3"/>
    <mergeCell ref="DK4:DN4"/>
    <mergeCell ref="BK4:BN4"/>
    <mergeCell ref="BO4:BR4"/>
    <mergeCell ref="BS4:BV4"/>
    <mergeCell ref="EE4:EH4"/>
    <mergeCell ref="EI4:EL4"/>
    <mergeCell ref="EE5:EH5"/>
    <mergeCell ref="EI5:EL5"/>
    <mergeCell ref="CE4:CH4"/>
    <mergeCell ref="DC3:DF3"/>
    <mergeCell ref="CQ4:CT4"/>
    <mergeCell ref="CU4:CX4"/>
    <mergeCell ref="DC4:DF4"/>
    <mergeCell ref="DG4:DJ4"/>
    <mergeCell ref="CA3:CD3"/>
    <mergeCell ref="CE3:CH3"/>
    <mergeCell ref="CI3:CL3"/>
    <mergeCell ref="CM3:CP3"/>
    <mergeCell ref="CQ3:CT3"/>
    <mergeCell ref="CU3:CX3"/>
    <mergeCell ref="CY3:DB3"/>
    <mergeCell ref="S5:V5"/>
    <mergeCell ref="W5:Z5"/>
    <mergeCell ref="AA5:AD5"/>
    <mergeCell ref="AE5:AH5"/>
    <mergeCell ref="AI5:AL5"/>
    <mergeCell ref="AM5:AP5"/>
    <mergeCell ref="AQ5:AT5"/>
    <mergeCell ref="AU5:AX5"/>
    <mergeCell ref="AY5:BB5"/>
    <mergeCell ref="BC5:BF5"/>
    <mergeCell ref="BG5:BJ5"/>
    <mergeCell ref="BK5:BN5"/>
    <mergeCell ref="BO5:BR5"/>
    <mergeCell ref="BS5:BV5"/>
    <mergeCell ref="EQ3:ET3"/>
    <mergeCell ref="CY5:DB5"/>
    <mergeCell ref="DC5:DF5"/>
    <mergeCell ref="DG5:DJ5"/>
    <mergeCell ref="DK5:DN5"/>
    <mergeCell ref="DO5:DR5"/>
    <mergeCell ref="DS5:DV5"/>
    <mergeCell ref="DW5:DZ5"/>
    <mergeCell ref="EA5:ED5"/>
    <mergeCell ref="DO4:DR4"/>
    <mergeCell ref="DS4:DV4"/>
    <mergeCell ref="DW4:DZ4"/>
    <mergeCell ref="EA4:ED4"/>
    <mergeCell ref="CM5:CP5"/>
    <mergeCell ref="CQ5:CT5"/>
    <mergeCell ref="CU5:CX5"/>
    <mergeCell ref="CI4:CL4"/>
    <mergeCell ref="CM4:CP4"/>
    <mergeCell ref="CA4:CD4"/>
  </mergeCells>
  <pageMargins left="0" right="0" top="0" bottom="0" header="0.31496062992125984" footer="0.31496062992125984"/>
  <pageSetup paperSize="9" scale="65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4"/>
  <sheetViews>
    <sheetView zoomScaleNormal="100" workbookViewId="0">
      <pane xSplit="1" ySplit="9" topLeftCell="AX10" activePane="bottomRight" state="frozen"/>
      <selection pane="topRight" activeCell="C1" sqref="C1"/>
      <selection pane="bottomLeft" activeCell="A10" sqref="A10"/>
      <selection pane="bottomRight" activeCell="BO23" sqref="BO23"/>
    </sheetView>
  </sheetViews>
  <sheetFormatPr defaultRowHeight="12.75" x14ac:dyDescent="0.2"/>
  <cols>
    <col min="1" max="1" width="50.28515625" customWidth="1"/>
    <col min="2" max="2" width="11.7109375" customWidth="1"/>
    <col min="3" max="3" width="12.140625" customWidth="1"/>
    <col min="4" max="4" width="13.140625" hidden="1" customWidth="1"/>
    <col min="5" max="5" width="14.28515625" customWidth="1"/>
    <col min="6" max="6" width="14.7109375" customWidth="1"/>
    <col min="7" max="7" width="12.140625" customWidth="1"/>
    <col min="8" max="8" width="13.140625" hidden="1" customWidth="1"/>
    <col min="9" max="9" width="14.28515625" customWidth="1"/>
    <col min="10" max="10" width="14.140625" customWidth="1"/>
    <col min="11" max="11" width="12.140625" style="127" customWidth="1"/>
    <col min="12" max="12" width="13.140625" style="127" hidden="1" customWidth="1"/>
    <col min="13" max="13" width="14.28515625" style="127" customWidth="1"/>
    <col min="14" max="14" width="11.28515625" style="127" customWidth="1"/>
    <col min="15" max="15" width="12.140625" hidden="1" customWidth="1"/>
    <col min="16" max="16" width="13.140625" hidden="1" customWidth="1"/>
    <col min="17" max="17" width="14.28515625" hidden="1" customWidth="1"/>
    <col min="18" max="18" width="16.5703125" hidden="1" customWidth="1"/>
    <col min="19" max="19" width="12.140625" hidden="1" customWidth="1"/>
    <col min="20" max="20" width="13.140625" hidden="1" customWidth="1"/>
    <col min="21" max="21" width="14.28515625" hidden="1" customWidth="1"/>
    <col min="22" max="22" width="16.28515625" hidden="1" customWidth="1"/>
    <col min="23" max="23" width="16.28515625" customWidth="1"/>
    <col min="24" max="24" width="16.28515625" style="223" hidden="1" customWidth="1"/>
    <col min="25" max="26" width="16.28515625" customWidth="1"/>
    <col min="27" max="27" width="12.140625" customWidth="1"/>
    <col min="28" max="28" width="13.140625" hidden="1" customWidth="1"/>
    <col min="29" max="29" width="14.28515625" customWidth="1"/>
    <col min="30" max="30" width="11.28515625" style="127" customWidth="1"/>
    <col min="31" max="31" width="12.140625" hidden="1" customWidth="1"/>
    <col min="32" max="32" width="13.140625" hidden="1" customWidth="1"/>
    <col min="33" max="33" width="14.28515625" hidden="1" customWidth="1"/>
    <col min="34" max="34" width="15.140625" hidden="1" customWidth="1"/>
    <col min="35" max="35" width="12.140625" hidden="1" customWidth="1"/>
    <col min="36" max="36" width="13.140625" hidden="1" customWidth="1"/>
    <col min="37" max="37" width="14.28515625" hidden="1" customWidth="1"/>
    <col min="38" max="38" width="14.5703125" hidden="1" customWidth="1"/>
    <col min="39" max="39" width="12.140625" hidden="1" customWidth="1"/>
    <col min="40" max="40" width="13.140625" hidden="1" customWidth="1"/>
    <col min="41" max="41" width="14.28515625" hidden="1" customWidth="1"/>
    <col min="42" max="42" width="15.5703125" hidden="1" customWidth="1"/>
    <col min="43" max="43" width="15.5703125" customWidth="1"/>
    <col min="44" max="44" width="15.5703125" style="223" hidden="1" customWidth="1"/>
    <col min="45" max="46" width="15.5703125" customWidth="1"/>
    <col min="47" max="47" width="12.140625" customWidth="1"/>
    <col min="48" max="48" width="13.140625" hidden="1" customWidth="1"/>
    <col min="49" max="49" width="14.28515625" customWidth="1"/>
    <col min="50" max="50" width="11.28515625" style="127" customWidth="1"/>
    <col min="51" max="51" width="12.140625" customWidth="1"/>
    <col min="52" max="52" width="13.140625" hidden="1" customWidth="1"/>
    <col min="53" max="53" width="14.28515625" customWidth="1"/>
    <col min="54" max="54" width="15.7109375" customWidth="1"/>
    <col min="55" max="55" width="12.140625" customWidth="1"/>
    <col min="56" max="56" width="13.140625" hidden="1" customWidth="1"/>
    <col min="57" max="57" width="14.28515625" customWidth="1"/>
    <col min="58" max="58" width="14.85546875" customWidth="1"/>
    <col min="59" max="59" width="12.140625" customWidth="1"/>
    <col min="60" max="60" width="11.7109375" hidden="1" customWidth="1"/>
    <col min="61" max="61" width="15.42578125" customWidth="1"/>
    <col min="62" max="62" width="12.85546875" customWidth="1"/>
    <col min="63" max="63" width="12.140625" customWidth="1"/>
    <col min="64" max="64" width="13.140625" hidden="1" customWidth="1"/>
    <col min="65" max="65" width="11.140625" customWidth="1"/>
    <col min="66" max="66" width="11.28515625" style="127" customWidth="1"/>
    <col min="67" max="67" width="12.140625" style="127" customWidth="1"/>
    <col min="68" max="68" width="13.140625" style="127" hidden="1" customWidth="1"/>
    <col min="69" max="69" width="14.28515625" style="127" customWidth="1"/>
    <col min="70" max="70" width="11.28515625" style="127" customWidth="1"/>
  </cols>
  <sheetData>
    <row r="1" spans="1:70" ht="37.5" customHeight="1" x14ac:dyDescent="0.2">
      <c r="A1" s="404" t="s">
        <v>265</v>
      </c>
      <c r="B1" s="404"/>
      <c r="C1" s="404"/>
      <c r="D1" s="404"/>
      <c r="E1" s="404"/>
      <c r="F1" s="404"/>
      <c r="G1" s="404"/>
      <c r="H1" s="404"/>
    </row>
    <row r="2" spans="1:70" x14ac:dyDescent="0.2">
      <c r="A2" s="404"/>
      <c r="B2" s="404"/>
      <c r="C2" s="404"/>
      <c r="D2" s="404"/>
      <c r="E2" s="404"/>
      <c r="F2" s="404"/>
      <c r="G2" s="404"/>
      <c r="H2" s="404"/>
      <c r="BB2" s="24"/>
    </row>
    <row r="3" spans="1:70" ht="16.899999999999999" customHeight="1" x14ac:dyDescent="0.2">
      <c r="A3" s="4" t="s">
        <v>113</v>
      </c>
      <c r="B3" s="9"/>
      <c r="C3" s="455">
        <v>54</v>
      </c>
      <c r="D3" s="455"/>
      <c r="E3" s="455"/>
      <c r="F3" s="455"/>
      <c r="G3" s="444">
        <v>56</v>
      </c>
      <c r="H3" s="444"/>
      <c r="I3" s="444"/>
      <c r="J3" s="444"/>
      <c r="K3" s="456" t="s">
        <v>65</v>
      </c>
      <c r="L3" s="456"/>
      <c r="M3" s="456"/>
      <c r="N3" s="456"/>
      <c r="O3" s="449">
        <v>67</v>
      </c>
      <c r="P3" s="449"/>
      <c r="Q3" s="449"/>
      <c r="R3" s="449"/>
      <c r="S3" s="444">
        <v>68</v>
      </c>
      <c r="T3" s="444"/>
      <c r="U3" s="444"/>
      <c r="V3" s="444"/>
      <c r="W3" s="444"/>
      <c r="X3" s="444"/>
      <c r="Y3" s="444"/>
      <c r="Z3" s="444"/>
      <c r="AA3" s="442" t="s">
        <v>68</v>
      </c>
      <c r="AB3" s="442"/>
      <c r="AC3" s="442"/>
      <c r="AD3" s="442"/>
      <c r="AE3" s="449">
        <v>76</v>
      </c>
      <c r="AF3" s="449"/>
      <c r="AG3" s="449"/>
      <c r="AH3" s="449"/>
      <c r="AI3" s="444">
        <v>77</v>
      </c>
      <c r="AJ3" s="444"/>
      <c r="AK3" s="444"/>
      <c r="AL3" s="444"/>
      <c r="AM3" s="452">
        <v>78</v>
      </c>
      <c r="AN3" s="452"/>
      <c r="AO3" s="452"/>
      <c r="AP3" s="452"/>
      <c r="AQ3" s="452">
        <v>78</v>
      </c>
      <c r="AR3" s="452"/>
      <c r="AS3" s="452"/>
      <c r="AT3" s="452"/>
      <c r="AU3" s="442" t="s">
        <v>71</v>
      </c>
      <c r="AV3" s="442"/>
      <c r="AW3" s="442"/>
      <c r="AX3" s="442"/>
      <c r="AY3" s="444">
        <v>79</v>
      </c>
      <c r="AZ3" s="444"/>
      <c r="BA3" s="444"/>
      <c r="BB3" s="444"/>
      <c r="BC3" s="452">
        <v>87</v>
      </c>
      <c r="BD3" s="452"/>
      <c r="BE3" s="452"/>
      <c r="BF3" s="452"/>
      <c r="BG3" s="449">
        <v>89</v>
      </c>
      <c r="BH3" s="449"/>
      <c r="BI3" s="449"/>
      <c r="BJ3" s="449"/>
      <c r="BK3" s="442" t="s">
        <v>74</v>
      </c>
      <c r="BL3" s="442"/>
      <c r="BM3" s="442"/>
      <c r="BN3" s="442"/>
      <c r="BO3" s="443" t="s">
        <v>118</v>
      </c>
      <c r="BP3" s="443"/>
      <c r="BQ3" s="443"/>
      <c r="BR3" s="443"/>
    </row>
    <row r="4" spans="1:70" ht="14.25" customHeight="1" x14ac:dyDescent="0.2">
      <c r="A4" s="5" t="s">
        <v>114</v>
      </c>
      <c r="B4" s="10"/>
      <c r="C4" s="412" t="s">
        <v>260</v>
      </c>
      <c r="D4" s="412"/>
      <c r="E4" s="412"/>
      <c r="F4" s="412"/>
      <c r="G4" s="413" t="s">
        <v>261</v>
      </c>
      <c r="H4" s="413"/>
      <c r="I4" s="413"/>
      <c r="J4" s="413"/>
      <c r="K4" s="456"/>
      <c r="L4" s="456"/>
      <c r="M4" s="456"/>
      <c r="N4" s="456"/>
      <c r="O4" s="452"/>
      <c r="P4" s="452"/>
      <c r="Q4" s="452"/>
      <c r="R4" s="452"/>
      <c r="S4" s="449"/>
      <c r="T4" s="449"/>
      <c r="U4" s="449"/>
      <c r="V4" s="449"/>
      <c r="W4" s="449">
        <v>1343002</v>
      </c>
      <c r="X4" s="449"/>
      <c r="Y4" s="449"/>
      <c r="Z4" s="449"/>
      <c r="AA4" s="442"/>
      <c r="AB4" s="442"/>
      <c r="AC4" s="442"/>
      <c r="AD4" s="442"/>
      <c r="AE4" s="452"/>
      <c r="AF4" s="452"/>
      <c r="AG4" s="452"/>
      <c r="AH4" s="452"/>
      <c r="AI4" s="449"/>
      <c r="AJ4" s="449"/>
      <c r="AK4" s="449"/>
      <c r="AL4" s="449"/>
      <c r="AM4" s="444"/>
      <c r="AN4" s="444"/>
      <c r="AO4" s="444"/>
      <c r="AP4" s="444"/>
      <c r="AQ4" s="444">
        <v>1343303</v>
      </c>
      <c r="AR4" s="444"/>
      <c r="AS4" s="444"/>
      <c r="AT4" s="444"/>
      <c r="AU4" s="442"/>
      <c r="AV4" s="442"/>
      <c r="AW4" s="442"/>
      <c r="AX4" s="442"/>
      <c r="AY4" s="449">
        <v>1340011</v>
      </c>
      <c r="AZ4" s="449"/>
      <c r="BA4" s="449"/>
      <c r="BB4" s="449"/>
      <c r="BC4" s="444">
        <v>1343005</v>
      </c>
      <c r="BD4" s="444"/>
      <c r="BE4" s="444"/>
      <c r="BF4" s="444"/>
      <c r="BG4" s="454">
        <v>1340004</v>
      </c>
      <c r="BH4" s="454"/>
      <c r="BI4" s="454"/>
      <c r="BJ4" s="454"/>
      <c r="BK4" s="442"/>
      <c r="BL4" s="442"/>
      <c r="BM4" s="442"/>
      <c r="BN4" s="442"/>
      <c r="BO4" s="443"/>
      <c r="BP4" s="443"/>
      <c r="BQ4" s="443"/>
      <c r="BR4" s="443"/>
    </row>
    <row r="5" spans="1:70" s="7" customFormat="1" ht="25.5" customHeight="1" x14ac:dyDescent="0.2">
      <c r="A5" s="6"/>
      <c r="B5" s="6"/>
      <c r="C5" s="447" t="s">
        <v>289</v>
      </c>
      <c r="D5" s="447"/>
      <c r="E5" s="447"/>
      <c r="F5" s="447"/>
      <c r="G5" s="447" t="s">
        <v>290</v>
      </c>
      <c r="H5" s="447"/>
      <c r="I5" s="447"/>
      <c r="J5" s="447"/>
      <c r="K5" s="456"/>
      <c r="L5" s="456"/>
      <c r="M5" s="456"/>
      <c r="N5" s="456"/>
      <c r="O5" s="446" t="s">
        <v>66</v>
      </c>
      <c r="P5" s="446"/>
      <c r="Q5" s="446"/>
      <c r="R5" s="446"/>
      <c r="S5" s="447" t="s">
        <v>67</v>
      </c>
      <c r="T5" s="447"/>
      <c r="U5" s="447"/>
      <c r="V5" s="447"/>
      <c r="W5" s="447" t="s">
        <v>202</v>
      </c>
      <c r="X5" s="447"/>
      <c r="Y5" s="447"/>
      <c r="Z5" s="447"/>
      <c r="AA5" s="442"/>
      <c r="AB5" s="442"/>
      <c r="AC5" s="442"/>
      <c r="AD5" s="442"/>
      <c r="AE5" s="447" t="s">
        <v>203</v>
      </c>
      <c r="AF5" s="447"/>
      <c r="AG5" s="447"/>
      <c r="AH5" s="447"/>
      <c r="AI5" s="447" t="s">
        <v>69</v>
      </c>
      <c r="AJ5" s="447"/>
      <c r="AK5" s="447"/>
      <c r="AL5" s="447"/>
      <c r="AM5" s="447" t="s">
        <v>70</v>
      </c>
      <c r="AN5" s="447"/>
      <c r="AO5" s="447"/>
      <c r="AP5" s="447"/>
      <c r="AQ5" s="447" t="s">
        <v>295</v>
      </c>
      <c r="AR5" s="447"/>
      <c r="AS5" s="447"/>
      <c r="AT5" s="447"/>
      <c r="AU5" s="442"/>
      <c r="AV5" s="442"/>
      <c r="AW5" s="442"/>
      <c r="AX5" s="442"/>
      <c r="AY5" s="453" t="s">
        <v>296</v>
      </c>
      <c r="AZ5" s="453"/>
      <c r="BA5" s="453"/>
      <c r="BB5" s="453"/>
      <c r="BC5" s="447" t="s">
        <v>303</v>
      </c>
      <c r="BD5" s="447"/>
      <c r="BE5" s="447"/>
      <c r="BF5" s="447"/>
      <c r="BG5" s="447" t="s">
        <v>304</v>
      </c>
      <c r="BH5" s="447"/>
      <c r="BI5" s="447"/>
      <c r="BJ5" s="447"/>
      <c r="BK5" s="442"/>
      <c r="BL5" s="442"/>
      <c r="BM5" s="442"/>
      <c r="BN5" s="442"/>
      <c r="BO5" s="443"/>
      <c r="BP5" s="443"/>
      <c r="BQ5" s="443"/>
      <c r="BR5" s="443"/>
    </row>
    <row r="6" spans="1:70" x14ac:dyDescent="0.2">
      <c r="A6" s="3"/>
      <c r="B6" s="3"/>
      <c r="C6" s="448" t="s">
        <v>63</v>
      </c>
      <c r="D6" s="448"/>
      <c r="E6" s="448"/>
      <c r="F6" s="448"/>
      <c r="G6" s="448" t="s">
        <v>64</v>
      </c>
      <c r="H6" s="448"/>
      <c r="I6" s="448"/>
      <c r="J6" s="448"/>
      <c r="K6" s="457" t="s">
        <v>65</v>
      </c>
      <c r="L6" s="457"/>
      <c r="M6" s="457"/>
      <c r="N6" s="457"/>
      <c r="O6" s="448" t="s">
        <v>66</v>
      </c>
      <c r="P6" s="448"/>
      <c r="Q6" s="448"/>
      <c r="R6" s="448"/>
      <c r="S6" s="448" t="s">
        <v>67</v>
      </c>
      <c r="T6" s="448"/>
      <c r="U6" s="448"/>
      <c r="V6" s="448"/>
      <c r="W6" s="448" t="s">
        <v>202</v>
      </c>
      <c r="X6" s="448"/>
      <c r="Y6" s="448"/>
      <c r="Z6" s="448"/>
      <c r="AA6" s="445" t="s">
        <v>68</v>
      </c>
      <c r="AB6" s="445"/>
      <c r="AC6" s="445"/>
      <c r="AD6" s="445"/>
      <c r="AE6" s="448"/>
      <c r="AF6" s="448"/>
      <c r="AG6" s="448"/>
      <c r="AH6" s="448"/>
      <c r="AI6" s="448" t="s">
        <v>69</v>
      </c>
      <c r="AJ6" s="448"/>
      <c r="AK6" s="448"/>
      <c r="AL6" s="448"/>
      <c r="AM6" s="448" t="s">
        <v>70</v>
      </c>
      <c r="AN6" s="448"/>
      <c r="AO6" s="448"/>
      <c r="AP6" s="448"/>
      <c r="AQ6" s="448" t="s">
        <v>205</v>
      </c>
      <c r="AR6" s="448"/>
      <c r="AS6" s="448"/>
      <c r="AT6" s="448"/>
      <c r="AU6" s="445" t="s">
        <v>71</v>
      </c>
      <c r="AV6" s="445"/>
      <c r="AW6" s="445"/>
      <c r="AX6" s="445"/>
      <c r="AY6" s="451" t="s">
        <v>72</v>
      </c>
      <c r="AZ6" s="451"/>
      <c r="BA6" s="451"/>
      <c r="BB6" s="451"/>
      <c r="BC6" s="448" t="s">
        <v>73</v>
      </c>
      <c r="BD6" s="448"/>
      <c r="BE6" s="448"/>
      <c r="BF6" s="448"/>
      <c r="BG6" s="448"/>
      <c r="BH6" s="448"/>
      <c r="BI6" s="448"/>
      <c r="BJ6" s="448"/>
      <c r="BK6" s="445" t="s">
        <v>74</v>
      </c>
      <c r="BL6" s="445"/>
      <c r="BM6" s="445"/>
      <c r="BN6" s="445"/>
      <c r="BO6" s="450" t="s">
        <v>75</v>
      </c>
      <c r="BP6" s="450"/>
      <c r="BQ6" s="450"/>
      <c r="BR6" s="450"/>
    </row>
    <row r="7" spans="1:70" hidden="1" x14ac:dyDescent="0.2">
      <c r="A7" s="206">
        <v>12</v>
      </c>
      <c r="B7" s="42"/>
      <c r="C7" s="84"/>
      <c r="D7" s="85"/>
      <c r="E7" s="85"/>
      <c r="F7" s="86"/>
      <c r="G7" s="41"/>
      <c r="H7" s="41"/>
      <c r="I7" s="41"/>
      <c r="J7" s="41"/>
      <c r="K7" s="208"/>
      <c r="L7" s="208"/>
      <c r="M7" s="208"/>
      <c r="N7" s="208"/>
      <c r="O7" s="41"/>
      <c r="P7" s="41"/>
      <c r="Q7" s="41"/>
      <c r="R7" s="41"/>
      <c r="S7" s="41"/>
      <c r="T7" s="41"/>
      <c r="U7" s="41"/>
      <c r="V7" s="41"/>
      <c r="W7" s="41"/>
      <c r="X7" s="224"/>
      <c r="Y7" s="41"/>
      <c r="Z7" s="41"/>
      <c r="AA7" s="44"/>
      <c r="AB7" s="44"/>
      <c r="AC7" s="44"/>
      <c r="AD7" s="273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224"/>
      <c r="AS7" s="41"/>
      <c r="AT7" s="41"/>
      <c r="AU7" s="44"/>
      <c r="AV7" s="44"/>
      <c r="AW7" s="44"/>
      <c r="AX7" s="273"/>
      <c r="AY7" s="43"/>
      <c r="AZ7" s="43"/>
      <c r="BA7" s="43"/>
      <c r="BB7" s="43"/>
      <c r="BC7" s="41"/>
      <c r="BD7" s="41"/>
      <c r="BE7" s="41"/>
      <c r="BF7" s="41"/>
      <c r="BG7" s="41"/>
      <c r="BH7" s="41"/>
      <c r="BI7" s="41"/>
      <c r="BJ7" s="41"/>
      <c r="BK7" s="44"/>
      <c r="BL7" s="44"/>
      <c r="BM7" s="44"/>
      <c r="BN7" s="273"/>
      <c r="BO7" s="134"/>
      <c r="BP7" s="134"/>
      <c r="BQ7" s="134"/>
      <c r="BR7" s="251"/>
    </row>
    <row r="8" spans="1:70" ht="18" customHeight="1" x14ac:dyDescent="0.2">
      <c r="A8" s="47" t="s">
        <v>0</v>
      </c>
      <c r="B8" s="458" t="s">
        <v>1</v>
      </c>
      <c r="C8" s="430" t="s">
        <v>2</v>
      </c>
      <c r="D8" s="431"/>
      <c r="E8" s="431"/>
      <c r="F8" s="432"/>
      <c r="G8" s="430" t="s">
        <v>2</v>
      </c>
      <c r="H8" s="431"/>
      <c r="I8" s="431"/>
      <c r="J8" s="432"/>
      <c r="K8" s="460" t="s">
        <v>2</v>
      </c>
      <c r="L8" s="461"/>
      <c r="M8" s="461"/>
      <c r="N8" s="462"/>
      <c r="O8" s="430" t="s">
        <v>2</v>
      </c>
      <c r="P8" s="431"/>
      <c r="Q8" s="431"/>
      <c r="R8" s="432"/>
      <c r="S8" s="430" t="s">
        <v>2</v>
      </c>
      <c r="T8" s="431"/>
      <c r="U8" s="431"/>
      <c r="V8" s="432"/>
      <c r="W8" s="430" t="s">
        <v>2</v>
      </c>
      <c r="X8" s="431"/>
      <c r="Y8" s="431"/>
      <c r="Z8" s="432"/>
      <c r="AA8" s="430" t="s">
        <v>2</v>
      </c>
      <c r="AB8" s="431"/>
      <c r="AC8" s="431"/>
      <c r="AD8" s="432"/>
      <c r="AE8" s="430" t="s">
        <v>2</v>
      </c>
      <c r="AF8" s="431"/>
      <c r="AG8" s="431"/>
      <c r="AH8" s="432"/>
      <c r="AI8" s="430" t="s">
        <v>2</v>
      </c>
      <c r="AJ8" s="431"/>
      <c r="AK8" s="431"/>
      <c r="AL8" s="432"/>
      <c r="AM8" s="430" t="s">
        <v>2</v>
      </c>
      <c r="AN8" s="431"/>
      <c r="AO8" s="431"/>
      <c r="AP8" s="432"/>
      <c r="AQ8" s="430" t="s">
        <v>2</v>
      </c>
      <c r="AR8" s="431"/>
      <c r="AS8" s="431"/>
      <c r="AT8" s="432"/>
      <c r="AU8" s="430" t="s">
        <v>2</v>
      </c>
      <c r="AV8" s="431"/>
      <c r="AW8" s="431"/>
      <c r="AX8" s="432"/>
      <c r="AY8" s="430" t="s">
        <v>2</v>
      </c>
      <c r="AZ8" s="431"/>
      <c r="BA8" s="431"/>
      <c r="BB8" s="432"/>
      <c r="BC8" s="430" t="s">
        <v>2</v>
      </c>
      <c r="BD8" s="431"/>
      <c r="BE8" s="431"/>
      <c r="BF8" s="432"/>
      <c r="BG8" s="430" t="s">
        <v>2</v>
      </c>
      <c r="BH8" s="431"/>
      <c r="BI8" s="431"/>
      <c r="BJ8" s="432"/>
      <c r="BK8" s="430" t="s">
        <v>2</v>
      </c>
      <c r="BL8" s="431"/>
      <c r="BM8" s="431"/>
      <c r="BN8" s="432"/>
      <c r="BO8" s="430" t="s">
        <v>2</v>
      </c>
      <c r="BP8" s="431"/>
      <c r="BQ8" s="431"/>
      <c r="BR8" s="432"/>
    </row>
    <row r="9" spans="1:70" s="40" customFormat="1" ht="62.25" customHeight="1" x14ac:dyDescent="0.2">
      <c r="A9" s="47"/>
      <c r="B9" s="459"/>
      <c r="C9" s="146" t="s">
        <v>181</v>
      </c>
      <c r="D9" s="146" t="s">
        <v>353</v>
      </c>
      <c r="E9" s="146" t="s">
        <v>182</v>
      </c>
      <c r="F9" s="146" t="s">
        <v>183</v>
      </c>
      <c r="G9" s="146" t="s">
        <v>181</v>
      </c>
      <c r="H9" s="146" t="s">
        <v>353</v>
      </c>
      <c r="I9" s="146" t="s">
        <v>182</v>
      </c>
      <c r="J9" s="146" t="s">
        <v>183</v>
      </c>
      <c r="K9" s="207" t="s">
        <v>181</v>
      </c>
      <c r="L9" s="207" t="s">
        <v>353</v>
      </c>
      <c r="M9" s="207" t="s">
        <v>182</v>
      </c>
      <c r="N9" s="207" t="s">
        <v>183</v>
      </c>
      <c r="O9" s="146" t="s">
        <v>181</v>
      </c>
      <c r="P9" s="146" t="s">
        <v>353</v>
      </c>
      <c r="Q9" s="146" t="s">
        <v>182</v>
      </c>
      <c r="R9" s="146" t="s">
        <v>183</v>
      </c>
      <c r="S9" s="146" t="s">
        <v>181</v>
      </c>
      <c r="T9" s="146" t="s">
        <v>353</v>
      </c>
      <c r="U9" s="146" t="s">
        <v>182</v>
      </c>
      <c r="V9" s="146" t="s">
        <v>183</v>
      </c>
      <c r="W9" s="146" t="s">
        <v>181</v>
      </c>
      <c r="X9" s="225" t="s">
        <v>353</v>
      </c>
      <c r="Y9" s="146" t="s">
        <v>182</v>
      </c>
      <c r="Z9" s="146" t="s">
        <v>183</v>
      </c>
      <c r="AA9" s="146" t="s">
        <v>181</v>
      </c>
      <c r="AB9" s="146" t="s">
        <v>353</v>
      </c>
      <c r="AC9" s="146" t="s">
        <v>182</v>
      </c>
      <c r="AD9" s="146" t="s">
        <v>183</v>
      </c>
      <c r="AE9" s="146" t="s">
        <v>181</v>
      </c>
      <c r="AF9" s="146" t="s">
        <v>353</v>
      </c>
      <c r="AG9" s="146" t="s">
        <v>182</v>
      </c>
      <c r="AH9" s="146" t="s">
        <v>183</v>
      </c>
      <c r="AI9" s="146" t="s">
        <v>181</v>
      </c>
      <c r="AJ9" s="146" t="s">
        <v>353</v>
      </c>
      <c r="AK9" s="146" t="s">
        <v>182</v>
      </c>
      <c r="AL9" s="146" t="s">
        <v>183</v>
      </c>
      <c r="AM9" s="146" t="s">
        <v>181</v>
      </c>
      <c r="AN9" s="146" t="s">
        <v>353</v>
      </c>
      <c r="AO9" s="146" t="s">
        <v>182</v>
      </c>
      <c r="AP9" s="146" t="s">
        <v>183</v>
      </c>
      <c r="AQ9" s="146" t="s">
        <v>181</v>
      </c>
      <c r="AR9" s="225" t="s">
        <v>353</v>
      </c>
      <c r="AS9" s="146" t="s">
        <v>182</v>
      </c>
      <c r="AT9" s="146" t="s">
        <v>183</v>
      </c>
      <c r="AU9" s="146" t="s">
        <v>181</v>
      </c>
      <c r="AV9" s="146" t="s">
        <v>353</v>
      </c>
      <c r="AW9" s="146" t="s">
        <v>182</v>
      </c>
      <c r="AX9" s="146" t="s">
        <v>183</v>
      </c>
      <c r="AY9" s="146" t="s">
        <v>181</v>
      </c>
      <c r="AZ9" s="146" t="s">
        <v>353</v>
      </c>
      <c r="BA9" s="146" t="s">
        <v>182</v>
      </c>
      <c r="BB9" s="146" t="s">
        <v>183</v>
      </c>
      <c r="BC9" s="146" t="s">
        <v>181</v>
      </c>
      <c r="BD9" s="146" t="s">
        <v>353</v>
      </c>
      <c r="BE9" s="146" t="s">
        <v>182</v>
      </c>
      <c r="BF9" s="146" t="s">
        <v>183</v>
      </c>
      <c r="BG9" s="146" t="s">
        <v>181</v>
      </c>
      <c r="BH9" s="146" t="s">
        <v>353</v>
      </c>
      <c r="BI9" s="146" t="s">
        <v>182</v>
      </c>
      <c r="BJ9" s="146" t="s">
        <v>183</v>
      </c>
      <c r="BK9" s="146" t="s">
        <v>181</v>
      </c>
      <c r="BL9" s="146" t="s">
        <v>353</v>
      </c>
      <c r="BM9" s="146" t="s">
        <v>182</v>
      </c>
      <c r="BN9" s="146" t="s">
        <v>183</v>
      </c>
      <c r="BO9" s="146" t="s">
        <v>181</v>
      </c>
      <c r="BP9" s="146" t="s">
        <v>353</v>
      </c>
      <c r="BQ9" s="146" t="s">
        <v>182</v>
      </c>
      <c r="BR9" s="146" t="s">
        <v>183</v>
      </c>
    </row>
    <row r="10" spans="1:70" x14ac:dyDescent="0.2">
      <c r="A10" s="2">
        <v>1</v>
      </c>
      <c r="B10" s="2">
        <v>3</v>
      </c>
      <c r="C10" s="2">
        <v>4</v>
      </c>
      <c r="D10" s="2">
        <v>5</v>
      </c>
      <c r="E10" s="2">
        <v>6</v>
      </c>
      <c r="F10" s="2">
        <v>7</v>
      </c>
      <c r="G10" s="2">
        <v>4</v>
      </c>
      <c r="H10" s="2">
        <v>5</v>
      </c>
      <c r="I10" s="2">
        <v>6</v>
      </c>
      <c r="J10" s="2">
        <v>7</v>
      </c>
      <c r="K10" s="209">
        <v>4</v>
      </c>
      <c r="L10" s="148">
        <v>5</v>
      </c>
      <c r="M10" s="148">
        <v>6</v>
      </c>
      <c r="N10" s="148">
        <v>7</v>
      </c>
      <c r="O10" s="2">
        <v>4</v>
      </c>
      <c r="P10" s="2">
        <v>5</v>
      </c>
      <c r="Q10" s="2">
        <v>6</v>
      </c>
      <c r="R10" s="2">
        <v>7</v>
      </c>
      <c r="S10" s="2">
        <v>4</v>
      </c>
      <c r="T10" s="2">
        <v>5</v>
      </c>
      <c r="U10" s="2">
        <v>6</v>
      </c>
      <c r="V10" s="2">
        <v>7</v>
      </c>
      <c r="W10" s="2">
        <v>4</v>
      </c>
      <c r="X10" s="226">
        <v>5</v>
      </c>
      <c r="Y10" s="2">
        <v>6</v>
      </c>
      <c r="Z10" s="2">
        <v>7</v>
      </c>
      <c r="AA10" s="1">
        <v>4</v>
      </c>
      <c r="AB10" s="2">
        <v>5</v>
      </c>
      <c r="AC10" s="2">
        <v>6</v>
      </c>
      <c r="AD10" s="148">
        <v>7</v>
      </c>
      <c r="AE10" s="2">
        <v>4</v>
      </c>
      <c r="AF10" s="2">
        <v>5</v>
      </c>
      <c r="AG10" s="2">
        <v>6</v>
      </c>
      <c r="AH10" s="2">
        <v>7</v>
      </c>
      <c r="AI10" s="2">
        <v>4</v>
      </c>
      <c r="AJ10" s="2">
        <v>5</v>
      </c>
      <c r="AK10" s="2">
        <v>6</v>
      </c>
      <c r="AL10" s="2">
        <v>7</v>
      </c>
      <c r="AM10" s="2">
        <v>4</v>
      </c>
      <c r="AN10" s="2">
        <v>5</v>
      </c>
      <c r="AO10" s="2">
        <v>6</v>
      </c>
      <c r="AP10" s="2">
        <v>7</v>
      </c>
      <c r="AQ10" s="2">
        <v>4</v>
      </c>
      <c r="AR10" s="226">
        <v>5</v>
      </c>
      <c r="AS10" s="2">
        <v>6</v>
      </c>
      <c r="AT10" s="2">
        <v>7</v>
      </c>
      <c r="AU10" s="2">
        <v>4</v>
      </c>
      <c r="AV10" s="2">
        <v>5</v>
      </c>
      <c r="AW10" s="2">
        <v>6</v>
      </c>
      <c r="AX10" s="148">
        <v>7</v>
      </c>
      <c r="AY10" s="2">
        <v>4</v>
      </c>
      <c r="AZ10" s="2">
        <v>5</v>
      </c>
      <c r="BA10" s="2">
        <v>6</v>
      </c>
      <c r="BB10" s="2">
        <v>7</v>
      </c>
      <c r="BC10" s="2">
        <v>4</v>
      </c>
      <c r="BD10" s="2">
        <v>5</v>
      </c>
      <c r="BE10" s="2">
        <v>6</v>
      </c>
      <c r="BF10" s="2">
        <v>7</v>
      </c>
      <c r="BG10" s="2">
        <v>4</v>
      </c>
      <c r="BH10" s="2">
        <v>5</v>
      </c>
      <c r="BI10" s="2">
        <v>6</v>
      </c>
      <c r="BJ10" s="2">
        <v>7</v>
      </c>
      <c r="BK10" s="1">
        <v>4</v>
      </c>
      <c r="BL10" s="2">
        <v>5</v>
      </c>
      <c r="BM10" s="2">
        <v>6</v>
      </c>
      <c r="BN10" s="148">
        <v>7</v>
      </c>
      <c r="BO10" s="148">
        <v>4</v>
      </c>
      <c r="BP10" s="148">
        <v>5</v>
      </c>
      <c r="BQ10" s="148">
        <v>6</v>
      </c>
      <c r="BR10" s="148">
        <v>7</v>
      </c>
    </row>
    <row r="11" spans="1:70" s="22" customFormat="1" ht="14.1" customHeight="1" x14ac:dyDescent="0.2">
      <c r="A11" s="149" t="s">
        <v>124</v>
      </c>
      <c r="B11" s="19"/>
      <c r="C11" s="20"/>
      <c r="D11" s="20"/>
      <c r="E11" s="20"/>
      <c r="F11" s="21"/>
      <c r="G11" s="20"/>
      <c r="H11" s="20"/>
      <c r="I11" s="20"/>
      <c r="J11" s="21"/>
      <c r="K11" s="210"/>
      <c r="L11" s="210"/>
      <c r="M11" s="210"/>
      <c r="N11" s="210"/>
      <c r="O11" s="20"/>
      <c r="P11" s="20"/>
      <c r="Q11" s="20"/>
      <c r="R11" s="21"/>
      <c r="S11" s="20"/>
      <c r="T11" s="20"/>
      <c r="U11" s="20"/>
      <c r="V11" s="21"/>
      <c r="W11" s="21"/>
      <c r="X11" s="227"/>
      <c r="Y11" s="21"/>
      <c r="Z11" s="21"/>
      <c r="AA11" s="23"/>
      <c r="AB11" s="23"/>
      <c r="AC11" s="23"/>
      <c r="AD11" s="210"/>
      <c r="AE11" s="20"/>
      <c r="AF11" s="20"/>
      <c r="AG11" s="20"/>
      <c r="AH11" s="21"/>
      <c r="AI11" s="20"/>
      <c r="AJ11" s="20"/>
      <c r="AK11" s="20"/>
      <c r="AL11" s="21"/>
      <c r="AM11" s="20"/>
      <c r="AN11" s="20"/>
      <c r="AO11" s="20"/>
      <c r="AP11" s="21"/>
      <c r="AQ11" s="20"/>
      <c r="AR11" s="230"/>
      <c r="AS11" s="20"/>
      <c r="AT11" s="21"/>
      <c r="AU11" s="23"/>
      <c r="AV11" s="23"/>
      <c r="AW11" s="23"/>
      <c r="AX11" s="210"/>
      <c r="AY11" s="20"/>
      <c r="AZ11" s="20"/>
      <c r="BA11" s="20"/>
      <c r="BB11" s="21"/>
      <c r="BC11" s="20"/>
      <c r="BD11" s="20"/>
      <c r="BE11" s="20"/>
      <c r="BF11" s="21"/>
      <c r="BG11" s="20"/>
      <c r="BH11" s="20"/>
      <c r="BI11" s="20"/>
      <c r="BJ11" s="21"/>
      <c r="BK11" s="23"/>
      <c r="BL11" s="23"/>
      <c r="BM11" s="23"/>
      <c r="BN11" s="210"/>
      <c r="BO11" s="210"/>
      <c r="BP11" s="210"/>
      <c r="BQ11" s="210"/>
      <c r="BR11" s="210"/>
    </row>
    <row r="12" spans="1:70" s="22" customFormat="1" ht="14.1" customHeight="1" x14ac:dyDescent="0.2">
      <c r="A12" s="112" t="s">
        <v>125</v>
      </c>
      <c r="B12" s="196" t="s">
        <v>3</v>
      </c>
      <c r="C12" s="117">
        <f t="shared" ref="C12:D12" si="0">C14+C15+C16+C17</f>
        <v>13468</v>
      </c>
      <c r="D12" s="117">
        <f t="shared" si="0"/>
        <v>13468</v>
      </c>
      <c r="E12" s="117">
        <f t="shared" ref="E12" si="1">E14+E15+E16+E17</f>
        <v>38877</v>
      </c>
      <c r="F12" s="117">
        <f>IF(D12=0,0,E12/D12*100)</f>
        <v>288.66201366201369</v>
      </c>
      <c r="G12" s="117">
        <f t="shared" ref="G12:H12" si="2">G14+G15+G16+G17</f>
        <v>1392</v>
      </c>
      <c r="H12" s="117">
        <f t="shared" si="2"/>
        <v>1392</v>
      </c>
      <c r="I12" s="117">
        <f t="shared" ref="I12" si="3">I14+I15+I16+I17</f>
        <v>1392</v>
      </c>
      <c r="J12" s="117">
        <f>IF(H12=0,0,I12/H12*100)</f>
        <v>100</v>
      </c>
      <c r="K12" s="158">
        <f>G12+C12</f>
        <v>14860</v>
      </c>
      <c r="L12" s="158">
        <f>H12+D12</f>
        <v>14860</v>
      </c>
      <c r="M12" s="158">
        <f t="shared" ref="M12:M77" si="4">I12+E12</f>
        <v>40269</v>
      </c>
      <c r="N12" s="158">
        <f>IF(L12=0,0,M12/L12*100)</f>
        <v>270.98923283983851</v>
      </c>
      <c r="O12" s="117">
        <f t="shared" ref="O12" si="5">O14+O15+O16+O17</f>
        <v>0</v>
      </c>
      <c r="P12" s="115"/>
      <c r="Q12" s="117">
        <f t="shared" ref="Q12" si="6">Q14+Q15+Q16+Q17</f>
        <v>0</v>
      </c>
      <c r="R12" s="117" t="e">
        <f t="shared" ref="R12:R26" si="7">Q12/P12*100</f>
        <v>#DIV/0!</v>
      </c>
      <c r="S12" s="117">
        <f t="shared" ref="S12" si="8">S14+S15+S16+S17</f>
        <v>0</v>
      </c>
      <c r="T12" s="115"/>
      <c r="U12" s="117">
        <f t="shared" ref="U12" si="9">U14+U15+U16+U17</f>
        <v>0</v>
      </c>
      <c r="V12" s="117" t="e">
        <f t="shared" ref="V12:V26" si="10">U12/T12*100</f>
        <v>#DIV/0!</v>
      </c>
      <c r="W12" s="117">
        <f t="shared" ref="W12:X12" si="11">W14+W15+W16+W17</f>
        <v>16602</v>
      </c>
      <c r="X12" s="117">
        <f t="shared" si="11"/>
        <v>16602</v>
      </c>
      <c r="Y12" s="117">
        <f t="shared" ref="Y12" si="12">Y14+Y15+Y16+Y17</f>
        <v>23050</v>
      </c>
      <c r="Z12" s="117">
        <f>IF(X12=0,0,Y12/X12*100)</f>
        <v>138.83869413323694</v>
      </c>
      <c r="AA12" s="210">
        <f>S12+O12+W12</f>
        <v>16602</v>
      </c>
      <c r="AB12" s="210">
        <f t="shared" ref="AB12:AC77" si="13">T12+P12+X12</f>
        <v>16602</v>
      </c>
      <c r="AC12" s="210">
        <f t="shared" si="13"/>
        <v>23050</v>
      </c>
      <c r="AD12" s="210">
        <f>IF(AB12=0,0,AC12/AB12*100)</f>
        <v>138.83869413323694</v>
      </c>
      <c r="AE12" s="117">
        <f t="shared" ref="AE12" si="14">AE14+AE15+AE16+AE17</f>
        <v>0</v>
      </c>
      <c r="AF12" s="117"/>
      <c r="AG12" s="117">
        <f t="shared" ref="AG12" si="15">AG14+AG15+AG16+AG17</f>
        <v>0</v>
      </c>
      <c r="AH12" s="117" t="e">
        <f t="shared" ref="AH12:AH26" si="16">AG12/AF12*100</f>
        <v>#DIV/0!</v>
      </c>
      <c r="AI12" s="117">
        <f t="shared" ref="AI12" si="17">AI14+AI15+AI16+AI17</f>
        <v>0</v>
      </c>
      <c r="AJ12" s="115"/>
      <c r="AK12" s="117">
        <f t="shared" ref="AK12" si="18">AK14+AK15+AK16+AK17</f>
        <v>0</v>
      </c>
      <c r="AL12" s="117" t="e">
        <f t="shared" ref="AL12:AL26" si="19">AK12/AJ12*100</f>
        <v>#DIV/0!</v>
      </c>
      <c r="AM12" s="117">
        <f t="shared" ref="AM12" si="20">AM14+AM15+AM16+AM17</f>
        <v>0</v>
      </c>
      <c r="AN12" s="115"/>
      <c r="AO12" s="117">
        <f t="shared" ref="AO12" si="21">AO14+AO15+AO16+AO17</f>
        <v>0</v>
      </c>
      <c r="AP12" s="117" t="e">
        <f t="shared" ref="AP12:AP26" si="22">AO12/AN12*100</f>
        <v>#DIV/0!</v>
      </c>
      <c r="AQ12" s="117">
        <f t="shared" ref="AQ12:AR12" si="23">AQ14+AQ15+AQ16+AQ17</f>
        <v>48068</v>
      </c>
      <c r="AR12" s="117">
        <f t="shared" si="23"/>
        <v>48068</v>
      </c>
      <c r="AS12" s="117">
        <f t="shared" ref="AS12" si="24">AS14+AS15+AS16+AS17</f>
        <v>83382</v>
      </c>
      <c r="AT12" s="117">
        <f>IF(AR12=0,0,AS12/AR12*100)</f>
        <v>173.46675542980776</v>
      </c>
      <c r="AU12" s="210">
        <f>SUM(AM12,AI12,AE12)+AQ12</f>
        <v>48068</v>
      </c>
      <c r="AV12" s="210">
        <f>SUM(AN12,AJ12,AF12)+AR12</f>
        <v>48068</v>
      </c>
      <c r="AW12" s="210">
        <f>SUM(AO12,AK12,AG12)+AS12</f>
        <v>83382</v>
      </c>
      <c r="AX12" s="210">
        <f>IF(AV12=0,0,AW12/AV12*100)</f>
        <v>173.46675542980776</v>
      </c>
      <c r="AY12" s="117">
        <f t="shared" ref="AY12:AZ12" si="25">AY14+AY15+AY16+AY17</f>
        <v>17717</v>
      </c>
      <c r="AZ12" s="117">
        <f t="shared" si="25"/>
        <v>17717</v>
      </c>
      <c r="BA12" s="117">
        <f t="shared" ref="BA12" si="26">BA14+BA15+BA16+BA17</f>
        <v>21051</v>
      </c>
      <c r="BB12" s="117">
        <f>IF(AZ12=0,0,BA12/AZ12*100)</f>
        <v>118.8180843257888</v>
      </c>
      <c r="BC12" s="117">
        <f t="shared" ref="BC12:BD12" si="27">BC14+BC15+BC16+BC17</f>
        <v>6714</v>
      </c>
      <c r="BD12" s="117">
        <f t="shared" si="27"/>
        <v>6714</v>
      </c>
      <c r="BE12" s="117">
        <f t="shared" ref="BE12" si="28">BE14+BE15+BE16+BE17</f>
        <v>6884</v>
      </c>
      <c r="BF12" s="117">
        <f>IF(BD12=0,0,BE12/BD12*100)</f>
        <v>102.53202263926124</v>
      </c>
      <c r="BG12" s="117">
        <f t="shared" ref="BG12:BH12" si="29">BG14+BG15+BG16+BG17</f>
        <v>34945</v>
      </c>
      <c r="BH12" s="117">
        <f t="shared" si="29"/>
        <v>34945</v>
      </c>
      <c r="BI12" s="117">
        <f t="shared" ref="BI12" si="30">BI14+BI15+BI16+BI17</f>
        <v>55899</v>
      </c>
      <c r="BJ12" s="117">
        <f>IF(BH12=0,0,BI12/BH12*100)</f>
        <v>159.96279868364573</v>
      </c>
      <c r="BK12" s="235">
        <f t="shared" ref="BK12:BK77" si="31">BG12+BC12</f>
        <v>41659</v>
      </c>
      <c r="BL12" s="235">
        <f t="shared" ref="BL12:BL77" si="32">BH12+BD12</f>
        <v>41659</v>
      </c>
      <c r="BM12" s="235">
        <f t="shared" ref="BM12:BM77" si="33">BI12+BE12</f>
        <v>62783</v>
      </c>
      <c r="BN12" s="235">
        <f>IF(BL12=0,0,BM12/BL12*100)</f>
        <v>150.70693007513384</v>
      </c>
      <c r="BO12" s="235">
        <f t="shared" ref="BO12:BO77" si="34">SUM(BK12,AY12,AU12,AA12,K12)</f>
        <v>138906</v>
      </c>
      <c r="BP12" s="235">
        <f t="shared" ref="BP12:BP77" si="35">SUM(BL12,AZ12,AV12,AB12,L12)</f>
        <v>138906</v>
      </c>
      <c r="BQ12" s="235">
        <f t="shared" ref="BQ12:BQ77" si="36">SUM(BM12,BA12,AW12,AC12,M12)</f>
        <v>230535</v>
      </c>
      <c r="BR12" s="235">
        <f>IF(BP12=0,0,BQ12/BP12*100)</f>
        <v>165.96475314241286</v>
      </c>
    </row>
    <row r="13" spans="1:70" s="22" customFormat="1" ht="15" customHeight="1" x14ac:dyDescent="0.2">
      <c r="A13" s="154" t="s">
        <v>126</v>
      </c>
      <c r="B13" s="197" t="s">
        <v>3</v>
      </c>
      <c r="C13" s="99"/>
      <c r="D13" s="97">
        <f t="shared" ref="D13:D27" si="37">ROUND(C13/12*$A$7,0)</f>
        <v>0</v>
      </c>
      <c r="E13" s="99"/>
      <c r="F13" s="99">
        <f t="shared" ref="F13:F78" si="38">IF(D13=0,0,E13/D13*100)</f>
        <v>0</v>
      </c>
      <c r="G13" s="99"/>
      <c r="H13" s="97">
        <f t="shared" ref="H13:H27" si="39">ROUND(G13/12*$A$7,0)</f>
        <v>0</v>
      </c>
      <c r="I13" s="99"/>
      <c r="J13" s="99">
        <f t="shared" ref="J13:J78" si="40">IF(H13=0,0,I13/H13*100)</f>
        <v>0</v>
      </c>
      <c r="K13" s="210">
        <f t="shared" ref="K13:K78" si="41">G13+C13</f>
        <v>0</v>
      </c>
      <c r="L13" s="210">
        <f t="shared" ref="L13:L78" si="42">H13+D13</f>
        <v>0</v>
      </c>
      <c r="M13" s="210">
        <f t="shared" si="4"/>
        <v>0</v>
      </c>
      <c r="N13" s="158">
        <f t="shared" ref="N13:N78" si="43">IF(L13=0,0,M13/L13*100)</f>
        <v>0</v>
      </c>
      <c r="O13" s="99"/>
      <c r="P13" s="97"/>
      <c r="Q13" s="99"/>
      <c r="R13" s="99" t="e">
        <f t="shared" si="7"/>
        <v>#DIV/0!</v>
      </c>
      <c r="S13" s="99"/>
      <c r="T13" s="97"/>
      <c r="U13" s="99"/>
      <c r="V13" s="99" t="e">
        <f t="shared" si="10"/>
        <v>#DIV/0!</v>
      </c>
      <c r="W13" s="99"/>
      <c r="X13" s="228">
        <f t="shared" ref="X13:X22" si="44">(W13/11)+S13+O13</f>
        <v>0</v>
      </c>
      <c r="Y13" s="99"/>
      <c r="Z13" s="99">
        <f t="shared" ref="Z13:Z78" si="45">IF(X13=0,0,Y13/X13*100)</f>
        <v>0</v>
      </c>
      <c r="AA13" s="210">
        <f t="shared" ref="AA13:AA78" si="46">S13+O13+W13</f>
        <v>0</v>
      </c>
      <c r="AB13" s="210">
        <f t="shared" si="13"/>
        <v>0</v>
      </c>
      <c r="AC13" s="210">
        <f t="shared" si="13"/>
        <v>0</v>
      </c>
      <c r="AD13" s="210">
        <f t="shared" ref="AD13:AD78" si="47">IF(AB13=0,0,AC13/AB13*100)</f>
        <v>0</v>
      </c>
      <c r="AE13" s="99"/>
      <c r="AF13" s="99"/>
      <c r="AG13" s="99"/>
      <c r="AH13" s="99" t="e">
        <f t="shared" si="16"/>
        <v>#DIV/0!</v>
      </c>
      <c r="AI13" s="99"/>
      <c r="AJ13" s="97"/>
      <c r="AK13" s="99"/>
      <c r="AL13" s="99" t="e">
        <f t="shared" si="19"/>
        <v>#DIV/0!</v>
      </c>
      <c r="AM13" s="99"/>
      <c r="AN13" s="97"/>
      <c r="AO13" s="99"/>
      <c r="AP13" s="99" t="e">
        <f t="shared" si="22"/>
        <v>#DIV/0!</v>
      </c>
      <c r="AQ13" s="99"/>
      <c r="AR13" s="228">
        <f t="shared" ref="AR13:AR32" si="48">(AQ13/11)+AM13+AI13+AE13</f>
        <v>0</v>
      </c>
      <c r="AS13" s="99"/>
      <c r="AT13" s="99">
        <f t="shared" ref="AT13:AT78" si="49">IF(AR13=0,0,AS13/AR13*100)</f>
        <v>0</v>
      </c>
      <c r="AU13" s="210">
        <f t="shared" ref="AU13:AU78" si="50">SUM(AM13,AI13,AE13)+AQ13</f>
        <v>0</v>
      </c>
      <c r="AV13" s="210">
        <f t="shared" ref="AV13:AV78" si="51">SUM(AN13,AJ13,AF13)+AR13</f>
        <v>0</v>
      </c>
      <c r="AW13" s="210">
        <f t="shared" ref="AW13:AW78" si="52">SUM(AO13,AK13,AG13)+AS13</f>
        <v>0</v>
      </c>
      <c r="AX13" s="210">
        <f t="shared" ref="AX13:AX78" si="53">IF(AV13=0,0,AW13/AV13*100)</f>
        <v>0</v>
      </c>
      <c r="AY13" s="99"/>
      <c r="AZ13" s="97">
        <f t="shared" ref="AZ13:AZ27" si="54">ROUND(AY13/12*$A$7,0)</f>
        <v>0</v>
      </c>
      <c r="BA13" s="99"/>
      <c r="BB13" s="99">
        <f t="shared" ref="BB13:BB78" si="55">IF(AZ13=0,0,BA13/AZ13*100)</f>
        <v>0</v>
      </c>
      <c r="BC13" s="99"/>
      <c r="BD13" s="97">
        <f t="shared" ref="BD13:BD27" si="56">ROUND(BC13/12*$A$7,0)</f>
        <v>0</v>
      </c>
      <c r="BE13" s="99"/>
      <c r="BF13" s="99">
        <f t="shared" ref="BF13:BF78" si="57">IF(BD13=0,0,BE13/BD13*100)</f>
        <v>0</v>
      </c>
      <c r="BG13" s="99"/>
      <c r="BH13" s="97">
        <f t="shared" ref="BH13:BH27" si="58">ROUND(BG13/12*$A$7,0)</f>
        <v>0</v>
      </c>
      <c r="BI13" s="99"/>
      <c r="BJ13" s="99">
        <f t="shared" ref="BJ13:BJ78" si="59">IF(BH13=0,0,BI13/BH13*100)</f>
        <v>0</v>
      </c>
      <c r="BK13" s="235">
        <f t="shared" si="31"/>
        <v>0</v>
      </c>
      <c r="BL13" s="235">
        <f t="shared" si="32"/>
        <v>0</v>
      </c>
      <c r="BM13" s="235">
        <f t="shared" si="33"/>
        <v>0</v>
      </c>
      <c r="BN13" s="235">
        <f t="shared" ref="BN13:BN78" si="60">IF(BL13=0,0,BM13/BL13*100)</f>
        <v>0</v>
      </c>
      <c r="BO13" s="235">
        <f t="shared" si="34"/>
        <v>0</v>
      </c>
      <c r="BP13" s="235">
        <f t="shared" si="35"/>
        <v>0</v>
      </c>
      <c r="BQ13" s="235">
        <f t="shared" si="36"/>
        <v>0</v>
      </c>
      <c r="BR13" s="235">
        <f t="shared" ref="BR13:BR78" si="61">IF(BP13=0,0,BQ13/BP13*100)</f>
        <v>0</v>
      </c>
    </row>
    <row r="14" spans="1:70" s="22" customFormat="1" ht="15.75" x14ac:dyDescent="0.2">
      <c r="A14" s="154" t="s">
        <v>127</v>
      </c>
      <c r="B14" s="197" t="s">
        <v>3</v>
      </c>
      <c r="C14" s="99"/>
      <c r="D14" s="97">
        <f t="shared" si="37"/>
        <v>0</v>
      </c>
      <c r="E14" s="99"/>
      <c r="F14" s="99">
        <f t="shared" si="38"/>
        <v>0</v>
      </c>
      <c r="G14" s="99"/>
      <c r="H14" s="97">
        <f t="shared" si="39"/>
        <v>0</v>
      </c>
      <c r="I14" s="99"/>
      <c r="J14" s="99">
        <f t="shared" si="40"/>
        <v>0</v>
      </c>
      <c r="K14" s="210">
        <f t="shared" si="41"/>
        <v>0</v>
      </c>
      <c r="L14" s="210">
        <f t="shared" si="42"/>
        <v>0</v>
      </c>
      <c r="M14" s="210">
        <f t="shared" si="4"/>
        <v>0</v>
      </c>
      <c r="N14" s="158">
        <f t="shared" si="43"/>
        <v>0</v>
      </c>
      <c r="O14" s="99"/>
      <c r="P14" s="97"/>
      <c r="Q14" s="99"/>
      <c r="R14" s="99" t="e">
        <f t="shared" si="7"/>
        <v>#DIV/0!</v>
      </c>
      <c r="S14" s="99"/>
      <c r="T14" s="97"/>
      <c r="U14" s="99"/>
      <c r="V14" s="99" t="e">
        <f t="shared" si="10"/>
        <v>#DIV/0!</v>
      </c>
      <c r="W14" s="99"/>
      <c r="X14" s="228">
        <f t="shared" si="44"/>
        <v>0</v>
      </c>
      <c r="Y14" s="99"/>
      <c r="Z14" s="99">
        <f t="shared" si="45"/>
        <v>0</v>
      </c>
      <c r="AA14" s="210">
        <f t="shared" si="46"/>
        <v>0</v>
      </c>
      <c r="AB14" s="210">
        <f t="shared" si="13"/>
        <v>0</v>
      </c>
      <c r="AC14" s="210">
        <f t="shared" si="13"/>
        <v>0</v>
      </c>
      <c r="AD14" s="210">
        <f t="shared" si="47"/>
        <v>0</v>
      </c>
      <c r="AE14" s="99"/>
      <c r="AF14" s="99"/>
      <c r="AG14" s="99"/>
      <c r="AH14" s="99" t="e">
        <f t="shared" si="16"/>
        <v>#DIV/0!</v>
      </c>
      <c r="AI14" s="99"/>
      <c r="AJ14" s="97"/>
      <c r="AK14" s="99"/>
      <c r="AL14" s="99" t="e">
        <f t="shared" si="19"/>
        <v>#DIV/0!</v>
      </c>
      <c r="AM14" s="99"/>
      <c r="AN14" s="97"/>
      <c r="AO14" s="99"/>
      <c r="AP14" s="99" t="e">
        <f t="shared" si="22"/>
        <v>#DIV/0!</v>
      </c>
      <c r="AQ14" s="99"/>
      <c r="AR14" s="228">
        <f t="shared" si="48"/>
        <v>0</v>
      </c>
      <c r="AS14" s="99"/>
      <c r="AT14" s="99">
        <f t="shared" si="49"/>
        <v>0</v>
      </c>
      <c r="AU14" s="210">
        <f t="shared" si="50"/>
        <v>0</v>
      </c>
      <c r="AV14" s="210">
        <f t="shared" si="51"/>
        <v>0</v>
      </c>
      <c r="AW14" s="210">
        <f t="shared" si="52"/>
        <v>0</v>
      </c>
      <c r="AX14" s="210">
        <f t="shared" si="53"/>
        <v>0</v>
      </c>
      <c r="AY14" s="99"/>
      <c r="AZ14" s="97">
        <f t="shared" si="54"/>
        <v>0</v>
      </c>
      <c r="BA14" s="99"/>
      <c r="BB14" s="99">
        <f t="shared" si="55"/>
        <v>0</v>
      </c>
      <c r="BC14" s="99"/>
      <c r="BD14" s="97">
        <f t="shared" si="56"/>
        <v>0</v>
      </c>
      <c r="BE14" s="99"/>
      <c r="BF14" s="99">
        <f t="shared" si="57"/>
        <v>0</v>
      </c>
      <c r="BG14" s="99"/>
      <c r="BH14" s="97">
        <f t="shared" si="58"/>
        <v>0</v>
      </c>
      <c r="BI14" s="99"/>
      <c r="BJ14" s="99">
        <f t="shared" si="59"/>
        <v>0</v>
      </c>
      <c r="BK14" s="235">
        <f t="shared" si="31"/>
        <v>0</v>
      </c>
      <c r="BL14" s="235">
        <f t="shared" si="32"/>
        <v>0</v>
      </c>
      <c r="BM14" s="235">
        <f t="shared" si="33"/>
        <v>0</v>
      </c>
      <c r="BN14" s="235">
        <f t="shared" si="60"/>
        <v>0</v>
      </c>
      <c r="BO14" s="235">
        <f t="shared" si="34"/>
        <v>0</v>
      </c>
      <c r="BP14" s="235">
        <f t="shared" si="35"/>
        <v>0</v>
      </c>
      <c r="BQ14" s="235">
        <f t="shared" si="36"/>
        <v>0</v>
      </c>
      <c r="BR14" s="235">
        <f t="shared" si="61"/>
        <v>0</v>
      </c>
    </row>
    <row r="15" spans="1:70" s="22" customFormat="1" ht="31.5" x14ac:dyDescent="0.2">
      <c r="A15" s="154" t="s">
        <v>128</v>
      </c>
      <c r="B15" s="197" t="s">
        <v>3</v>
      </c>
      <c r="C15" s="99">
        <v>200</v>
      </c>
      <c r="D15" s="97">
        <f t="shared" si="37"/>
        <v>200</v>
      </c>
      <c r="E15" s="99">
        <v>311</v>
      </c>
      <c r="F15" s="99">
        <f t="shared" si="38"/>
        <v>155.5</v>
      </c>
      <c r="G15" s="99">
        <v>388</v>
      </c>
      <c r="H15" s="97">
        <v>388</v>
      </c>
      <c r="I15" s="99">
        <v>388</v>
      </c>
      <c r="J15" s="99">
        <f t="shared" si="40"/>
        <v>100</v>
      </c>
      <c r="K15" s="210">
        <f t="shared" si="41"/>
        <v>588</v>
      </c>
      <c r="L15" s="210">
        <f t="shared" si="42"/>
        <v>588</v>
      </c>
      <c r="M15" s="210">
        <f t="shared" si="4"/>
        <v>699</v>
      </c>
      <c r="N15" s="158">
        <f t="shared" si="43"/>
        <v>118.87755102040816</v>
      </c>
      <c r="O15" s="99"/>
      <c r="P15" s="97"/>
      <c r="Q15" s="99"/>
      <c r="R15" s="99" t="e">
        <f t="shared" si="7"/>
        <v>#DIV/0!</v>
      </c>
      <c r="S15" s="99"/>
      <c r="T15" s="97"/>
      <c r="U15" s="99"/>
      <c r="V15" s="99" t="e">
        <f t="shared" si="10"/>
        <v>#DIV/0!</v>
      </c>
      <c r="W15" s="99">
        <v>3400</v>
      </c>
      <c r="X15" s="97">
        <f t="shared" ref="X15:X21" si="62">ROUND(W15/12*$A$7,0)</f>
        <v>3400</v>
      </c>
      <c r="Y15" s="99">
        <v>1454</v>
      </c>
      <c r="Z15" s="99">
        <f t="shared" si="45"/>
        <v>42.764705882352942</v>
      </c>
      <c r="AA15" s="210">
        <f t="shared" si="46"/>
        <v>3400</v>
      </c>
      <c r="AB15" s="210">
        <f t="shared" si="13"/>
        <v>3400</v>
      </c>
      <c r="AC15" s="210">
        <f t="shared" si="13"/>
        <v>1454</v>
      </c>
      <c r="AD15" s="210">
        <f t="shared" si="47"/>
        <v>42.764705882352942</v>
      </c>
      <c r="AE15" s="99"/>
      <c r="AF15" s="99"/>
      <c r="AG15" s="99"/>
      <c r="AH15" s="99" t="e">
        <f t="shared" si="16"/>
        <v>#DIV/0!</v>
      </c>
      <c r="AI15" s="99"/>
      <c r="AJ15" s="97"/>
      <c r="AK15" s="99"/>
      <c r="AL15" s="99" t="e">
        <f t="shared" si="19"/>
        <v>#DIV/0!</v>
      </c>
      <c r="AM15" s="99"/>
      <c r="AN15" s="97"/>
      <c r="AO15" s="99"/>
      <c r="AP15" s="99" t="e">
        <f t="shared" si="22"/>
        <v>#DIV/0!</v>
      </c>
      <c r="AQ15" s="99">
        <v>5412</v>
      </c>
      <c r="AR15" s="97">
        <f t="shared" ref="AR15:AR22" si="63">ROUND(AQ15/12*$A$7,0)</f>
        <v>5412</v>
      </c>
      <c r="AS15" s="99">
        <v>19402</v>
      </c>
      <c r="AT15" s="99">
        <f t="shared" si="49"/>
        <v>358.49963045084996</v>
      </c>
      <c r="AU15" s="210">
        <f t="shared" si="50"/>
        <v>5412</v>
      </c>
      <c r="AV15" s="210">
        <f t="shared" si="51"/>
        <v>5412</v>
      </c>
      <c r="AW15" s="210">
        <f t="shared" si="52"/>
        <v>19402</v>
      </c>
      <c r="AX15" s="210">
        <f t="shared" si="53"/>
        <v>358.49963045084996</v>
      </c>
      <c r="AY15" s="99">
        <v>3000</v>
      </c>
      <c r="AZ15" s="97">
        <f t="shared" si="54"/>
        <v>3000</v>
      </c>
      <c r="BA15" s="99">
        <v>2658</v>
      </c>
      <c r="BB15" s="99">
        <f t="shared" si="55"/>
        <v>88.6</v>
      </c>
      <c r="BC15" s="99">
        <v>200</v>
      </c>
      <c r="BD15" s="97">
        <f t="shared" si="56"/>
        <v>200</v>
      </c>
      <c r="BE15" s="99">
        <v>234</v>
      </c>
      <c r="BF15" s="99">
        <f t="shared" si="57"/>
        <v>117</v>
      </c>
      <c r="BG15" s="99">
        <v>9000</v>
      </c>
      <c r="BH15" s="97">
        <f t="shared" si="58"/>
        <v>9000</v>
      </c>
      <c r="BI15" s="99">
        <v>3779</v>
      </c>
      <c r="BJ15" s="99">
        <f t="shared" si="59"/>
        <v>41.988888888888887</v>
      </c>
      <c r="BK15" s="235">
        <f t="shared" si="31"/>
        <v>9200</v>
      </c>
      <c r="BL15" s="235">
        <f t="shared" si="32"/>
        <v>9200</v>
      </c>
      <c r="BM15" s="235">
        <f t="shared" si="33"/>
        <v>4013</v>
      </c>
      <c r="BN15" s="235">
        <f t="shared" si="60"/>
        <v>43.619565217391305</v>
      </c>
      <c r="BO15" s="235">
        <f t="shared" si="34"/>
        <v>21600</v>
      </c>
      <c r="BP15" s="235">
        <f t="shared" si="35"/>
        <v>21600</v>
      </c>
      <c r="BQ15" s="235">
        <f t="shared" si="36"/>
        <v>28226</v>
      </c>
      <c r="BR15" s="235">
        <f t="shared" si="61"/>
        <v>130.67592592592592</v>
      </c>
    </row>
    <row r="16" spans="1:70" s="22" customFormat="1" ht="14.1" customHeight="1" x14ac:dyDescent="0.2">
      <c r="A16" s="154" t="s">
        <v>129</v>
      </c>
      <c r="B16" s="197" t="s">
        <v>3</v>
      </c>
      <c r="C16" s="99">
        <v>150</v>
      </c>
      <c r="D16" s="97">
        <f t="shared" si="37"/>
        <v>150</v>
      </c>
      <c r="E16" s="99">
        <v>139</v>
      </c>
      <c r="F16" s="99">
        <f t="shared" si="38"/>
        <v>92.666666666666657</v>
      </c>
      <c r="G16" s="99"/>
      <c r="H16" s="97">
        <f t="shared" si="39"/>
        <v>0</v>
      </c>
      <c r="I16" s="99"/>
      <c r="J16" s="99">
        <f t="shared" si="40"/>
        <v>0</v>
      </c>
      <c r="K16" s="210">
        <f t="shared" si="41"/>
        <v>150</v>
      </c>
      <c r="L16" s="210">
        <f t="shared" si="42"/>
        <v>150</v>
      </c>
      <c r="M16" s="210">
        <f t="shared" si="4"/>
        <v>139</v>
      </c>
      <c r="N16" s="158">
        <f t="shared" si="43"/>
        <v>92.666666666666657</v>
      </c>
      <c r="O16" s="99"/>
      <c r="P16" s="97"/>
      <c r="Q16" s="99"/>
      <c r="R16" s="99" t="e">
        <f t="shared" si="7"/>
        <v>#DIV/0!</v>
      </c>
      <c r="S16" s="99"/>
      <c r="T16" s="97"/>
      <c r="U16" s="99"/>
      <c r="V16" s="99" t="e">
        <f t="shared" si="10"/>
        <v>#DIV/0!</v>
      </c>
      <c r="W16" s="99">
        <v>215</v>
      </c>
      <c r="X16" s="97">
        <f t="shared" si="62"/>
        <v>215</v>
      </c>
      <c r="Y16" s="99">
        <v>136</v>
      </c>
      <c r="Z16" s="99">
        <f t="shared" si="45"/>
        <v>63.255813953488371</v>
      </c>
      <c r="AA16" s="210">
        <f t="shared" si="46"/>
        <v>215</v>
      </c>
      <c r="AB16" s="210">
        <f t="shared" si="13"/>
        <v>215</v>
      </c>
      <c r="AC16" s="210">
        <f t="shared" si="13"/>
        <v>136</v>
      </c>
      <c r="AD16" s="210">
        <f t="shared" si="47"/>
        <v>63.255813953488371</v>
      </c>
      <c r="AE16" s="99"/>
      <c r="AF16" s="99"/>
      <c r="AG16" s="99"/>
      <c r="AH16" s="99" t="e">
        <f t="shared" si="16"/>
        <v>#DIV/0!</v>
      </c>
      <c r="AI16" s="99"/>
      <c r="AJ16" s="97"/>
      <c r="AK16" s="99"/>
      <c r="AL16" s="99" t="e">
        <f t="shared" si="19"/>
        <v>#DIV/0!</v>
      </c>
      <c r="AM16" s="99"/>
      <c r="AN16" s="97"/>
      <c r="AO16" s="99"/>
      <c r="AP16" s="99" t="e">
        <f t="shared" si="22"/>
        <v>#DIV/0!</v>
      </c>
      <c r="AQ16" s="99">
        <v>423</v>
      </c>
      <c r="AR16" s="97">
        <f t="shared" si="63"/>
        <v>423</v>
      </c>
      <c r="AS16" s="99">
        <v>167</v>
      </c>
      <c r="AT16" s="99">
        <f t="shared" si="49"/>
        <v>39.479905437352244</v>
      </c>
      <c r="AU16" s="210">
        <f t="shared" si="50"/>
        <v>423</v>
      </c>
      <c r="AV16" s="210">
        <f t="shared" si="51"/>
        <v>423</v>
      </c>
      <c r="AW16" s="210">
        <f t="shared" si="52"/>
        <v>167</v>
      </c>
      <c r="AX16" s="210">
        <f t="shared" si="53"/>
        <v>39.479905437352244</v>
      </c>
      <c r="AY16" s="99">
        <v>200</v>
      </c>
      <c r="AZ16" s="97">
        <f t="shared" si="54"/>
        <v>200</v>
      </c>
      <c r="BA16" s="99">
        <v>43</v>
      </c>
      <c r="BB16" s="99">
        <f t="shared" si="55"/>
        <v>21.5</v>
      </c>
      <c r="BC16" s="99">
        <v>295</v>
      </c>
      <c r="BD16" s="97">
        <f t="shared" si="56"/>
        <v>295</v>
      </c>
      <c r="BE16" s="99">
        <v>160</v>
      </c>
      <c r="BF16" s="99">
        <f t="shared" si="57"/>
        <v>54.237288135593218</v>
      </c>
      <c r="BG16" s="99">
        <v>500</v>
      </c>
      <c r="BH16" s="97">
        <f t="shared" si="58"/>
        <v>500</v>
      </c>
      <c r="BI16" s="99">
        <v>115</v>
      </c>
      <c r="BJ16" s="99">
        <f t="shared" si="59"/>
        <v>23</v>
      </c>
      <c r="BK16" s="235">
        <f t="shared" si="31"/>
        <v>795</v>
      </c>
      <c r="BL16" s="235">
        <f t="shared" si="32"/>
        <v>795</v>
      </c>
      <c r="BM16" s="235">
        <f t="shared" si="33"/>
        <v>275</v>
      </c>
      <c r="BN16" s="235">
        <f t="shared" si="60"/>
        <v>34.591194968553459</v>
      </c>
      <c r="BO16" s="235">
        <f t="shared" si="34"/>
        <v>1783</v>
      </c>
      <c r="BP16" s="235">
        <f t="shared" si="35"/>
        <v>1783</v>
      </c>
      <c r="BQ16" s="235">
        <f t="shared" si="36"/>
        <v>760</v>
      </c>
      <c r="BR16" s="235">
        <f t="shared" si="61"/>
        <v>42.62478968031408</v>
      </c>
    </row>
    <row r="17" spans="1:70" s="17" customFormat="1" ht="15.75" x14ac:dyDescent="0.2">
      <c r="A17" s="154" t="s">
        <v>130</v>
      </c>
      <c r="B17" s="197" t="s">
        <v>3</v>
      </c>
      <c r="C17" s="99">
        <v>13118</v>
      </c>
      <c r="D17" s="97">
        <f t="shared" si="37"/>
        <v>13118</v>
      </c>
      <c r="E17" s="99">
        <v>38427</v>
      </c>
      <c r="F17" s="99">
        <f t="shared" si="38"/>
        <v>292.93337398993748</v>
      </c>
      <c r="G17" s="99">
        <v>1004</v>
      </c>
      <c r="H17" s="97">
        <v>1004</v>
      </c>
      <c r="I17" s="99">
        <v>1004</v>
      </c>
      <c r="J17" s="99">
        <f t="shared" si="40"/>
        <v>100</v>
      </c>
      <c r="K17" s="210">
        <f t="shared" si="41"/>
        <v>14122</v>
      </c>
      <c r="L17" s="210">
        <f t="shared" si="42"/>
        <v>14122</v>
      </c>
      <c r="M17" s="210">
        <f t="shared" si="4"/>
        <v>39431</v>
      </c>
      <c r="N17" s="158">
        <f t="shared" si="43"/>
        <v>279.2168248123495</v>
      </c>
      <c r="O17" s="99"/>
      <c r="P17" s="97"/>
      <c r="Q17" s="99"/>
      <c r="R17" s="99" t="e">
        <f t="shared" si="7"/>
        <v>#DIV/0!</v>
      </c>
      <c r="S17" s="99"/>
      <c r="T17" s="97"/>
      <c r="U17" s="99"/>
      <c r="V17" s="99" t="e">
        <f t="shared" si="10"/>
        <v>#DIV/0!</v>
      </c>
      <c r="W17" s="99">
        <v>12987</v>
      </c>
      <c r="X17" s="97">
        <f t="shared" si="62"/>
        <v>12987</v>
      </c>
      <c r="Y17" s="99">
        <v>21460</v>
      </c>
      <c r="Z17" s="99">
        <f t="shared" si="45"/>
        <v>165.24216524216524</v>
      </c>
      <c r="AA17" s="210">
        <f t="shared" si="46"/>
        <v>12987</v>
      </c>
      <c r="AB17" s="210">
        <f t="shared" si="13"/>
        <v>12987</v>
      </c>
      <c r="AC17" s="210">
        <f t="shared" si="13"/>
        <v>21460</v>
      </c>
      <c r="AD17" s="210">
        <f t="shared" si="47"/>
        <v>165.24216524216524</v>
      </c>
      <c r="AE17" s="99"/>
      <c r="AF17" s="99"/>
      <c r="AG17" s="99"/>
      <c r="AH17" s="99" t="e">
        <f t="shared" si="16"/>
        <v>#DIV/0!</v>
      </c>
      <c r="AI17" s="99"/>
      <c r="AJ17" s="97"/>
      <c r="AK17" s="99"/>
      <c r="AL17" s="99" t="e">
        <f t="shared" si="19"/>
        <v>#DIV/0!</v>
      </c>
      <c r="AM17" s="99"/>
      <c r="AN17" s="97"/>
      <c r="AO17" s="99"/>
      <c r="AP17" s="99" t="e">
        <f t="shared" si="22"/>
        <v>#DIV/0!</v>
      </c>
      <c r="AQ17" s="99">
        <v>42233</v>
      </c>
      <c r="AR17" s="97">
        <f t="shared" si="63"/>
        <v>42233</v>
      </c>
      <c r="AS17" s="99">
        <v>63813</v>
      </c>
      <c r="AT17" s="99">
        <f t="shared" si="49"/>
        <v>151.09748301091562</v>
      </c>
      <c r="AU17" s="210">
        <f t="shared" si="50"/>
        <v>42233</v>
      </c>
      <c r="AV17" s="210">
        <f t="shared" si="51"/>
        <v>42233</v>
      </c>
      <c r="AW17" s="210">
        <f t="shared" si="52"/>
        <v>63813</v>
      </c>
      <c r="AX17" s="210">
        <f t="shared" si="53"/>
        <v>151.09748301091562</v>
      </c>
      <c r="AY17" s="99">
        <v>14517</v>
      </c>
      <c r="AZ17" s="97">
        <f t="shared" si="54"/>
        <v>14517</v>
      </c>
      <c r="BA17" s="99">
        <v>18350</v>
      </c>
      <c r="BB17" s="99">
        <f t="shared" si="55"/>
        <v>126.40352689949714</v>
      </c>
      <c r="BC17" s="99">
        <v>6219</v>
      </c>
      <c r="BD17" s="97">
        <f t="shared" si="56"/>
        <v>6219</v>
      </c>
      <c r="BE17" s="99">
        <v>6490</v>
      </c>
      <c r="BF17" s="99">
        <f t="shared" si="57"/>
        <v>104.35761376427078</v>
      </c>
      <c r="BG17" s="99">
        <v>25445</v>
      </c>
      <c r="BH17" s="97">
        <f t="shared" si="58"/>
        <v>25445</v>
      </c>
      <c r="BI17" s="99">
        <v>52005</v>
      </c>
      <c r="BJ17" s="99">
        <f t="shared" si="59"/>
        <v>204.38200039300455</v>
      </c>
      <c r="BK17" s="235">
        <f t="shared" si="31"/>
        <v>31664</v>
      </c>
      <c r="BL17" s="235">
        <f t="shared" si="32"/>
        <v>31664</v>
      </c>
      <c r="BM17" s="235">
        <f t="shared" si="33"/>
        <v>58495</v>
      </c>
      <c r="BN17" s="235">
        <f t="shared" si="60"/>
        <v>184.73660939868623</v>
      </c>
      <c r="BO17" s="235">
        <f t="shared" si="34"/>
        <v>115523</v>
      </c>
      <c r="BP17" s="235">
        <f t="shared" si="35"/>
        <v>115523</v>
      </c>
      <c r="BQ17" s="235">
        <f t="shared" si="36"/>
        <v>201549</v>
      </c>
      <c r="BR17" s="235">
        <f t="shared" si="61"/>
        <v>174.46655644330568</v>
      </c>
    </row>
    <row r="18" spans="1:70" s="22" customFormat="1" ht="15.75" x14ac:dyDescent="0.2">
      <c r="A18" s="194" t="s">
        <v>131</v>
      </c>
      <c r="B18" s="197"/>
      <c r="C18" s="99">
        <v>30125</v>
      </c>
      <c r="D18" s="195">
        <f t="shared" si="37"/>
        <v>30125</v>
      </c>
      <c r="E18" s="99">
        <f>20010+E20/4/3.2</f>
        <v>21907.94921875</v>
      </c>
      <c r="F18" s="99">
        <f t="shared" si="38"/>
        <v>72.723482883817425</v>
      </c>
      <c r="G18" s="99">
        <v>376</v>
      </c>
      <c r="H18" s="195">
        <v>376</v>
      </c>
      <c r="I18" s="99">
        <v>376</v>
      </c>
      <c r="J18" s="99">
        <f t="shared" si="40"/>
        <v>100</v>
      </c>
      <c r="K18" s="210">
        <f t="shared" si="41"/>
        <v>30501</v>
      </c>
      <c r="L18" s="210">
        <f t="shared" si="42"/>
        <v>30501</v>
      </c>
      <c r="M18" s="210">
        <f t="shared" si="4"/>
        <v>22283.94921875</v>
      </c>
      <c r="N18" s="158">
        <f t="shared" si="43"/>
        <v>73.059733184977532</v>
      </c>
      <c r="O18" s="99"/>
      <c r="P18" s="195"/>
      <c r="Q18" s="99"/>
      <c r="R18" s="99" t="e">
        <f t="shared" si="7"/>
        <v>#DIV/0!</v>
      </c>
      <c r="S18" s="99"/>
      <c r="T18" s="195"/>
      <c r="U18" s="99"/>
      <c r="V18" s="99" t="e">
        <f t="shared" si="10"/>
        <v>#DIV/0!</v>
      </c>
      <c r="W18" s="99">
        <v>40114</v>
      </c>
      <c r="X18" s="97">
        <f t="shared" si="62"/>
        <v>40114</v>
      </c>
      <c r="Y18" s="99">
        <f>32762+Y20/4/3.2</f>
        <v>34434.28515625</v>
      </c>
      <c r="Z18" s="99">
        <f t="shared" si="45"/>
        <v>85.841065852944112</v>
      </c>
      <c r="AA18" s="210">
        <f t="shared" si="46"/>
        <v>40114</v>
      </c>
      <c r="AB18" s="210">
        <f t="shared" si="13"/>
        <v>40114</v>
      </c>
      <c r="AC18" s="210">
        <f t="shared" si="13"/>
        <v>34434.28515625</v>
      </c>
      <c r="AD18" s="210">
        <f t="shared" si="47"/>
        <v>85.841065852944112</v>
      </c>
      <c r="AE18" s="99"/>
      <c r="AF18" s="99"/>
      <c r="AG18" s="99"/>
      <c r="AH18" s="99" t="e">
        <f t="shared" si="16"/>
        <v>#DIV/0!</v>
      </c>
      <c r="AI18" s="99"/>
      <c r="AJ18" s="195"/>
      <c r="AK18" s="99"/>
      <c r="AL18" s="99" t="e">
        <f t="shared" si="19"/>
        <v>#DIV/0!</v>
      </c>
      <c r="AM18" s="99"/>
      <c r="AN18" s="195"/>
      <c r="AO18" s="99"/>
      <c r="AP18" s="99" t="e">
        <f t="shared" si="22"/>
        <v>#DIV/0!</v>
      </c>
      <c r="AQ18" s="99">
        <v>101328</v>
      </c>
      <c r="AR18" s="97">
        <f t="shared" si="63"/>
        <v>101328</v>
      </c>
      <c r="AS18" s="99">
        <f>66935+AS20/4/3.2</f>
        <v>72666.42578125</v>
      </c>
      <c r="AT18" s="99">
        <f t="shared" si="49"/>
        <v>71.714063024287469</v>
      </c>
      <c r="AU18" s="210">
        <f t="shared" si="50"/>
        <v>101328</v>
      </c>
      <c r="AV18" s="210">
        <f t="shared" si="51"/>
        <v>101328</v>
      </c>
      <c r="AW18" s="210">
        <f t="shared" si="52"/>
        <v>72666.42578125</v>
      </c>
      <c r="AX18" s="210">
        <f t="shared" si="53"/>
        <v>71.714063024287469</v>
      </c>
      <c r="AY18" s="99">
        <v>17116</v>
      </c>
      <c r="AZ18" s="195">
        <f t="shared" si="54"/>
        <v>17116</v>
      </c>
      <c r="BA18" s="99">
        <f>17593+BA20/4/3.2</f>
        <v>18835.98828125</v>
      </c>
      <c r="BB18" s="99">
        <f t="shared" si="55"/>
        <v>110.04900842048374</v>
      </c>
      <c r="BC18" s="99">
        <v>32655</v>
      </c>
      <c r="BD18" s="195">
        <f t="shared" si="56"/>
        <v>32655</v>
      </c>
      <c r="BE18" s="99">
        <v>33437</v>
      </c>
      <c r="BF18" s="99">
        <f t="shared" si="57"/>
        <v>102.39473281273925</v>
      </c>
      <c r="BG18" s="99">
        <v>108153</v>
      </c>
      <c r="BH18" s="195">
        <f t="shared" si="58"/>
        <v>108153</v>
      </c>
      <c r="BI18" s="99">
        <f>86980+BI20/4/3.2</f>
        <v>97574.90234375</v>
      </c>
      <c r="BJ18" s="99">
        <f t="shared" si="59"/>
        <v>90.219321094884094</v>
      </c>
      <c r="BK18" s="235">
        <f t="shared" si="31"/>
        <v>140808</v>
      </c>
      <c r="BL18" s="235">
        <f t="shared" si="32"/>
        <v>140808</v>
      </c>
      <c r="BM18" s="235">
        <f t="shared" si="33"/>
        <v>131011.90234375</v>
      </c>
      <c r="BN18" s="235">
        <f t="shared" si="60"/>
        <v>93.042939565756214</v>
      </c>
      <c r="BO18" s="235">
        <f t="shared" si="34"/>
        <v>329867</v>
      </c>
      <c r="BP18" s="235">
        <f t="shared" si="35"/>
        <v>329867</v>
      </c>
      <c r="BQ18" s="235">
        <f t="shared" si="36"/>
        <v>279232.55078125</v>
      </c>
      <c r="BR18" s="235">
        <f t="shared" si="61"/>
        <v>84.650041010846806</v>
      </c>
    </row>
    <row r="19" spans="1:70" s="22" customFormat="1" ht="15" customHeight="1" x14ac:dyDescent="0.2">
      <c r="A19" s="194" t="s">
        <v>132</v>
      </c>
      <c r="B19" s="197"/>
      <c r="C19" s="99"/>
      <c r="D19" s="195">
        <f t="shared" si="37"/>
        <v>0</v>
      </c>
      <c r="E19" s="99"/>
      <c r="F19" s="99">
        <f t="shared" si="38"/>
        <v>0</v>
      </c>
      <c r="G19" s="99"/>
      <c r="H19" s="195">
        <f t="shared" si="39"/>
        <v>0</v>
      </c>
      <c r="I19" s="99"/>
      <c r="J19" s="99">
        <f t="shared" si="40"/>
        <v>0</v>
      </c>
      <c r="K19" s="210">
        <f t="shared" si="41"/>
        <v>0</v>
      </c>
      <c r="L19" s="210">
        <f t="shared" si="42"/>
        <v>0</v>
      </c>
      <c r="M19" s="210">
        <f t="shared" si="4"/>
        <v>0</v>
      </c>
      <c r="N19" s="158">
        <f t="shared" si="43"/>
        <v>0</v>
      </c>
      <c r="O19" s="99"/>
      <c r="P19" s="195"/>
      <c r="Q19" s="99"/>
      <c r="R19" s="99" t="e">
        <f t="shared" si="7"/>
        <v>#DIV/0!</v>
      </c>
      <c r="S19" s="99"/>
      <c r="T19" s="195"/>
      <c r="U19" s="99"/>
      <c r="V19" s="99" t="e">
        <f t="shared" si="10"/>
        <v>#DIV/0!</v>
      </c>
      <c r="W19" s="99"/>
      <c r="X19" s="97">
        <f t="shared" si="62"/>
        <v>0</v>
      </c>
      <c r="Y19" s="99"/>
      <c r="Z19" s="99">
        <f t="shared" si="45"/>
        <v>0</v>
      </c>
      <c r="AA19" s="210">
        <f t="shared" si="46"/>
        <v>0</v>
      </c>
      <c r="AB19" s="210">
        <f t="shared" si="13"/>
        <v>0</v>
      </c>
      <c r="AC19" s="210">
        <f t="shared" si="13"/>
        <v>0</v>
      </c>
      <c r="AD19" s="210">
        <f t="shared" si="47"/>
        <v>0</v>
      </c>
      <c r="AE19" s="99"/>
      <c r="AF19" s="99"/>
      <c r="AG19" s="99"/>
      <c r="AH19" s="99" t="e">
        <f t="shared" si="16"/>
        <v>#DIV/0!</v>
      </c>
      <c r="AI19" s="99"/>
      <c r="AJ19" s="195"/>
      <c r="AK19" s="99"/>
      <c r="AL19" s="99" t="e">
        <f t="shared" si="19"/>
        <v>#DIV/0!</v>
      </c>
      <c r="AM19" s="99"/>
      <c r="AN19" s="195"/>
      <c r="AO19" s="99"/>
      <c r="AP19" s="99" t="e">
        <f t="shared" si="22"/>
        <v>#DIV/0!</v>
      </c>
      <c r="AQ19" s="99"/>
      <c r="AR19" s="97">
        <f t="shared" si="63"/>
        <v>0</v>
      </c>
      <c r="AS19" s="99"/>
      <c r="AT19" s="99">
        <f t="shared" si="49"/>
        <v>0</v>
      </c>
      <c r="AU19" s="210">
        <f t="shared" si="50"/>
        <v>0</v>
      </c>
      <c r="AV19" s="210">
        <f t="shared" si="51"/>
        <v>0</v>
      </c>
      <c r="AW19" s="210">
        <f t="shared" si="52"/>
        <v>0</v>
      </c>
      <c r="AX19" s="210">
        <f t="shared" si="53"/>
        <v>0</v>
      </c>
      <c r="AY19" s="99"/>
      <c r="AZ19" s="195">
        <f t="shared" si="54"/>
        <v>0</v>
      </c>
      <c r="BA19" s="99"/>
      <c r="BB19" s="99">
        <f t="shared" si="55"/>
        <v>0</v>
      </c>
      <c r="BC19" s="99"/>
      <c r="BD19" s="195">
        <f t="shared" si="56"/>
        <v>0</v>
      </c>
      <c r="BE19" s="99"/>
      <c r="BF19" s="99">
        <f t="shared" si="57"/>
        <v>0</v>
      </c>
      <c r="BG19" s="99"/>
      <c r="BH19" s="195">
        <f t="shared" si="58"/>
        <v>0</v>
      </c>
      <c r="BI19" s="99"/>
      <c r="BJ19" s="99">
        <f t="shared" si="59"/>
        <v>0</v>
      </c>
      <c r="BK19" s="235">
        <f t="shared" si="31"/>
        <v>0</v>
      </c>
      <c r="BL19" s="235">
        <f t="shared" si="32"/>
        <v>0</v>
      </c>
      <c r="BM19" s="235">
        <f t="shared" si="33"/>
        <v>0</v>
      </c>
      <c r="BN19" s="235">
        <f t="shared" si="60"/>
        <v>0</v>
      </c>
      <c r="BO19" s="235">
        <f t="shared" si="34"/>
        <v>0</v>
      </c>
      <c r="BP19" s="235">
        <f t="shared" si="35"/>
        <v>0</v>
      </c>
      <c r="BQ19" s="235">
        <f t="shared" si="36"/>
        <v>0</v>
      </c>
      <c r="BR19" s="235">
        <f t="shared" si="61"/>
        <v>0</v>
      </c>
    </row>
    <row r="20" spans="1:70" s="22" customFormat="1" ht="15.75" x14ac:dyDescent="0.2">
      <c r="A20" s="194" t="s">
        <v>133</v>
      </c>
      <c r="B20" s="197"/>
      <c r="C20" s="99">
        <v>14960</v>
      </c>
      <c r="D20" s="195">
        <f t="shared" si="37"/>
        <v>14960</v>
      </c>
      <c r="E20" s="99">
        <v>24293.75</v>
      </c>
      <c r="F20" s="99">
        <f t="shared" si="38"/>
        <v>162.39137700534761</v>
      </c>
      <c r="G20" s="99"/>
      <c r="H20" s="195">
        <f t="shared" si="39"/>
        <v>0</v>
      </c>
      <c r="I20" s="99"/>
      <c r="J20" s="99">
        <f t="shared" si="40"/>
        <v>0</v>
      </c>
      <c r="K20" s="210">
        <f t="shared" si="41"/>
        <v>14960</v>
      </c>
      <c r="L20" s="210">
        <f t="shared" si="42"/>
        <v>14960</v>
      </c>
      <c r="M20" s="210">
        <f t="shared" si="4"/>
        <v>24293.75</v>
      </c>
      <c r="N20" s="158">
        <f t="shared" si="43"/>
        <v>162.39137700534761</v>
      </c>
      <c r="O20" s="99"/>
      <c r="P20" s="195"/>
      <c r="Q20" s="99"/>
      <c r="R20" s="99" t="e">
        <f t="shared" si="7"/>
        <v>#DIV/0!</v>
      </c>
      <c r="S20" s="99"/>
      <c r="T20" s="195"/>
      <c r="U20" s="99"/>
      <c r="V20" s="99" t="e">
        <f t="shared" si="10"/>
        <v>#DIV/0!</v>
      </c>
      <c r="W20" s="99">
        <v>16470</v>
      </c>
      <c r="X20" s="97">
        <f t="shared" si="62"/>
        <v>16470</v>
      </c>
      <c r="Y20" s="99">
        <v>21405.25</v>
      </c>
      <c r="Z20" s="99">
        <f t="shared" si="45"/>
        <v>129.96508803885854</v>
      </c>
      <c r="AA20" s="210">
        <f t="shared" si="46"/>
        <v>16470</v>
      </c>
      <c r="AB20" s="210">
        <f t="shared" si="13"/>
        <v>16470</v>
      </c>
      <c r="AC20" s="210">
        <f t="shared" si="13"/>
        <v>21405.25</v>
      </c>
      <c r="AD20" s="210">
        <f t="shared" si="47"/>
        <v>129.96508803885854</v>
      </c>
      <c r="AE20" s="99"/>
      <c r="AF20" s="99"/>
      <c r="AG20" s="99"/>
      <c r="AH20" s="99" t="e">
        <f t="shared" si="16"/>
        <v>#DIV/0!</v>
      </c>
      <c r="AI20" s="99"/>
      <c r="AJ20" s="195"/>
      <c r="AK20" s="99"/>
      <c r="AL20" s="99" t="e">
        <f t="shared" si="19"/>
        <v>#DIV/0!</v>
      </c>
      <c r="AM20" s="99"/>
      <c r="AN20" s="195"/>
      <c r="AO20" s="99"/>
      <c r="AP20" s="99" t="e">
        <f t="shared" si="22"/>
        <v>#DIV/0!</v>
      </c>
      <c r="AQ20" s="99">
        <v>71287</v>
      </c>
      <c r="AR20" s="97">
        <f t="shared" si="63"/>
        <v>71287</v>
      </c>
      <c r="AS20" s="99">
        <v>73362.25</v>
      </c>
      <c r="AT20" s="99">
        <f t="shared" si="49"/>
        <v>102.91111983952193</v>
      </c>
      <c r="AU20" s="210">
        <f t="shared" si="50"/>
        <v>71287</v>
      </c>
      <c r="AV20" s="210">
        <f t="shared" si="51"/>
        <v>71287</v>
      </c>
      <c r="AW20" s="210">
        <f t="shared" si="52"/>
        <v>73362.25</v>
      </c>
      <c r="AX20" s="210">
        <f t="shared" si="53"/>
        <v>102.91111983952193</v>
      </c>
      <c r="AY20" s="99">
        <v>17452</v>
      </c>
      <c r="AZ20" s="195">
        <f t="shared" si="54"/>
        <v>17452</v>
      </c>
      <c r="BA20" s="99">
        <v>15910.25</v>
      </c>
      <c r="BB20" s="99">
        <f t="shared" si="55"/>
        <v>91.165768966307581</v>
      </c>
      <c r="BC20" s="99"/>
      <c r="BD20" s="195">
        <f t="shared" si="56"/>
        <v>0</v>
      </c>
      <c r="BE20" s="99"/>
      <c r="BF20" s="99">
        <f t="shared" si="57"/>
        <v>0</v>
      </c>
      <c r="BG20" s="99">
        <v>136000</v>
      </c>
      <c r="BH20" s="195">
        <f t="shared" si="58"/>
        <v>136000</v>
      </c>
      <c r="BI20" s="99">
        <v>135614.75</v>
      </c>
      <c r="BJ20" s="99">
        <f t="shared" si="59"/>
        <v>99.716727941176472</v>
      </c>
      <c r="BK20" s="235">
        <f t="shared" si="31"/>
        <v>136000</v>
      </c>
      <c r="BL20" s="235">
        <f t="shared" si="32"/>
        <v>136000</v>
      </c>
      <c r="BM20" s="235">
        <f t="shared" si="33"/>
        <v>135614.75</v>
      </c>
      <c r="BN20" s="235">
        <f t="shared" si="60"/>
        <v>99.716727941176472</v>
      </c>
      <c r="BO20" s="235">
        <f t="shared" si="34"/>
        <v>256169</v>
      </c>
      <c r="BP20" s="235">
        <f t="shared" si="35"/>
        <v>256169</v>
      </c>
      <c r="BQ20" s="235">
        <f t="shared" si="36"/>
        <v>270586.25</v>
      </c>
      <c r="BR20" s="235">
        <f t="shared" si="61"/>
        <v>105.62802290675297</v>
      </c>
    </row>
    <row r="21" spans="1:70" ht="31.5" x14ac:dyDescent="0.2">
      <c r="A21" s="194" t="s">
        <v>134</v>
      </c>
      <c r="B21" s="197" t="s">
        <v>3</v>
      </c>
      <c r="C21" s="99">
        <v>7997</v>
      </c>
      <c r="D21" s="195">
        <f t="shared" si="37"/>
        <v>7997</v>
      </c>
      <c r="E21" s="99">
        <v>4000</v>
      </c>
      <c r="F21" s="99">
        <f t="shared" si="38"/>
        <v>50.018757033887709</v>
      </c>
      <c r="G21" s="99">
        <v>1</v>
      </c>
      <c r="H21" s="195">
        <v>1</v>
      </c>
      <c r="I21" s="99">
        <v>1</v>
      </c>
      <c r="J21" s="99">
        <f t="shared" si="40"/>
        <v>100</v>
      </c>
      <c r="K21" s="210">
        <f t="shared" si="41"/>
        <v>7998</v>
      </c>
      <c r="L21" s="210">
        <f t="shared" si="42"/>
        <v>7998</v>
      </c>
      <c r="M21" s="210">
        <f t="shared" si="4"/>
        <v>4001</v>
      </c>
      <c r="N21" s="158">
        <f t="shared" si="43"/>
        <v>50.025006251562885</v>
      </c>
      <c r="O21" s="99"/>
      <c r="P21" s="195"/>
      <c r="Q21" s="99"/>
      <c r="R21" s="99" t="e">
        <f t="shared" si="7"/>
        <v>#DIV/0!</v>
      </c>
      <c r="S21" s="99"/>
      <c r="T21" s="195"/>
      <c r="U21" s="99"/>
      <c r="V21" s="99" t="e">
        <f t="shared" si="10"/>
        <v>#DIV/0!</v>
      </c>
      <c r="W21" s="99">
        <v>10067</v>
      </c>
      <c r="X21" s="97">
        <f t="shared" si="62"/>
        <v>10067</v>
      </c>
      <c r="Y21" s="99">
        <v>6116</v>
      </c>
      <c r="Z21" s="99">
        <f t="shared" si="45"/>
        <v>60.752955200158929</v>
      </c>
      <c r="AA21" s="210">
        <f t="shared" si="46"/>
        <v>10067</v>
      </c>
      <c r="AB21" s="210">
        <f t="shared" si="13"/>
        <v>10067</v>
      </c>
      <c r="AC21" s="210">
        <f t="shared" si="13"/>
        <v>6116</v>
      </c>
      <c r="AD21" s="210">
        <f t="shared" si="47"/>
        <v>60.752955200158929</v>
      </c>
      <c r="AE21" s="99"/>
      <c r="AF21" s="99"/>
      <c r="AG21" s="99"/>
      <c r="AH21" s="99" t="e">
        <f t="shared" si="16"/>
        <v>#DIV/0!</v>
      </c>
      <c r="AI21" s="99"/>
      <c r="AJ21" s="195"/>
      <c r="AK21" s="99"/>
      <c r="AL21" s="99" t="e">
        <f t="shared" si="19"/>
        <v>#DIV/0!</v>
      </c>
      <c r="AM21" s="99"/>
      <c r="AN21" s="195"/>
      <c r="AO21" s="99"/>
      <c r="AP21" s="99" t="e">
        <f t="shared" si="22"/>
        <v>#DIV/0!</v>
      </c>
      <c r="AQ21" s="99">
        <v>30044</v>
      </c>
      <c r="AR21" s="97">
        <f t="shared" si="63"/>
        <v>30044</v>
      </c>
      <c r="AS21" s="99">
        <v>23170</v>
      </c>
      <c r="AT21" s="99">
        <f t="shared" si="49"/>
        <v>77.120223671947812</v>
      </c>
      <c r="AU21" s="210">
        <f t="shared" si="50"/>
        <v>30044</v>
      </c>
      <c r="AV21" s="210">
        <f t="shared" si="51"/>
        <v>30044</v>
      </c>
      <c r="AW21" s="210">
        <f t="shared" si="52"/>
        <v>23170</v>
      </c>
      <c r="AX21" s="210">
        <f t="shared" si="53"/>
        <v>77.120223671947812</v>
      </c>
      <c r="AY21" s="99">
        <v>5957</v>
      </c>
      <c r="AZ21" s="195">
        <f t="shared" si="54"/>
        <v>5957</v>
      </c>
      <c r="BA21" s="99">
        <v>5692</v>
      </c>
      <c r="BB21" s="99">
        <f t="shared" si="55"/>
        <v>95.5514520731912</v>
      </c>
      <c r="BC21" s="99">
        <v>7673</v>
      </c>
      <c r="BD21" s="195">
        <f t="shared" si="56"/>
        <v>7673</v>
      </c>
      <c r="BE21" s="99">
        <v>7639</v>
      </c>
      <c r="BF21" s="99">
        <f t="shared" si="57"/>
        <v>99.55688778834876</v>
      </c>
      <c r="BG21" s="99">
        <v>26782</v>
      </c>
      <c r="BH21" s="195">
        <f t="shared" si="58"/>
        <v>26782</v>
      </c>
      <c r="BI21" s="99">
        <v>25653</v>
      </c>
      <c r="BJ21" s="99">
        <f>IF(BH21=0,0,BI21/BH21*100)</f>
        <v>95.784482114853262</v>
      </c>
      <c r="BK21" s="235">
        <f t="shared" si="31"/>
        <v>34455</v>
      </c>
      <c r="BL21" s="235">
        <f t="shared" si="32"/>
        <v>34455</v>
      </c>
      <c r="BM21" s="235">
        <f>BI21+BE21</f>
        <v>33292</v>
      </c>
      <c r="BN21" s="235">
        <f t="shared" si="60"/>
        <v>96.624582789145265</v>
      </c>
      <c r="BO21" s="235">
        <f t="shared" si="34"/>
        <v>88521</v>
      </c>
      <c r="BP21" s="235">
        <f t="shared" si="35"/>
        <v>88521</v>
      </c>
      <c r="BQ21" s="235">
        <f t="shared" si="36"/>
        <v>72271</v>
      </c>
      <c r="BR21" s="235">
        <f t="shared" si="61"/>
        <v>81.642774031020892</v>
      </c>
    </row>
    <row r="22" spans="1:70" s="17" customFormat="1" ht="15.75" x14ac:dyDescent="0.2">
      <c r="A22" s="154" t="s">
        <v>135</v>
      </c>
      <c r="B22" s="197"/>
      <c r="C22" s="99"/>
      <c r="D22" s="97">
        <f t="shared" si="37"/>
        <v>0</v>
      </c>
      <c r="E22" s="99"/>
      <c r="F22" s="99">
        <f t="shared" si="38"/>
        <v>0</v>
      </c>
      <c r="G22" s="99"/>
      <c r="H22" s="97">
        <f t="shared" si="39"/>
        <v>0</v>
      </c>
      <c r="I22" s="99"/>
      <c r="J22" s="99">
        <f t="shared" si="40"/>
        <v>0</v>
      </c>
      <c r="K22" s="210">
        <f t="shared" si="41"/>
        <v>0</v>
      </c>
      <c r="L22" s="210">
        <f t="shared" si="42"/>
        <v>0</v>
      </c>
      <c r="M22" s="210">
        <f t="shared" si="4"/>
        <v>0</v>
      </c>
      <c r="N22" s="158">
        <f t="shared" si="43"/>
        <v>0</v>
      </c>
      <c r="O22" s="99"/>
      <c r="P22" s="97"/>
      <c r="Q22" s="99"/>
      <c r="R22" s="99" t="e">
        <f t="shared" si="7"/>
        <v>#DIV/0!</v>
      </c>
      <c r="S22" s="99"/>
      <c r="T22" s="97"/>
      <c r="U22" s="99"/>
      <c r="V22" s="99" t="e">
        <f t="shared" si="10"/>
        <v>#DIV/0!</v>
      </c>
      <c r="W22" s="99"/>
      <c r="X22" s="228">
        <f t="shared" si="44"/>
        <v>0</v>
      </c>
      <c r="Y22" s="99"/>
      <c r="Z22" s="99">
        <f t="shared" si="45"/>
        <v>0</v>
      </c>
      <c r="AA22" s="210">
        <f t="shared" si="46"/>
        <v>0</v>
      </c>
      <c r="AB22" s="210">
        <f t="shared" si="13"/>
        <v>0</v>
      </c>
      <c r="AC22" s="210">
        <f t="shared" si="13"/>
        <v>0</v>
      </c>
      <c r="AD22" s="210">
        <f t="shared" si="47"/>
        <v>0</v>
      </c>
      <c r="AE22" s="99"/>
      <c r="AF22" s="99"/>
      <c r="AG22" s="99"/>
      <c r="AH22" s="99" t="e">
        <f t="shared" si="16"/>
        <v>#DIV/0!</v>
      </c>
      <c r="AI22" s="99"/>
      <c r="AJ22" s="97"/>
      <c r="AK22" s="99"/>
      <c r="AL22" s="99" t="e">
        <f t="shared" si="19"/>
        <v>#DIV/0!</v>
      </c>
      <c r="AM22" s="99"/>
      <c r="AN22" s="97"/>
      <c r="AO22" s="99"/>
      <c r="AP22" s="99" t="e">
        <f t="shared" si="22"/>
        <v>#DIV/0!</v>
      </c>
      <c r="AQ22" s="99">
        <v>671</v>
      </c>
      <c r="AR22" s="97">
        <f t="shared" si="63"/>
        <v>671</v>
      </c>
      <c r="AS22" s="99">
        <v>629</v>
      </c>
      <c r="AT22" s="99">
        <f t="shared" si="49"/>
        <v>93.740685543964233</v>
      </c>
      <c r="AU22" s="210">
        <f t="shared" si="50"/>
        <v>671</v>
      </c>
      <c r="AV22" s="210">
        <f t="shared" si="51"/>
        <v>671</v>
      </c>
      <c r="AW22" s="210">
        <f t="shared" si="52"/>
        <v>629</v>
      </c>
      <c r="AX22" s="210">
        <f t="shared" si="53"/>
        <v>93.740685543964233</v>
      </c>
      <c r="AY22" s="99"/>
      <c r="AZ22" s="97">
        <f t="shared" si="54"/>
        <v>0</v>
      </c>
      <c r="BA22" s="99"/>
      <c r="BB22" s="99">
        <f t="shared" si="55"/>
        <v>0</v>
      </c>
      <c r="BC22" s="99"/>
      <c r="BD22" s="97"/>
      <c r="BE22" s="99"/>
      <c r="BF22" s="99">
        <f t="shared" si="57"/>
        <v>0</v>
      </c>
      <c r="BG22" s="99"/>
      <c r="BH22" s="97">
        <f t="shared" si="58"/>
        <v>0</v>
      </c>
      <c r="BI22" s="99"/>
      <c r="BJ22" s="99">
        <f t="shared" si="59"/>
        <v>0</v>
      </c>
      <c r="BK22" s="235">
        <f t="shared" si="31"/>
        <v>0</v>
      </c>
      <c r="BL22" s="235">
        <f t="shared" si="32"/>
        <v>0</v>
      </c>
      <c r="BM22" s="235">
        <f t="shared" si="33"/>
        <v>0</v>
      </c>
      <c r="BN22" s="235">
        <f t="shared" si="60"/>
        <v>0</v>
      </c>
      <c r="BO22" s="235">
        <f t="shared" si="34"/>
        <v>671</v>
      </c>
      <c r="BP22" s="235">
        <f t="shared" si="35"/>
        <v>671</v>
      </c>
      <c r="BQ22" s="235">
        <f t="shared" si="36"/>
        <v>629</v>
      </c>
      <c r="BR22" s="235">
        <f t="shared" si="61"/>
        <v>93.740685543964233</v>
      </c>
    </row>
    <row r="23" spans="1:70" s="16" customFormat="1" ht="28.5" x14ac:dyDescent="0.2">
      <c r="A23" s="118" t="s">
        <v>136</v>
      </c>
      <c r="B23" s="198" t="s">
        <v>3</v>
      </c>
      <c r="C23" s="123">
        <f t="shared" ref="C23:D23" si="64">SUM(C12+C18*3.2+C21)</f>
        <v>117865</v>
      </c>
      <c r="D23" s="123">
        <f t="shared" si="64"/>
        <v>117865</v>
      </c>
      <c r="E23" s="123">
        <f t="shared" ref="E23" si="65">SUM(E12+E18*3.2+E21)</f>
        <v>112982.4375</v>
      </c>
      <c r="F23" s="123">
        <f t="shared" si="38"/>
        <v>95.857495863912106</v>
      </c>
      <c r="G23" s="123">
        <f t="shared" ref="G23:H23" si="66">SUM(G12+G18*3.2+G21)</f>
        <v>2596.1999999999998</v>
      </c>
      <c r="H23" s="123">
        <f t="shared" si="66"/>
        <v>2596.1999999999998</v>
      </c>
      <c r="I23" s="123">
        <f t="shared" ref="I23" si="67">SUM(I12+I18*3.2+I21)</f>
        <v>2596.1999999999998</v>
      </c>
      <c r="J23" s="123">
        <f t="shared" si="40"/>
        <v>100</v>
      </c>
      <c r="K23" s="158">
        <f t="shared" si="41"/>
        <v>120461.2</v>
      </c>
      <c r="L23" s="158">
        <f t="shared" si="42"/>
        <v>120461.2</v>
      </c>
      <c r="M23" s="158">
        <f t="shared" si="4"/>
        <v>115578.6375</v>
      </c>
      <c r="N23" s="158">
        <f t="shared" si="43"/>
        <v>95.946775808310065</v>
      </c>
      <c r="O23" s="123">
        <f t="shared" ref="O23" si="68">SUM(O12+O18*3.2+O21)</f>
        <v>0</v>
      </c>
      <c r="P23" s="123"/>
      <c r="Q23" s="123">
        <f t="shared" ref="Q23" si="69">SUM(Q12+Q18*3.2+Q21)</f>
        <v>0</v>
      </c>
      <c r="R23" s="123" t="e">
        <f t="shared" si="7"/>
        <v>#DIV/0!</v>
      </c>
      <c r="S23" s="123">
        <f t="shared" ref="S23" si="70">SUM(S12+S18*3.2+S21)</f>
        <v>0</v>
      </c>
      <c r="T23" s="121"/>
      <c r="U23" s="123">
        <f t="shared" ref="U23" si="71">SUM(U12+U18*3.2+U21)</f>
        <v>0</v>
      </c>
      <c r="V23" s="123" t="e">
        <f t="shared" si="10"/>
        <v>#DIV/0!</v>
      </c>
      <c r="W23" s="123">
        <f t="shared" ref="W23:X23" si="72">SUM(W12+W18*3.2+W21)</f>
        <v>155033.79999999999</v>
      </c>
      <c r="X23" s="123">
        <f t="shared" si="72"/>
        <v>155033.79999999999</v>
      </c>
      <c r="Y23" s="123">
        <f t="shared" ref="Y23" si="73">SUM(Y12+Y18*3.2+Y21)</f>
        <v>139355.71250000002</v>
      </c>
      <c r="Z23" s="123">
        <f t="shared" si="45"/>
        <v>89.88731005754876</v>
      </c>
      <c r="AA23" s="210">
        <f t="shared" si="46"/>
        <v>155033.79999999999</v>
      </c>
      <c r="AB23" s="210">
        <f t="shared" si="13"/>
        <v>155033.79999999999</v>
      </c>
      <c r="AC23" s="210">
        <f t="shared" si="13"/>
        <v>139355.71250000002</v>
      </c>
      <c r="AD23" s="210">
        <f t="shared" si="47"/>
        <v>89.88731005754876</v>
      </c>
      <c r="AE23" s="123">
        <f t="shared" ref="AE23" si="74">SUM(AE12+AE18*3.2+AE21)</f>
        <v>0</v>
      </c>
      <c r="AF23" s="121"/>
      <c r="AG23" s="123">
        <f t="shared" ref="AG23" si="75">SUM(AG12+AG18*3.2+AG21)</f>
        <v>0</v>
      </c>
      <c r="AH23" s="123" t="e">
        <f t="shared" si="16"/>
        <v>#DIV/0!</v>
      </c>
      <c r="AI23" s="123">
        <f t="shared" ref="AI23" si="76">SUM(AI12+AI18*3.2+AI21)</f>
        <v>0</v>
      </c>
      <c r="AJ23" s="121"/>
      <c r="AK23" s="123">
        <f t="shared" ref="AK23" si="77">SUM(AK12+AK18*3.2+AK21)</f>
        <v>0</v>
      </c>
      <c r="AL23" s="123" t="e">
        <f t="shared" si="19"/>
        <v>#DIV/0!</v>
      </c>
      <c r="AM23" s="123">
        <f t="shared" ref="AM23" si="78">SUM(AM12+AM18*3.2+AM21)</f>
        <v>0</v>
      </c>
      <c r="AN23" s="121"/>
      <c r="AO23" s="123">
        <f t="shared" ref="AO23" si="79">SUM(AO12+AO18*3.2+AO21)</f>
        <v>0</v>
      </c>
      <c r="AP23" s="123" t="e">
        <f t="shared" si="22"/>
        <v>#DIV/0!</v>
      </c>
      <c r="AQ23" s="123">
        <f t="shared" ref="AQ23:AR23" si="80">SUM(AQ12+AQ18*3.2+AQ21)</f>
        <v>402361.60000000003</v>
      </c>
      <c r="AR23" s="123">
        <f t="shared" si="80"/>
        <v>402361.60000000003</v>
      </c>
      <c r="AS23" s="123">
        <f t="shared" ref="AS23" si="81">SUM(AS12+AS18*3.2+AS21)</f>
        <v>339084.5625</v>
      </c>
      <c r="AT23" s="123">
        <f t="shared" si="49"/>
        <v>84.273589353457183</v>
      </c>
      <c r="AU23" s="210">
        <f t="shared" si="50"/>
        <v>402361.60000000003</v>
      </c>
      <c r="AV23" s="210">
        <f t="shared" si="51"/>
        <v>402361.60000000003</v>
      </c>
      <c r="AW23" s="210">
        <f t="shared" si="52"/>
        <v>339084.5625</v>
      </c>
      <c r="AX23" s="210">
        <f t="shared" si="53"/>
        <v>84.273589353457183</v>
      </c>
      <c r="AY23" s="123">
        <f t="shared" ref="AY23:AZ23" si="82">SUM(AY12+AY18*3.2+AY21)</f>
        <v>78445.200000000012</v>
      </c>
      <c r="AZ23" s="123">
        <f t="shared" si="82"/>
        <v>78445.200000000012</v>
      </c>
      <c r="BA23" s="123">
        <f t="shared" ref="BA23" si="83">SUM(BA12+BA18*3.2+BA21)</f>
        <v>87018.162500000006</v>
      </c>
      <c r="BB23" s="123">
        <f t="shared" si="55"/>
        <v>110.92860047523621</v>
      </c>
      <c r="BC23" s="123">
        <f t="shared" ref="BC23:BD23" si="84">SUM(BC12+BC18*3.2+BC21)</f>
        <v>118883</v>
      </c>
      <c r="BD23" s="123">
        <f t="shared" si="84"/>
        <v>118883</v>
      </c>
      <c r="BE23" s="123">
        <f t="shared" ref="BE23" si="85">SUM(BE12+BE18*3.2+BE21)</f>
        <v>121521.40000000001</v>
      </c>
      <c r="BF23" s="123">
        <f t="shared" si="57"/>
        <v>102.21932488244745</v>
      </c>
      <c r="BG23" s="123">
        <f t="shared" ref="BG23:BH23" si="86">SUM(BG12+BG18*3.2+BG21)</f>
        <v>407816.60000000003</v>
      </c>
      <c r="BH23" s="123">
        <f t="shared" si="86"/>
        <v>407816.60000000003</v>
      </c>
      <c r="BI23" s="123">
        <f>SUM(BI12+BI18*3.2+BI21)</f>
        <v>393791.6875</v>
      </c>
      <c r="BJ23" s="123">
        <f t="shared" si="59"/>
        <v>96.56097557088161</v>
      </c>
      <c r="BK23" s="235">
        <f t="shared" si="31"/>
        <v>526699.60000000009</v>
      </c>
      <c r="BL23" s="235">
        <f t="shared" si="32"/>
        <v>526699.60000000009</v>
      </c>
      <c r="BM23" s="235">
        <f t="shared" si="33"/>
        <v>515313.08750000002</v>
      </c>
      <c r="BN23" s="235">
        <f t="shared" si="60"/>
        <v>97.838139140413233</v>
      </c>
      <c r="BO23" s="235">
        <f t="shared" si="34"/>
        <v>1283001.4000000001</v>
      </c>
      <c r="BP23" s="235">
        <f t="shared" si="35"/>
        <v>1283001.4000000001</v>
      </c>
      <c r="BQ23" s="235">
        <f t="shared" si="36"/>
        <v>1196350.1624999999</v>
      </c>
      <c r="BR23" s="235">
        <f t="shared" si="61"/>
        <v>93.24620865573489</v>
      </c>
    </row>
    <row r="24" spans="1:70" s="22" customFormat="1" ht="14.1" customHeight="1" x14ac:dyDescent="0.2">
      <c r="A24" s="149" t="s">
        <v>137</v>
      </c>
      <c r="B24" s="197"/>
      <c r="C24" s="99"/>
      <c r="D24" s="97">
        <f t="shared" si="37"/>
        <v>0</v>
      </c>
      <c r="E24" s="99"/>
      <c r="F24" s="99">
        <f t="shared" si="38"/>
        <v>0</v>
      </c>
      <c r="G24" s="99"/>
      <c r="H24" s="97">
        <f t="shared" si="39"/>
        <v>0</v>
      </c>
      <c r="I24" s="99"/>
      <c r="J24" s="99">
        <f t="shared" si="40"/>
        <v>0</v>
      </c>
      <c r="K24" s="210">
        <f t="shared" si="41"/>
        <v>0</v>
      </c>
      <c r="L24" s="210">
        <f t="shared" si="42"/>
        <v>0</v>
      </c>
      <c r="M24" s="210">
        <f t="shared" si="4"/>
        <v>0</v>
      </c>
      <c r="N24" s="158">
        <f t="shared" si="43"/>
        <v>0</v>
      </c>
      <c r="O24" s="99"/>
      <c r="P24" s="97"/>
      <c r="Q24" s="99"/>
      <c r="R24" s="99" t="e">
        <f t="shared" si="7"/>
        <v>#DIV/0!</v>
      </c>
      <c r="S24" s="99"/>
      <c r="T24" s="97"/>
      <c r="U24" s="99"/>
      <c r="V24" s="99" t="e">
        <f t="shared" si="10"/>
        <v>#DIV/0!</v>
      </c>
      <c r="W24" s="99"/>
      <c r="X24" s="228">
        <f t="shared" ref="X24" si="87">W24/11</f>
        <v>0</v>
      </c>
      <c r="Y24" s="99"/>
      <c r="Z24" s="99">
        <f t="shared" si="45"/>
        <v>0</v>
      </c>
      <c r="AA24" s="210">
        <f t="shared" si="46"/>
        <v>0</v>
      </c>
      <c r="AB24" s="210">
        <f t="shared" si="13"/>
        <v>0</v>
      </c>
      <c r="AC24" s="210">
        <f t="shared" si="13"/>
        <v>0</v>
      </c>
      <c r="AD24" s="210">
        <f t="shared" si="47"/>
        <v>0</v>
      </c>
      <c r="AE24" s="99"/>
      <c r="AF24" s="97"/>
      <c r="AG24" s="99"/>
      <c r="AH24" s="99" t="e">
        <f t="shared" si="16"/>
        <v>#DIV/0!</v>
      </c>
      <c r="AI24" s="99"/>
      <c r="AJ24" s="97"/>
      <c r="AK24" s="99"/>
      <c r="AL24" s="99" t="e">
        <f t="shared" si="19"/>
        <v>#DIV/0!</v>
      </c>
      <c r="AM24" s="99"/>
      <c r="AN24" s="97"/>
      <c r="AO24" s="99"/>
      <c r="AP24" s="99" t="e">
        <f t="shared" si="22"/>
        <v>#DIV/0!</v>
      </c>
      <c r="AQ24" s="99"/>
      <c r="AR24" s="228">
        <f t="shared" si="48"/>
        <v>0</v>
      </c>
      <c r="AS24" s="99"/>
      <c r="AT24" s="99">
        <f t="shared" si="49"/>
        <v>0</v>
      </c>
      <c r="AU24" s="210">
        <f t="shared" si="50"/>
        <v>0</v>
      </c>
      <c r="AV24" s="210">
        <f t="shared" si="51"/>
        <v>0</v>
      </c>
      <c r="AW24" s="210">
        <f t="shared" si="52"/>
        <v>0</v>
      </c>
      <c r="AX24" s="210">
        <f t="shared" si="53"/>
        <v>0</v>
      </c>
      <c r="AY24" s="99"/>
      <c r="AZ24" s="97">
        <f t="shared" si="54"/>
        <v>0</v>
      </c>
      <c r="BA24" s="99"/>
      <c r="BB24" s="99">
        <f t="shared" si="55"/>
        <v>0</v>
      </c>
      <c r="BC24" s="99"/>
      <c r="BD24" s="97">
        <f t="shared" si="56"/>
        <v>0</v>
      </c>
      <c r="BE24" s="99"/>
      <c r="BF24" s="99">
        <f t="shared" si="57"/>
        <v>0</v>
      </c>
      <c r="BG24" s="99"/>
      <c r="BH24" s="97">
        <f t="shared" si="58"/>
        <v>0</v>
      </c>
      <c r="BI24" s="99"/>
      <c r="BJ24" s="99">
        <f t="shared" si="59"/>
        <v>0</v>
      </c>
      <c r="BK24" s="235">
        <f t="shared" si="31"/>
        <v>0</v>
      </c>
      <c r="BL24" s="235">
        <f t="shared" si="32"/>
        <v>0</v>
      </c>
      <c r="BM24" s="235">
        <f t="shared" si="33"/>
        <v>0</v>
      </c>
      <c r="BN24" s="235">
        <f t="shared" si="60"/>
        <v>0</v>
      </c>
      <c r="BO24" s="235">
        <f t="shared" si="34"/>
        <v>0</v>
      </c>
      <c r="BP24" s="235">
        <f t="shared" si="35"/>
        <v>0</v>
      </c>
      <c r="BQ24" s="235">
        <f t="shared" si="36"/>
        <v>0</v>
      </c>
      <c r="BR24" s="235">
        <f t="shared" si="61"/>
        <v>0</v>
      </c>
    </row>
    <row r="25" spans="1:70" s="37" customFormat="1" ht="15.75" x14ac:dyDescent="0.2">
      <c r="A25" s="159" t="s">
        <v>125</v>
      </c>
      <c r="B25" s="199" t="s">
        <v>3</v>
      </c>
      <c r="C25" s="163">
        <f t="shared" ref="C25:D25" si="88">C28+C29+C30+C31+C53+C78+C27</f>
        <v>15908</v>
      </c>
      <c r="D25" s="163">
        <f t="shared" si="88"/>
        <v>15908</v>
      </c>
      <c r="E25" s="163">
        <f t="shared" ref="E25" si="89">E28+E29+E30+E31+E53+E78+E27</f>
        <v>7798</v>
      </c>
      <c r="F25" s="163">
        <f t="shared" si="38"/>
        <v>49.019361327633895</v>
      </c>
      <c r="G25" s="163">
        <f t="shared" ref="G25:H25" si="90">G28+G29+G30+G31+G53+G78+G27</f>
        <v>15</v>
      </c>
      <c r="H25" s="163">
        <f t="shared" si="90"/>
        <v>15</v>
      </c>
      <c r="I25" s="163">
        <f t="shared" ref="I25" si="91">I28+I29+I30+I31+I53+I78+I27</f>
        <v>15</v>
      </c>
      <c r="J25" s="163">
        <f t="shared" si="40"/>
        <v>100</v>
      </c>
      <c r="K25" s="211">
        <f t="shared" si="41"/>
        <v>15923</v>
      </c>
      <c r="L25" s="211">
        <f t="shared" si="42"/>
        <v>15923</v>
      </c>
      <c r="M25" s="211">
        <f t="shared" si="4"/>
        <v>7813</v>
      </c>
      <c r="N25" s="158">
        <f t="shared" si="43"/>
        <v>49.067386798970041</v>
      </c>
      <c r="O25" s="163">
        <f t="shared" ref="O25" si="92">O28+O29+O30+O31+O53+O78+O27</f>
        <v>0</v>
      </c>
      <c r="P25" s="162"/>
      <c r="Q25" s="163">
        <f t="shared" ref="Q25" si="93">Q28+Q29+Q30+Q31+Q53+Q78+Q27</f>
        <v>0</v>
      </c>
      <c r="R25" s="163" t="e">
        <f t="shared" si="7"/>
        <v>#DIV/0!</v>
      </c>
      <c r="S25" s="163">
        <f t="shared" ref="S25" si="94">S28+S29+S30+S31+S53+S78+S27</f>
        <v>0</v>
      </c>
      <c r="T25" s="162"/>
      <c r="U25" s="163">
        <f t="shared" ref="U25" si="95">U28+U29+U30+U31+U53+U78+U27</f>
        <v>0</v>
      </c>
      <c r="V25" s="163" t="e">
        <f t="shared" si="10"/>
        <v>#DIV/0!</v>
      </c>
      <c r="W25" s="163">
        <f t="shared" ref="W25" si="96">W28+W29+W30+W31+W53+W78+W27</f>
        <v>12745</v>
      </c>
      <c r="X25" s="163">
        <f>X28+X29+X30+X31+X53+X78+X27</f>
        <v>12745</v>
      </c>
      <c r="Y25" s="163">
        <f t="shared" ref="Y25" si="97">Y28+Y29+Y30+Y31+Y53+Y78+Y27</f>
        <v>14059</v>
      </c>
      <c r="Z25" s="163">
        <f t="shared" si="45"/>
        <v>110.30992546096508</v>
      </c>
      <c r="AA25" s="210">
        <f t="shared" si="46"/>
        <v>12745</v>
      </c>
      <c r="AB25" s="210">
        <f t="shared" si="13"/>
        <v>12745</v>
      </c>
      <c r="AC25" s="210">
        <f t="shared" si="13"/>
        <v>14059</v>
      </c>
      <c r="AD25" s="210">
        <f t="shared" si="47"/>
        <v>110.30992546096508</v>
      </c>
      <c r="AE25" s="163">
        <f t="shared" ref="AE25" si="98">AE28+AE29+AE30+AE31+AE53+AE78+AE27</f>
        <v>0</v>
      </c>
      <c r="AF25" s="162"/>
      <c r="AG25" s="163">
        <f t="shared" ref="AG25" si="99">AG28+AG29+AG30+AG31+AG53+AG78+AG27</f>
        <v>0</v>
      </c>
      <c r="AH25" s="163" t="e">
        <f t="shared" si="16"/>
        <v>#DIV/0!</v>
      </c>
      <c r="AI25" s="163">
        <f t="shared" ref="AI25" si="100">AI28+AI29+AI30+AI31+AI53+AI78+AI27</f>
        <v>0</v>
      </c>
      <c r="AJ25" s="162"/>
      <c r="AK25" s="163">
        <f t="shared" ref="AK25" si="101">AK28+AK29+AK30+AK31+AK53+AK78+AK27</f>
        <v>0</v>
      </c>
      <c r="AL25" s="163" t="e">
        <f t="shared" si="19"/>
        <v>#DIV/0!</v>
      </c>
      <c r="AM25" s="163">
        <f t="shared" ref="AM25" si="102">AM28+AM29+AM30+AM31+AM53+AM78+AM27</f>
        <v>0</v>
      </c>
      <c r="AN25" s="162"/>
      <c r="AO25" s="163">
        <f t="shared" ref="AO25" si="103">AO28+AO29+AO30+AO31+AO53+AO78+AO27</f>
        <v>0</v>
      </c>
      <c r="AP25" s="163" t="e">
        <f t="shared" si="22"/>
        <v>#DIV/0!</v>
      </c>
      <c r="AQ25" s="163">
        <f t="shared" ref="AQ25:AR25" si="104">AQ28+AQ29+AQ30+AQ31+AQ53+AQ78+AQ27</f>
        <v>57907</v>
      </c>
      <c r="AR25" s="163">
        <f t="shared" si="104"/>
        <v>57907</v>
      </c>
      <c r="AS25" s="163">
        <f t="shared" ref="AS25" si="105">AS28+AS29+AS30+AS31+AS53+AS78+AS27</f>
        <v>32968</v>
      </c>
      <c r="AT25" s="163">
        <f t="shared" si="49"/>
        <v>56.932667898526944</v>
      </c>
      <c r="AU25" s="210">
        <f t="shared" si="50"/>
        <v>57907</v>
      </c>
      <c r="AV25" s="210">
        <f t="shared" si="51"/>
        <v>57907</v>
      </c>
      <c r="AW25" s="210">
        <f t="shared" si="52"/>
        <v>32968</v>
      </c>
      <c r="AX25" s="210">
        <f t="shared" si="53"/>
        <v>56.932667898526944</v>
      </c>
      <c r="AY25" s="163">
        <f t="shared" ref="AY25:AZ25" si="106">AY28+AY29+AY30+AY31+AY53+AY78+AY27</f>
        <v>21421.97</v>
      </c>
      <c r="AZ25" s="163">
        <f t="shared" si="106"/>
        <v>21421.97</v>
      </c>
      <c r="BA25" s="163">
        <f t="shared" ref="BA25" si="107">BA28+BA29+BA30+BA31+BA53+BA78+BA27</f>
        <v>17971</v>
      </c>
      <c r="BB25" s="163">
        <f t="shared" si="55"/>
        <v>83.890510536612638</v>
      </c>
      <c r="BC25" s="163">
        <f t="shared" ref="BC25:BD25" si="108">BC28+BC29+BC30+BC31+BC53+BC78+BC27</f>
        <v>9733.7943999999989</v>
      </c>
      <c r="BD25" s="163">
        <f t="shared" si="108"/>
        <v>9733.7943999999989</v>
      </c>
      <c r="BE25" s="163">
        <f t="shared" ref="BE25" si="109">BE28+BE29+BE30+BE31+BE53+BE78+BE27</f>
        <v>8510</v>
      </c>
      <c r="BF25" s="163">
        <f t="shared" si="57"/>
        <v>87.427365426991159</v>
      </c>
      <c r="BG25" s="163">
        <f t="shared" ref="BG25:BH25" si="110">BG28+BG29+BG30+BG31+BG53+BG78+BG27</f>
        <v>39283.11</v>
      </c>
      <c r="BH25" s="163">
        <f t="shared" si="110"/>
        <v>39283.11</v>
      </c>
      <c r="BI25" s="163">
        <f t="shared" ref="BI25" si="111">BI28+BI29+BI30+BI31+BI53+BI78+BI27</f>
        <v>34322</v>
      </c>
      <c r="BJ25" s="163">
        <f t="shared" si="59"/>
        <v>87.370882804340084</v>
      </c>
      <c r="BK25" s="235">
        <f t="shared" si="31"/>
        <v>49016.904399999999</v>
      </c>
      <c r="BL25" s="235">
        <f t="shared" si="32"/>
        <v>49016.904399999999</v>
      </c>
      <c r="BM25" s="235">
        <f t="shared" si="33"/>
        <v>42832</v>
      </c>
      <c r="BN25" s="235">
        <f t="shared" si="60"/>
        <v>87.382099143739481</v>
      </c>
      <c r="BO25" s="235">
        <f t="shared" si="34"/>
        <v>157013.8744</v>
      </c>
      <c r="BP25" s="235">
        <f t="shared" si="35"/>
        <v>157013.8744</v>
      </c>
      <c r="BQ25" s="235">
        <f t="shared" si="36"/>
        <v>115643</v>
      </c>
      <c r="BR25" s="235">
        <f t="shared" si="61"/>
        <v>73.651453059106217</v>
      </c>
    </row>
    <row r="26" spans="1:70" ht="15.75" x14ac:dyDescent="0.2">
      <c r="A26" s="154" t="s">
        <v>126</v>
      </c>
      <c r="B26" s="197" t="s">
        <v>3</v>
      </c>
      <c r="C26" s="99"/>
      <c r="D26" s="97">
        <f t="shared" si="37"/>
        <v>0</v>
      </c>
      <c r="E26" s="99"/>
      <c r="F26" s="99">
        <f t="shared" si="38"/>
        <v>0</v>
      </c>
      <c r="G26" s="99"/>
      <c r="H26" s="97">
        <f t="shared" si="39"/>
        <v>0</v>
      </c>
      <c r="I26" s="99"/>
      <c r="J26" s="99">
        <f t="shared" si="40"/>
        <v>0</v>
      </c>
      <c r="K26" s="210">
        <f t="shared" si="41"/>
        <v>0</v>
      </c>
      <c r="L26" s="210">
        <f t="shared" si="42"/>
        <v>0</v>
      </c>
      <c r="M26" s="210">
        <f t="shared" si="4"/>
        <v>0</v>
      </c>
      <c r="N26" s="158">
        <f t="shared" si="43"/>
        <v>0</v>
      </c>
      <c r="O26" s="99"/>
      <c r="P26" s="162"/>
      <c r="Q26" s="99"/>
      <c r="R26" s="99" t="e">
        <f t="shared" si="7"/>
        <v>#DIV/0!</v>
      </c>
      <c r="S26" s="99"/>
      <c r="T26" s="97"/>
      <c r="U26" s="99"/>
      <c r="V26" s="99" t="e">
        <f t="shared" si="10"/>
        <v>#DIV/0!</v>
      </c>
      <c r="W26" s="99"/>
      <c r="X26" s="228">
        <f t="shared" ref="X26:X32" si="112">(W26/11)+S26+O26</f>
        <v>0</v>
      </c>
      <c r="Y26" s="99"/>
      <c r="Z26" s="99">
        <f t="shared" si="45"/>
        <v>0</v>
      </c>
      <c r="AA26" s="210">
        <f t="shared" si="46"/>
        <v>0</v>
      </c>
      <c r="AB26" s="210">
        <f t="shared" si="13"/>
        <v>0</v>
      </c>
      <c r="AC26" s="210">
        <f t="shared" si="13"/>
        <v>0</v>
      </c>
      <c r="AD26" s="210">
        <f t="shared" si="47"/>
        <v>0</v>
      </c>
      <c r="AE26" s="99"/>
      <c r="AF26" s="97"/>
      <c r="AG26" s="99"/>
      <c r="AH26" s="99" t="e">
        <f t="shared" si="16"/>
        <v>#DIV/0!</v>
      </c>
      <c r="AI26" s="99"/>
      <c r="AJ26" s="97"/>
      <c r="AK26" s="99"/>
      <c r="AL26" s="99" t="e">
        <f t="shared" si="19"/>
        <v>#DIV/0!</v>
      </c>
      <c r="AM26" s="99"/>
      <c r="AN26" s="97"/>
      <c r="AO26" s="99"/>
      <c r="AP26" s="99" t="e">
        <f t="shared" si="22"/>
        <v>#DIV/0!</v>
      </c>
      <c r="AQ26" s="99"/>
      <c r="AR26" s="228">
        <f t="shared" si="48"/>
        <v>0</v>
      </c>
      <c r="AS26" s="99"/>
      <c r="AT26" s="99">
        <f t="shared" si="49"/>
        <v>0</v>
      </c>
      <c r="AU26" s="210">
        <f t="shared" si="50"/>
        <v>0</v>
      </c>
      <c r="AV26" s="210">
        <f t="shared" si="51"/>
        <v>0</v>
      </c>
      <c r="AW26" s="210">
        <f t="shared" si="52"/>
        <v>0</v>
      </c>
      <c r="AX26" s="210">
        <f t="shared" si="53"/>
        <v>0</v>
      </c>
      <c r="AY26" s="99"/>
      <c r="AZ26" s="97">
        <f t="shared" si="54"/>
        <v>0</v>
      </c>
      <c r="BA26" s="99"/>
      <c r="BB26" s="99">
        <f t="shared" si="55"/>
        <v>0</v>
      </c>
      <c r="BC26" s="99"/>
      <c r="BD26" s="97">
        <f t="shared" si="56"/>
        <v>0</v>
      </c>
      <c r="BE26" s="99"/>
      <c r="BF26" s="99">
        <f t="shared" si="57"/>
        <v>0</v>
      </c>
      <c r="BG26" s="99"/>
      <c r="BH26" s="97">
        <f t="shared" si="58"/>
        <v>0</v>
      </c>
      <c r="BI26" s="99"/>
      <c r="BJ26" s="99">
        <f t="shared" si="59"/>
        <v>0</v>
      </c>
      <c r="BK26" s="235">
        <f t="shared" si="31"/>
        <v>0</v>
      </c>
      <c r="BL26" s="235">
        <f t="shared" si="32"/>
        <v>0</v>
      </c>
      <c r="BM26" s="235">
        <f t="shared" si="33"/>
        <v>0</v>
      </c>
      <c r="BN26" s="235">
        <f t="shared" si="60"/>
        <v>0</v>
      </c>
      <c r="BO26" s="235">
        <f t="shared" si="34"/>
        <v>0</v>
      </c>
      <c r="BP26" s="235">
        <f t="shared" si="35"/>
        <v>0</v>
      </c>
      <c r="BQ26" s="235">
        <f t="shared" si="36"/>
        <v>0</v>
      </c>
      <c r="BR26" s="235">
        <f t="shared" si="61"/>
        <v>0</v>
      </c>
    </row>
    <row r="27" spans="1:70" ht="15.75" x14ac:dyDescent="0.25">
      <c r="A27" s="164" t="s">
        <v>199</v>
      </c>
      <c r="B27" s="197"/>
      <c r="C27" s="99"/>
      <c r="D27" s="97">
        <f t="shared" si="37"/>
        <v>0</v>
      </c>
      <c r="E27" s="99"/>
      <c r="F27" s="99">
        <f t="shared" si="38"/>
        <v>0</v>
      </c>
      <c r="G27" s="99"/>
      <c r="H27" s="97">
        <f t="shared" si="39"/>
        <v>0</v>
      </c>
      <c r="I27" s="99"/>
      <c r="J27" s="99">
        <f t="shared" si="40"/>
        <v>0</v>
      </c>
      <c r="K27" s="210">
        <f t="shared" si="41"/>
        <v>0</v>
      </c>
      <c r="L27" s="210">
        <f t="shared" si="42"/>
        <v>0</v>
      </c>
      <c r="M27" s="210">
        <f t="shared" si="4"/>
        <v>0</v>
      </c>
      <c r="N27" s="158">
        <f t="shared" si="43"/>
        <v>0</v>
      </c>
      <c r="O27" s="99"/>
      <c r="P27" s="162"/>
      <c r="Q27" s="99"/>
      <c r="R27" s="99"/>
      <c r="S27" s="99"/>
      <c r="T27" s="97"/>
      <c r="U27" s="99"/>
      <c r="V27" s="99"/>
      <c r="W27" s="99"/>
      <c r="X27" s="97">
        <f t="shared" ref="X27:X30" si="113">ROUND(W27/12*$A$7,0)</f>
        <v>0</v>
      </c>
      <c r="Y27" s="99"/>
      <c r="Z27" s="99">
        <f t="shared" si="45"/>
        <v>0</v>
      </c>
      <c r="AA27" s="210">
        <f t="shared" si="46"/>
        <v>0</v>
      </c>
      <c r="AB27" s="210">
        <f t="shared" si="13"/>
        <v>0</v>
      </c>
      <c r="AC27" s="210">
        <f t="shared" si="13"/>
        <v>0</v>
      </c>
      <c r="AD27" s="210">
        <f t="shared" si="47"/>
        <v>0</v>
      </c>
      <c r="AE27" s="99"/>
      <c r="AF27" s="97"/>
      <c r="AG27" s="99"/>
      <c r="AH27" s="99"/>
      <c r="AI27" s="99"/>
      <c r="AJ27" s="97"/>
      <c r="AK27" s="99"/>
      <c r="AL27" s="99"/>
      <c r="AM27" s="99"/>
      <c r="AN27" s="97"/>
      <c r="AO27" s="99"/>
      <c r="AP27" s="99"/>
      <c r="AQ27" s="99"/>
      <c r="AR27" s="228">
        <f t="shared" si="48"/>
        <v>0</v>
      </c>
      <c r="AS27" s="99"/>
      <c r="AT27" s="99">
        <f t="shared" si="49"/>
        <v>0</v>
      </c>
      <c r="AU27" s="210">
        <f t="shared" si="50"/>
        <v>0</v>
      </c>
      <c r="AV27" s="210">
        <f t="shared" si="51"/>
        <v>0</v>
      </c>
      <c r="AW27" s="210">
        <f t="shared" si="52"/>
        <v>0</v>
      </c>
      <c r="AX27" s="210">
        <f t="shared" si="53"/>
        <v>0</v>
      </c>
      <c r="AY27" s="99"/>
      <c r="AZ27" s="97">
        <f t="shared" si="54"/>
        <v>0</v>
      </c>
      <c r="BA27" s="99"/>
      <c r="BB27" s="99">
        <f t="shared" si="55"/>
        <v>0</v>
      </c>
      <c r="BC27" s="99"/>
      <c r="BD27" s="97">
        <f t="shared" si="56"/>
        <v>0</v>
      </c>
      <c r="BE27" s="99"/>
      <c r="BF27" s="99">
        <f t="shared" si="57"/>
        <v>0</v>
      </c>
      <c r="BG27" s="99"/>
      <c r="BH27" s="97">
        <f t="shared" si="58"/>
        <v>0</v>
      </c>
      <c r="BI27" s="99"/>
      <c r="BJ27" s="99">
        <f t="shared" si="59"/>
        <v>0</v>
      </c>
      <c r="BK27" s="235">
        <f t="shared" si="31"/>
        <v>0</v>
      </c>
      <c r="BL27" s="235">
        <f t="shared" si="32"/>
        <v>0</v>
      </c>
      <c r="BM27" s="235">
        <f t="shared" si="33"/>
        <v>0</v>
      </c>
      <c r="BN27" s="235">
        <f t="shared" si="60"/>
        <v>0</v>
      </c>
      <c r="BO27" s="235">
        <f t="shared" si="34"/>
        <v>0</v>
      </c>
      <c r="BP27" s="235">
        <f t="shared" si="35"/>
        <v>0</v>
      </c>
      <c r="BQ27" s="235">
        <f t="shared" si="36"/>
        <v>0</v>
      </c>
      <c r="BR27" s="235">
        <f t="shared" si="61"/>
        <v>0</v>
      </c>
    </row>
    <row r="28" spans="1:70" s="17" customFormat="1" ht="47.25" x14ac:dyDescent="0.2">
      <c r="A28" s="154" t="s">
        <v>138</v>
      </c>
      <c r="B28" s="197" t="s">
        <v>3</v>
      </c>
      <c r="C28" s="99"/>
      <c r="D28" s="97">
        <f t="shared" ref="D28:D44" si="114">ROUND(C28/12*$A$7,0)</f>
        <v>0</v>
      </c>
      <c r="E28" s="99"/>
      <c r="F28" s="99">
        <f t="shared" si="38"/>
        <v>0</v>
      </c>
      <c r="G28" s="99"/>
      <c r="H28" s="97">
        <f t="shared" ref="H28:H45" si="115">ROUND(G28/12*$A$7,0)</f>
        <v>0</v>
      </c>
      <c r="I28" s="99"/>
      <c r="J28" s="99">
        <f t="shared" si="40"/>
        <v>0</v>
      </c>
      <c r="K28" s="210">
        <f t="shared" si="41"/>
        <v>0</v>
      </c>
      <c r="L28" s="210">
        <f t="shared" si="42"/>
        <v>0</v>
      </c>
      <c r="M28" s="210">
        <f t="shared" si="4"/>
        <v>0</v>
      </c>
      <c r="N28" s="158">
        <f t="shared" si="43"/>
        <v>0</v>
      </c>
      <c r="O28" s="99"/>
      <c r="P28" s="162"/>
      <c r="Q28" s="99"/>
      <c r="R28" s="99" t="e">
        <f t="shared" ref="R28:R89" si="116">Q28/P28*100</f>
        <v>#DIV/0!</v>
      </c>
      <c r="S28" s="99"/>
      <c r="T28" s="97"/>
      <c r="U28" s="99"/>
      <c r="V28" s="99" t="e">
        <f t="shared" ref="V28:V89" si="117">U28/T28*100</f>
        <v>#DIV/0!</v>
      </c>
      <c r="W28" s="99"/>
      <c r="X28" s="97">
        <f t="shared" si="113"/>
        <v>0</v>
      </c>
      <c r="Y28" s="99"/>
      <c r="Z28" s="99">
        <f t="shared" si="45"/>
        <v>0</v>
      </c>
      <c r="AA28" s="210">
        <f t="shared" si="46"/>
        <v>0</v>
      </c>
      <c r="AB28" s="210">
        <f t="shared" si="13"/>
        <v>0</v>
      </c>
      <c r="AC28" s="210">
        <f t="shared" si="13"/>
        <v>0</v>
      </c>
      <c r="AD28" s="210">
        <f t="shared" si="47"/>
        <v>0</v>
      </c>
      <c r="AE28" s="99"/>
      <c r="AF28" s="97"/>
      <c r="AG28" s="99"/>
      <c r="AH28" s="99" t="e">
        <f t="shared" ref="AH28:AH89" si="118">AG28/AF28*100</f>
        <v>#DIV/0!</v>
      </c>
      <c r="AI28" s="99"/>
      <c r="AJ28" s="97"/>
      <c r="AK28" s="99"/>
      <c r="AL28" s="99" t="e">
        <f t="shared" ref="AL28:AL89" si="119">AK28/AJ28*100</f>
        <v>#DIV/0!</v>
      </c>
      <c r="AM28" s="99"/>
      <c r="AN28" s="97"/>
      <c r="AO28" s="99"/>
      <c r="AP28" s="99" t="e">
        <f t="shared" ref="AP28:AP89" si="120">AO28/AN28*100</f>
        <v>#DIV/0!</v>
      </c>
      <c r="AQ28" s="99"/>
      <c r="AR28" s="228">
        <f t="shared" si="48"/>
        <v>0</v>
      </c>
      <c r="AS28" s="99"/>
      <c r="AT28" s="99">
        <f t="shared" si="49"/>
        <v>0</v>
      </c>
      <c r="AU28" s="210">
        <f t="shared" si="50"/>
        <v>0</v>
      </c>
      <c r="AV28" s="210">
        <f t="shared" si="51"/>
        <v>0</v>
      </c>
      <c r="AW28" s="210">
        <f t="shared" si="52"/>
        <v>0</v>
      </c>
      <c r="AX28" s="210">
        <f t="shared" si="53"/>
        <v>0</v>
      </c>
      <c r="AY28" s="99"/>
      <c r="AZ28" s="97">
        <f t="shared" ref="AZ28:AZ32" si="121">ROUND(AY28/12*$A$7,0)</f>
        <v>0</v>
      </c>
      <c r="BA28" s="99"/>
      <c r="BB28" s="99">
        <f t="shared" si="55"/>
        <v>0</v>
      </c>
      <c r="BC28" s="99"/>
      <c r="BD28" s="97">
        <f t="shared" ref="BD28:BD45" si="122">ROUND(BC28/12*$A$7,0)</f>
        <v>0</v>
      </c>
      <c r="BE28" s="99"/>
      <c r="BF28" s="99">
        <f t="shared" si="57"/>
        <v>0</v>
      </c>
      <c r="BG28" s="99"/>
      <c r="BH28" s="97">
        <f t="shared" ref="BH28:BH32" si="123">ROUND(BG28/12*$A$7,0)</f>
        <v>0</v>
      </c>
      <c r="BI28" s="99"/>
      <c r="BJ28" s="99">
        <f t="shared" si="59"/>
        <v>0</v>
      </c>
      <c r="BK28" s="235">
        <f t="shared" si="31"/>
        <v>0</v>
      </c>
      <c r="BL28" s="235">
        <f t="shared" si="32"/>
        <v>0</v>
      </c>
      <c r="BM28" s="235">
        <f t="shared" si="33"/>
        <v>0</v>
      </c>
      <c r="BN28" s="235">
        <f t="shared" si="60"/>
        <v>0</v>
      </c>
      <c r="BO28" s="235">
        <f t="shared" si="34"/>
        <v>0</v>
      </c>
      <c r="BP28" s="235">
        <f t="shared" si="35"/>
        <v>0</v>
      </c>
      <c r="BQ28" s="235">
        <f t="shared" si="36"/>
        <v>0</v>
      </c>
      <c r="BR28" s="235">
        <f t="shared" si="61"/>
        <v>0</v>
      </c>
    </row>
    <row r="29" spans="1:70" ht="31.5" x14ac:dyDescent="0.2">
      <c r="A29" s="154" t="s">
        <v>139</v>
      </c>
      <c r="B29" s="197" t="s">
        <v>3</v>
      </c>
      <c r="C29" s="99"/>
      <c r="D29" s="97">
        <f t="shared" si="114"/>
        <v>0</v>
      </c>
      <c r="E29" s="99"/>
      <c r="F29" s="99">
        <f t="shared" si="38"/>
        <v>0</v>
      </c>
      <c r="G29" s="99"/>
      <c r="H29" s="97">
        <f t="shared" si="115"/>
        <v>0</v>
      </c>
      <c r="I29" s="99"/>
      <c r="J29" s="99">
        <f t="shared" si="40"/>
        <v>0</v>
      </c>
      <c r="K29" s="210">
        <f t="shared" si="41"/>
        <v>0</v>
      </c>
      <c r="L29" s="210">
        <f t="shared" si="42"/>
        <v>0</v>
      </c>
      <c r="M29" s="210">
        <f t="shared" si="4"/>
        <v>0</v>
      </c>
      <c r="N29" s="158">
        <f t="shared" si="43"/>
        <v>0</v>
      </c>
      <c r="O29" s="99"/>
      <c r="P29" s="162"/>
      <c r="Q29" s="99"/>
      <c r="R29" s="99" t="e">
        <f t="shared" si="116"/>
        <v>#DIV/0!</v>
      </c>
      <c r="S29" s="99"/>
      <c r="T29" s="97"/>
      <c r="U29" s="99"/>
      <c r="V29" s="99" t="e">
        <f t="shared" si="117"/>
        <v>#DIV/0!</v>
      </c>
      <c r="W29" s="99"/>
      <c r="X29" s="97">
        <f t="shared" si="113"/>
        <v>0</v>
      </c>
      <c r="Y29" s="99"/>
      <c r="Z29" s="99">
        <f t="shared" si="45"/>
        <v>0</v>
      </c>
      <c r="AA29" s="210">
        <f t="shared" si="46"/>
        <v>0</v>
      </c>
      <c r="AB29" s="210">
        <f t="shared" si="13"/>
        <v>0</v>
      </c>
      <c r="AC29" s="210">
        <f t="shared" si="13"/>
        <v>0</v>
      </c>
      <c r="AD29" s="210">
        <f t="shared" si="47"/>
        <v>0</v>
      </c>
      <c r="AE29" s="99"/>
      <c r="AF29" s="97"/>
      <c r="AG29" s="99"/>
      <c r="AH29" s="99" t="e">
        <f t="shared" si="118"/>
        <v>#DIV/0!</v>
      </c>
      <c r="AI29" s="99"/>
      <c r="AJ29" s="97"/>
      <c r="AK29" s="99"/>
      <c r="AL29" s="99" t="e">
        <f t="shared" si="119"/>
        <v>#DIV/0!</v>
      </c>
      <c r="AM29" s="99"/>
      <c r="AN29" s="97"/>
      <c r="AO29" s="99"/>
      <c r="AP29" s="99" t="e">
        <f t="shared" si="120"/>
        <v>#DIV/0!</v>
      </c>
      <c r="AQ29" s="99"/>
      <c r="AR29" s="228">
        <f t="shared" si="48"/>
        <v>0</v>
      </c>
      <c r="AS29" s="99"/>
      <c r="AT29" s="99">
        <f t="shared" si="49"/>
        <v>0</v>
      </c>
      <c r="AU29" s="210">
        <f t="shared" si="50"/>
        <v>0</v>
      </c>
      <c r="AV29" s="210">
        <f t="shared" si="51"/>
        <v>0</v>
      </c>
      <c r="AW29" s="210">
        <f t="shared" si="52"/>
        <v>0</v>
      </c>
      <c r="AX29" s="210">
        <f t="shared" si="53"/>
        <v>0</v>
      </c>
      <c r="AY29" s="99"/>
      <c r="AZ29" s="97">
        <f t="shared" si="121"/>
        <v>0</v>
      </c>
      <c r="BA29" s="99"/>
      <c r="BB29" s="99">
        <f t="shared" si="55"/>
        <v>0</v>
      </c>
      <c r="BC29" s="99"/>
      <c r="BD29" s="97">
        <f t="shared" si="122"/>
        <v>0</v>
      </c>
      <c r="BE29" s="99"/>
      <c r="BF29" s="99">
        <f t="shared" si="57"/>
        <v>0</v>
      </c>
      <c r="BG29" s="99"/>
      <c r="BH29" s="97">
        <f t="shared" si="123"/>
        <v>0</v>
      </c>
      <c r="BI29" s="99"/>
      <c r="BJ29" s="99">
        <f t="shared" si="59"/>
        <v>0</v>
      </c>
      <c r="BK29" s="235">
        <f t="shared" si="31"/>
        <v>0</v>
      </c>
      <c r="BL29" s="235">
        <f t="shared" si="32"/>
        <v>0</v>
      </c>
      <c r="BM29" s="235">
        <f t="shared" si="33"/>
        <v>0</v>
      </c>
      <c r="BN29" s="235">
        <f t="shared" si="60"/>
        <v>0</v>
      </c>
      <c r="BO29" s="235">
        <f t="shared" si="34"/>
        <v>0</v>
      </c>
      <c r="BP29" s="235">
        <f t="shared" si="35"/>
        <v>0</v>
      </c>
      <c r="BQ29" s="235">
        <f t="shared" si="36"/>
        <v>0</v>
      </c>
      <c r="BR29" s="235">
        <f t="shared" si="61"/>
        <v>0</v>
      </c>
    </row>
    <row r="30" spans="1:70" ht="31.5" x14ac:dyDescent="0.2">
      <c r="A30" s="154" t="s">
        <v>140</v>
      </c>
      <c r="B30" s="197" t="s">
        <v>3</v>
      </c>
      <c r="C30" s="99"/>
      <c r="D30" s="97">
        <f t="shared" si="114"/>
        <v>0</v>
      </c>
      <c r="E30" s="99"/>
      <c r="F30" s="99">
        <f t="shared" si="38"/>
        <v>0</v>
      </c>
      <c r="G30" s="99"/>
      <c r="H30" s="97">
        <f t="shared" si="115"/>
        <v>0</v>
      </c>
      <c r="I30" s="99"/>
      <c r="J30" s="99">
        <f t="shared" si="40"/>
        <v>0</v>
      </c>
      <c r="K30" s="210">
        <f t="shared" si="41"/>
        <v>0</v>
      </c>
      <c r="L30" s="210">
        <f t="shared" si="42"/>
        <v>0</v>
      </c>
      <c r="M30" s="210">
        <f t="shared" si="4"/>
        <v>0</v>
      </c>
      <c r="N30" s="158">
        <f t="shared" si="43"/>
        <v>0</v>
      </c>
      <c r="O30" s="99"/>
      <c r="P30" s="162"/>
      <c r="Q30" s="99"/>
      <c r="R30" s="99" t="e">
        <f t="shared" si="116"/>
        <v>#DIV/0!</v>
      </c>
      <c r="S30" s="99"/>
      <c r="T30" s="97"/>
      <c r="U30" s="99"/>
      <c r="V30" s="99" t="e">
        <f t="shared" si="117"/>
        <v>#DIV/0!</v>
      </c>
      <c r="W30" s="99"/>
      <c r="X30" s="97">
        <f t="shared" si="113"/>
        <v>0</v>
      </c>
      <c r="Y30" s="99"/>
      <c r="Z30" s="99">
        <f t="shared" si="45"/>
        <v>0</v>
      </c>
      <c r="AA30" s="210">
        <f t="shared" si="46"/>
        <v>0</v>
      </c>
      <c r="AB30" s="210">
        <f t="shared" si="13"/>
        <v>0</v>
      </c>
      <c r="AC30" s="210">
        <f t="shared" si="13"/>
        <v>0</v>
      </c>
      <c r="AD30" s="210">
        <f t="shared" si="47"/>
        <v>0</v>
      </c>
      <c r="AE30" s="99"/>
      <c r="AF30" s="97"/>
      <c r="AG30" s="99"/>
      <c r="AH30" s="99" t="e">
        <f t="shared" si="118"/>
        <v>#DIV/0!</v>
      </c>
      <c r="AI30" s="99"/>
      <c r="AJ30" s="97"/>
      <c r="AK30" s="99"/>
      <c r="AL30" s="99" t="e">
        <f t="shared" si="119"/>
        <v>#DIV/0!</v>
      </c>
      <c r="AM30" s="99"/>
      <c r="AN30" s="97"/>
      <c r="AO30" s="99"/>
      <c r="AP30" s="99" t="e">
        <f t="shared" si="120"/>
        <v>#DIV/0!</v>
      </c>
      <c r="AQ30" s="99"/>
      <c r="AR30" s="228">
        <f t="shared" si="48"/>
        <v>0</v>
      </c>
      <c r="AS30" s="99"/>
      <c r="AT30" s="99">
        <f t="shared" si="49"/>
        <v>0</v>
      </c>
      <c r="AU30" s="210">
        <f t="shared" si="50"/>
        <v>0</v>
      </c>
      <c r="AV30" s="210">
        <f t="shared" si="51"/>
        <v>0</v>
      </c>
      <c r="AW30" s="210">
        <f t="shared" si="52"/>
        <v>0</v>
      </c>
      <c r="AX30" s="210">
        <f t="shared" si="53"/>
        <v>0</v>
      </c>
      <c r="AY30" s="99"/>
      <c r="AZ30" s="97">
        <f t="shared" si="121"/>
        <v>0</v>
      </c>
      <c r="BA30" s="99"/>
      <c r="BB30" s="99">
        <f t="shared" si="55"/>
        <v>0</v>
      </c>
      <c r="BC30" s="99"/>
      <c r="BD30" s="97">
        <f t="shared" si="122"/>
        <v>0</v>
      </c>
      <c r="BE30" s="99"/>
      <c r="BF30" s="99">
        <f t="shared" si="57"/>
        <v>0</v>
      </c>
      <c r="BG30" s="99"/>
      <c r="BH30" s="97">
        <f t="shared" si="123"/>
        <v>0</v>
      </c>
      <c r="BI30" s="99"/>
      <c r="BJ30" s="99">
        <f t="shared" si="59"/>
        <v>0</v>
      </c>
      <c r="BK30" s="235">
        <f t="shared" si="31"/>
        <v>0</v>
      </c>
      <c r="BL30" s="235">
        <f t="shared" si="32"/>
        <v>0</v>
      </c>
      <c r="BM30" s="235">
        <f t="shared" si="33"/>
        <v>0</v>
      </c>
      <c r="BN30" s="235">
        <f t="shared" si="60"/>
        <v>0</v>
      </c>
      <c r="BO30" s="235">
        <f t="shared" si="34"/>
        <v>0</v>
      </c>
      <c r="BP30" s="235">
        <f t="shared" si="35"/>
        <v>0</v>
      </c>
      <c r="BQ30" s="235">
        <f t="shared" si="36"/>
        <v>0</v>
      </c>
      <c r="BR30" s="235">
        <f t="shared" si="61"/>
        <v>0</v>
      </c>
    </row>
    <row r="31" spans="1:70" ht="31.5" x14ac:dyDescent="0.2">
      <c r="A31" s="165" t="s">
        <v>141</v>
      </c>
      <c r="B31" s="199" t="s">
        <v>3</v>
      </c>
      <c r="C31" s="163">
        <f t="shared" ref="C31:D31" si="124">C33+C41*2+C43+C48</f>
        <v>5013</v>
      </c>
      <c r="D31" s="163">
        <f t="shared" si="124"/>
        <v>5013</v>
      </c>
      <c r="E31" s="163">
        <f>E33+E41*2+E43+E48+E42</f>
        <v>4248</v>
      </c>
      <c r="F31" s="163">
        <f t="shared" si="38"/>
        <v>84.739676840215438</v>
      </c>
      <c r="G31" s="163">
        <f t="shared" ref="G31:H31" si="125">G33+G41*2+G43+G48</f>
        <v>15</v>
      </c>
      <c r="H31" s="163">
        <f t="shared" si="125"/>
        <v>15</v>
      </c>
      <c r="I31" s="163">
        <f>I33+I41+I43+I48</f>
        <v>15</v>
      </c>
      <c r="J31" s="163">
        <f t="shared" si="40"/>
        <v>100</v>
      </c>
      <c r="K31" s="210">
        <f t="shared" si="41"/>
        <v>5028</v>
      </c>
      <c r="L31" s="210">
        <f t="shared" si="42"/>
        <v>5028</v>
      </c>
      <c r="M31" s="210">
        <f t="shared" si="4"/>
        <v>4263</v>
      </c>
      <c r="N31" s="158">
        <f t="shared" si="43"/>
        <v>84.785202863961814</v>
      </c>
      <c r="O31" s="163">
        <f t="shared" ref="O31" si="126">O33+O41*2+O43+O48</f>
        <v>0</v>
      </c>
      <c r="P31" s="162"/>
      <c r="Q31" s="163">
        <f t="shared" ref="Q31" si="127">Q33+Q41*2+Q43+Q48</f>
        <v>0</v>
      </c>
      <c r="R31" s="163" t="e">
        <f t="shared" si="116"/>
        <v>#DIV/0!</v>
      </c>
      <c r="S31" s="163">
        <f t="shared" ref="S31" si="128">S33+S41*2+S43+S48</f>
        <v>0</v>
      </c>
      <c r="T31" s="162"/>
      <c r="U31" s="163">
        <f t="shared" ref="U31" si="129">U33+U41*2+U43+U48</f>
        <v>0</v>
      </c>
      <c r="V31" s="163" t="e">
        <f t="shared" si="117"/>
        <v>#DIV/0!</v>
      </c>
      <c r="W31" s="163">
        <f t="shared" ref="W31:X31" si="130">W33+W41*2+W43+W48</f>
        <v>5427</v>
      </c>
      <c r="X31" s="163">
        <f t="shared" si="130"/>
        <v>5427</v>
      </c>
      <c r="Y31" s="163">
        <f>Y33+Y41*2+Y43+Y48+Y42</f>
        <v>5741</v>
      </c>
      <c r="Z31" s="163">
        <f t="shared" si="45"/>
        <v>105.78588538787544</v>
      </c>
      <c r="AA31" s="210">
        <f t="shared" si="46"/>
        <v>5427</v>
      </c>
      <c r="AB31" s="210">
        <f t="shared" si="13"/>
        <v>5427</v>
      </c>
      <c r="AC31" s="210">
        <f t="shared" si="13"/>
        <v>5741</v>
      </c>
      <c r="AD31" s="210">
        <f t="shared" si="47"/>
        <v>105.78588538787544</v>
      </c>
      <c r="AE31" s="163">
        <f t="shared" ref="AE31" si="131">AE33+AE41*2+AE43+AE48</f>
        <v>0</v>
      </c>
      <c r="AF31" s="162"/>
      <c r="AG31" s="163">
        <f t="shared" ref="AG31" si="132">AG33+AG41*2+AG43+AG48</f>
        <v>0</v>
      </c>
      <c r="AH31" s="163" t="e">
        <f t="shared" si="118"/>
        <v>#DIV/0!</v>
      </c>
      <c r="AI31" s="163">
        <f t="shared" ref="AI31" si="133">AI33+AI41*2+AI43+AI48</f>
        <v>0</v>
      </c>
      <c r="AJ31" s="162"/>
      <c r="AK31" s="163">
        <f t="shared" ref="AK31" si="134">AK33+AK41*2+AK43+AK48</f>
        <v>0</v>
      </c>
      <c r="AL31" s="163" t="e">
        <f t="shared" si="119"/>
        <v>#DIV/0!</v>
      </c>
      <c r="AM31" s="163">
        <f t="shared" ref="AM31" si="135">AM33+AM41*2+AM43+AM48</f>
        <v>0</v>
      </c>
      <c r="AN31" s="162"/>
      <c r="AO31" s="163">
        <f t="shared" ref="AO31" si="136">AO33+AO41*2+AO43+AO48</f>
        <v>0</v>
      </c>
      <c r="AP31" s="163" t="e">
        <f t="shared" si="120"/>
        <v>#DIV/0!</v>
      </c>
      <c r="AQ31" s="163">
        <f t="shared" ref="AQ31:AR31" si="137">AQ33+AQ41*2+AQ43+AQ48</f>
        <v>9694</v>
      </c>
      <c r="AR31" s="163">
        <f t="shared" si="137"/>
        <v>9694</v>
      </c>
      <c r="AS31" s="163">
        <f>AS33+AS41*2+AS43+AS48+AS42</f>
        <v>7444</v>
      </c>
      <c r="AT31" s="163">
        <f t="shared" si="49"/>
        <v>76.789766866102752</v>
      </c>
      <c r="AU31" s="210">
        <f t="shared" si="50"/>
        <v>9694</v>
      </c>
      <c r="AV31" s="210">
        <f t="shared" si="51"/>
        <v>9694</v>
      </c>
      <c r="AW31" s="210">
        <f t="shared" si="52"/>
        <v>7444</v>
      </c>
      <c r="AX31" s="210">
        <f t="shared" si="53"/>
        <v>76.789766866102752</v>
      </c>
      <c r="AY31" s="163">
        <f t="shared" ref="AY31:AZ31" si="138">AY33+AY41*2+AY43+AY48</f>
        <v>5288.97</v>
      </c>
      <c r="AZ31" s="163">
        <f t="shared" si="138"/>
        <v>5288.97</v>
      </c>
      <c r="BA31" s="163">
        <f>BA33+BA41*2+BA43+BA48+BA42</f>
        <v>5604</v>
      </c>
      <c r="BB31" s="163">
        <f t="shared" si="55"/>
        <v>105.95635823232121</v>
      </c>
      <c r="BC31" s="163">
        <f t="shared" ref="BC31:BD31" si="139">BC33+BC41*2+BC43+BC48</f>
        <v>4396.7943999999998</v>
      </c>
      <c r="BD31" s="163">
        <f t="shared" si="139"/>
        <v>4396.7943999999998</v>
      </c>
      <c r="BE31" s="163">
        <f>BE33+BE41*2+BE43+BE48+BE42</f>
        <v>4192</v>
      </c>
      <c r="BF31" s="163">
        <f t="shared" si="57"/>
        <v>95.342188390705743</v>
      </c>
      <c r="BG31" s="163">
        <f t="shared" ref="BG31:BH31" si="140">BG33+BG41*2+BG43+BG48</f>
        <v>12792.11</v>
      </c>
      <c r="BH31" s="163">
        <f t="shared" si="140"/>
        <v>12792.11</v>
      </c>
      <c r="BI31" s="163">
        <f>BI33+BI41*2+BI43+BI48+BI42</f>
        <v>11269</v>
      </c>
      <c r="BJ31" s="163">
        <f t="shared" si="59"/>
        <v>88.093363800029863</v>
      </c>
      <c r="BK31" s="236">
        <f t="shared" si="31"/>
        <v>17188.904399999999</v>
      </c>
      <c r="BL31" s="236">
        <f t="shared" si="32"/>
        <v>17188.904399999999</v>
      </c>
      <c r="BM31" s="236">
        <f t="shared" si="33"/>
        <v>15461</v>
      </c>
      <c r="BN31" s="235">
        <f t="shared" si="60"/>
        <v>89.947559426766034</v>
      </c>
      <c r="BO31" s="235">
        <f t="shared" si="34"/>
        <v>42626.874400000001</v>
      </c>
      <c r="BP31" s="235">
        <f t="shared" si="35"/>
        <v>42626.874400000001</v>
      </c>
      <c r="BQ31" s="235">
        <f t="shared" si="36"/>
        <v>38513</v>
      </c>
      <c r="BR31" s="235">
        <f t="shared" si="61"/>
        <v>90.349106149804868</v>
      </c>
    </row>
    <row r="32" spans="1:70" ht="15.75" x14ac:dyDescent="0.2">
      <c r="A32" s="154" t="s">
        <v>132</v>
      </c>
      <c r="B32" s="200"/>
      <c r="C32" s="212"/>
      <c r="D32" s="97">
        <f t="shared" si="114"/>
        <v>0</v>
      </c>
      <c r="E32" s="212"/>
      <c r="F32" s="99">
        <f t="shared" si="38"/>
        <v>0</v>
      </c>
      <c r="G32" s="212"/>
      <c r="H32" s="97">
        <f t="shared" si="115"/>
        <v>0</v>
      </c>
      <c r="I32" s="212"/>
      <c r="J32" s="99">
        <f t="shared" si="40"/>
        <v>0</v>
      </c>
      <c r="K32" s="210">
        <f t="shared" si="41"/>
        <v>0</v>
      </c>
      <c r="L32" s="210">
        <f t="shared" si="42"/>
        <v>0</v>
      </c>
      <c r="M32" s="210">
        <f t="shared" si="4"/>
        <v>0</v>
      </c>
      <c r="N32" s="158">
        <f t="shared" si="43"/>
        <v>0</v>
      </c>
      <c r="O32" s="212"/>
      <c r="P32" s="162"/>
      <c r="Q32" s="212"/>
      <c r="R32" s="99" t="e">
        <f t="shared" si="116"/>
        <v>#DIV/0!</v>
      </c>
      <c r="S32" s="212"/>
      <c r="T32" s="97"/>
      <c r="U32" s="212"/>
      <c r="V32" s="99" t="e">
        <f t="shared" si="117"/>
        <v>#DIV/0!</v>
      </c>
      <c r="W32" s="212"/>
      <c r="X32" s="228">
        <f t="shared" si="112"/>
        <v>0</v>
      </c>
      <c r="Y32" s="212"/>
      <c r="Z32" s="99">
        <f t="shared" si="45"/>
        <v>0</v>
      </c>
      <c r="AA32" s="210">
        <f t="shared" si="46"/>
        <v>0</v>
      </c>
      <c r="AB32" s="210">
        <f t="shared" si="13"/>
        <v>0</v>
      </c>
      <c r="AC32" s="210">
        <f t="shared" si="13"/>
        <v>0</v>
      </c>
      <c r="AD32" s="210">
        <f t="shared" si="47"/>
        <v>0</v>
      </c>
      <c r="AE32" s="212"/>
      <c r="AF32" s="97"/>
      <c r="AG32" s="212"/>
      <c r="AH32" s="99" t="e">
        <f t="shared" si="118"/>
        <v>#DIV/0!</v>
      </c>
      <c r="AI32" s="212"/>
      <c r="AJ32" s="97"/>
      <c r="AK32" s="212"/>
      <c r="AL32" s="99" t="e">
        <f t="shared" si="119"/>
        <v>#DIV/0!</v>
      </c>
      <c r="AM32" s="212"/>
      <c r="AN32" s="97"/>
      <c r="AO32" s="212"/>
      <c r="AP32" s="99" t="e">
        <f t="shared" si="120"/>
        <v>#DIV/0!</v>
      </c>
      <c r="AQ32" s="212"/>
      <c r="AR32" s="228">
        <f t="shared" si="48"/>
        <v>0</v>
      </c>
      <c r="AS32" s="212"/>
      <c r="AT32" s="99">
        <f t="shared" si="49"/>
        <v>0</v>
      </c>
      <c r="AU32" s="210">
        <f t="shared" si="50"/>
        <v>0</v>
      </c>
      <c r="AV32" s="210">
        <f t="shared" si="51"/>
        <v>0</v>
      </c>
      <c r="AW32" s="210">
        <f t="shared" si="52"/>
        <v>0</v>
      </c>
      <c r="AX32" s="210">
        <f t="shared" si="53"/>
        <v>0</v>
      </c>
      <c r="AY32" s="212"/>
      <c r="AZ32" s="97">
        <f t="shared" si="121"/>
        <v>0</v>
      </c>
      <c r="BA32" s="212"/>
      <c r="BB32" s="99">
        <f t="shared" si="55"/>
        <v>0</v>
      </c>
      <c r="BC32" s="212"/>
      <c r="BD32" s="97">
        <f t="shared" si="122"/>
        <v>0</v>
      </c>
      <c r="BE32" s="212"/>
      <c r="BF32" s="99">
        <f t="shared" si="57"/>
        <v>0</v>
      </c>
      <c r="BG32" s="212"/>
      <c r="BH32" s="97">
        <f t="shared" si="123"/>
        <v>0</v>
      </c>
      <c r="BI32" s="212"/>
      <c r="BJ32" s="99">
        <f t="shared" si="59"/>
        <v>0</v>
      </c>
      <c r="BK32" s="236">
        <f t="shared" si="31"/>
        <v>0</v>
      </c>
      <c r="BL32" s="236">
        <f t="shared" si="32"/>
        <v>0</v>
      </c>
      <c r="BM32" s="236">
        <f t="shared" si="33"/>
        <v>0</v>
      </c>
      <c r="BN32" s="235">
        <f t="shared" si="60"/>
        <v>0</v>
      </c>
      <c r="BO32" s="235">
        <f t="shared" si="34"/>
        <v>0</v>
      </c>
      <c r="BP32" s="235">
        <f t="shared" si="35"/>
        <v>0</v>
      </c>
      <c r="BQ32" s="235">
        <f t="shared" si="36"/>
        <v>0</v>
      </c>
      <c r="BR32" s="235">
        <f t="shared" si="61"/>
        <v>0</v>
      </c>
    </row>
    <row r="33" spans="1:70" s="17" customFormat="1" ht="31.5" x14ac:dyDescent="0.2">
      <c r="A33" s="303" t="s">
        <v>142</v>
      </c>
      <c r="B33" s="201" t="s">
        <v>3</v>
      </c>
      <c r="C33" s="213">
        <f t="shared" ref="C33:D33" si="141">C34+C35+C36+C37+C38+C39*2</f>
        <v>2240</v>
      </c>
      <c r="D33" s="213">
        <f t="shared" si="141"/>
        <v>2240</v>
      </c>
      <c r="E33" s="213">
        <f>E34+E35+E36+E37+E38+E39*2+E40</f>
        <v>1944</v>
      </c>
      <c r="F33" s="213">
        <f t="shared" si="38"/>
        <v>86.785714285714292</v>
      </c>
      <c r="G33" s="213">
        <f t="shared" ref="G33:H33" si="142">G34+G35+G36+G37+G38+G39*2</f>
        <v>15</v>
      </c>
      <c r="H33" s="213">
        <f t="shared" si="142"/>
        <v>15</v>
      </c>
      <c r="I33" s="213">
        <f>I34+I35+I36+I37+I38+I39</f>
        <v>15</v>
      </c>
      <c r="J33" s="213">
        <f t="shared" si="40"/>
        <v>100</v>
      </c>
      <c r="K33" s="309">
        <f t="shared" si="41"/>
        <v>2255</v>
      </c>
      <c r="L33" s="309">
        <f t="shared" si="42"/>
        <v>2255</v>
      </c>
      <c r="M33" s="309">
        <f t="shared" si="4"/>
        <v>1959</v>
      </c>
      <c r="N33" s="309">
        <f t="shared" si="43"/>
        <v>86.873614190687363</v>
      </c>
      <c r="O33" s="213">
        <f t="shared" ref="O33" si="143">O34+O35+O36+O37+O38+O39*2</f>
        <v>0</v>
      </c>
      <c r="P33" s="304"/>
      <c r="Q33" s="213">
        <f t="shared" ref="Q33" si="144">Q34+Q35+Q36+Q37+Q38+Q39*2</f>
        <v>0</v>
      </c>
      <c r="R33" s="213" t="e">
        <f t="shared" si="116"/>
        <v>#DIV/0!</v>
      </c>
      <c r="S33" s="213">
        <f t="shared" ref="S33" si="145">S34+S35+S36+S37+S38+S39*2</f>
        <v>0</v>
      </c>
      <c r="T33" s="304"/>
      <c r="U33" s="213">
        <f t="shared" ref="U33" si="146">U34+U35+U36+U37+U38+U39*2</f>
        <v>0</v>
      </c>
      <c r="V33" s="213" t="e">
        <f t="shared" si="117"/>
        <v>#DIV/0!</v>
      </c>
      <c r="W33" s="213">
        <f t="shared" ref="W33:X33" si="147">W34+W35+W36+W37+W38+W39*2</f>
        <v>2301</v>
      </c>
      <c r="X33" s="213">
        <f t="shared" si="147"/>
        <v>2301</v>
      </c>
      <c r="Y33" s="213">
        <f>Y34+Y35+Y36+Y37+Y38+Y39*2+Y40</f>
        <v>2161</v>
      </c>
      <c r="Z33" s="213">
        <f t="shared" si="45"/>
        <v>93.915688830943068</v>
      </c>
      <c r="AA33" s="309">
        <f t="shared" si="46"/>
        <v>2301</v>
      </c>
      <c r="AB33" s="309">
        <f t="shared" si="13"/>
        <v>2301</v>
      </c>
      <c r="AC33" s="309">
        <f t="shared" si="13"/>
        <v>2161</v>
      </c>
      <c r="AD33" s="309">
        <f t="shared" si="47"/>
        <v>93.915688830943068</v>
      </c>
      <c r="AE33" s="213">
        <f t="shared" ref="AE33" si="148">AE34+AE35+AE36+AE37+AE38+AE39*2</f>
        <v>0</v>
      </c>
      <c r="AF33" s="304"/>
      <c r="AG33" s="213">
        <f t="shared" ref="AG33" si="149">AG34+AG35+AG36+AG37+AG38+AG39*2</f>
        <v>0</v>
      </c>
      <c r="AH33" s="213" t="e">
        <f t="shared" si="118"/>
        <v>#DIV/0!</v>
      </c>
      <c r="AI33" s="213">
        <f t="shared" ref="AI33" si="150">AI34+AI35+AI36+AI37+AI38+AI39*2</f>
        <v>0</v>
      </c>
      <c r="AJ33" s="304"/>
      <c r="AK33" s="213">
        <f t="shared" ref="AK33" si="151">AK34+AK35+AK36+AK37+AK38+AK39*2</f>
        <v>0</v>
      </c>
      <c r="AL33" s="213" t="e">
        <f t="shared" si="119"/>
        <v>#DIV/0!</v>
      </c>
      <c r="AM33" s="213">
        <f t="shared" ref="AM33" si="152">AM34+AM35+AM36+AM37+AM38+AM39*2</f>
        <v>0</v>
      </c>
      <c r="AN33" s="304"/>
      <c r="AO33" s="213">
        <f t="shared" ref="AO33" si="153">AO34+AO35+AO36+AO37+AO38+AO39*2</f>
        <v>0</v>
      </c>
      <c r="AP33" s="213" t="e">
        <f t="shared" si="120"/>
        <v>#DIV/0!</v>
      </c>
      <c r="AQ33" s="213">
        <f t="shared" ref="AQ33:AR33" si="154">AQ34+AQ35+AQ36+AQ37+AQ38+AQ39*2</f>
        <v>6721</v>
      </c>
      <c r="AR33" s="213">
        <f t="shared" si="154"/>
        <v>6721</v>
      </c>
      <c r="AS33" s="213">
        <f>AS34+AS35+AS36+AS37+AS38+AS39*2+AS40</f>
        <v>5479</v>
      </c>
      <c r="AT33" s="213">
        <f t="shared" si="49"/>
        <v>81.520607052521939</v>
      </c>
      <c r="AU33" s="309">
        <f t="shared" si="50"/>
        <v>6721</v>
      </c>
      <c r="AV33" s="309">
        <f t="shared" si="51"/>
        <v>6721</v>
      </c>
      <c r="AW33" s="309">
        <f t="shared" si="52"/>
        <v>5479</v>
      </c>
      <c r="AX33" s="309">
        <f t="shared" si="53"/>
        <v>81.520607052521939</v>
      </c>
      <c r="AY33" s="213">
        <f t="shared" ref="AY33:AZ33" si="155">AY34+AY35+AY36+AY37+AY38+AY39*2</f>
        <v>3471.9700000000003</v>
      </c>
      <c r="AZ33" s="213">
        <f t="shared" si="155"/>
        <v>3471.9700000000003</v>
      </c>
      <c r="BA33" s="213">
        <f>BA34+BA35+BA36+BA37+BA38+BA39*2+BA40</f>
        <v>3065</v>
      </c>
      <c r="BB33" s="213">
        <f t="shared" si="55"/>
        <v>88.278412543887185</v>
      </c>
      <c r="BC33" s="213">
        <f t="shared" ref="BC33:BD33" si="156">BC34+BC35+BC36+BC37+BC38+BC39*2</f>
        <v>2852.7943999999998</v>
      </c>
      <c r="BD33" s="213">
        <f t="shared" si="156"/>
        <v>2852.7943999999998</v>
      </c>
      <c r="BE33" s="213">
        <f>BE34+BE35+BE36+BE37+BE38+BE39*2+BE40</f>
        <v>2768</v>
      </c>
      <c r="BF33" s="213">
        <f t="shared" si="57"/>
        <v>97.027672236036366</v>
      </c>
      <c r="BG33" s="213">
        <f t="shared" ref="BG33:BH33" si="157">BG34+BG35+BG36+BG37+BG38+BG39*2</f>
        <v>11232.11</v>
      </c>
      <c r="BH33" s="213">
        <f t="shared" si="157"/>
        <v>11232.11</v>
      </c>
      <c r="BI33" s="213">
        <f>BI34+BI35+BI36+BI37+BI38+BI39*2+BI40</f>
        <v>9858</v>
      </c>
      <c r="BJ33" s="213">
        <f t="shared" si="59"/>
        <v>87.766234483102451</v>
      </c>
      <c r="BK33" s="311">
        <f t="shared" si="31"/>
        <v>14084.904399999999</v>
      </c>
      <c r="BL33" s="305">
        <f t="shared" si="32"/>
        <v>14084.904399999999</v>
      </c>
      <c r="BM33" s="311">
        <f t="shared" si="33"/>
        <v>12626</v>
      </c>
      <c r="BN33" s="305">
        <f t="shared" si="60"/>
        <v>89.642070982036628</v>
      </c>
      <c r="BO33" s="305">
        <f t="shared" si="34"/>
        <v>28833.874400000001</v>
      </c>
      <c r="BP33" s="305">
        <f t="shared" si="35"/>
        <v>28833.874400000001</v>
      </c>
      <c r="BQ33" s="305">
        <f t="shared" si="36"/>
        <v>25290</v>
      </c>
      <c r="BR33" s="305">
        <f t="shared" si="61"/>
        <v>87.709336765370665</v>
      </c>
    </row>
    <row r="34" spans="1:70" ht="15.75" x14ac:dyDescent="0.2">
      <c r="A34" s="169" t="s">
        <v>143</v>
      </c>
      <c r="B34" s="201" t="s">
        <v>339</v>
      </c>
      <c r="C34" s="99">
        <v>300</v>
      </c>
      <c r="D34" s="195">
        <v>300</v>
      </c>
      <c r="E34" s="99">
        <v>248</v>
      </c>
      <c r="F34" s="99">
        <f t="shared" si="38"/>
        <v>82.666666666666671</v>
      </c>
      <c r="G34" s="99">
        <v>14</v>
      </c>
      <c r="H34" s="195">
        <v>14</v>
      </c>
      <c r="I34" s="99">
        <v>14</v>
      </c>
      <c r="J34" s="99">
        <f t="shared" si="40"/>
        <v>100</v>
      </c>
      <c r="K34" s="210">
        <f t="shared" si="41"/>
        <v>314</v>
      </c>
      <c r="L34" s="210">
        <f t="shared" si="42"/>
        <v>314</v>
      </c>
      <c r="M34" s="210">
        <f t="shared" si="4"/>
        <v>262</v>
      </c>
      <c r="N34" s="158">
        <f t="shared" si="43"/>
        <v>83.439490445859875</v>
      </c>
      <c r="O34" s="213"/>
      <c r="P34" s="162"/>
      <c r="Q34" s="213"/>
      <c r="R34" s="99" t="e">
        <f t="shared" si="116"/>
        <v>#DIV/0!</v>
      </c>
      <c r="S34" s="213"/>
      <c r="T34" s="97"/>
      <c r="U34" s="213"/>
      <c r="V34" s="99" t="e">
        <f t="shared" si="117"/>
        <v>#DIV/0!</v>
      </c>
      <c r="W34" s="99">
        <v>451</v>
      </c>
      <c r="X34" s="367">
        <v>451</v>
      </c>
      <c r="Y34" s="99">
        <v>371</v>
      </c>
      <c r="Z34" s="99">
        <f t="shared" si="45"/>
        <v>82.261640798226168</v>
      </c>
      <c r="AA34" s="210">
        <f t="shared" si="46"/>
        <v>451</v>
      </c>
      <c r="AB34" s="210">
        <f t="shared" si="13"/>
        <v>451</v>
      </c>
      <c r="AC34" s="210">
        <f t="shared" si="13"/>
        <v>371</v>
      </c>
      <c r="AD34" s="210">
        <f t="shared" si="47"/>
        <v>82.261640798226168</v>
      </c>
      <c r="AE34" s="213"/>
      <c r="AF34" s="213"/>
      <c r="AG34" s="213"/>
      <c r="AH34" s="99" t="e">
        <f t="shared" si="118"/>
        <v>#DIV/0!</v>
      </c>
      <c r="AI34" s="213"/>
      <c r="AJ34" s="97"/>
      <c r="AK34" s="213"/>
      <c r="AL34" s="99" t="e">
        <f t="shared" si="119"/>
        <v>#DIV/0!</v>
      </c>
      <c r="AM34" s="213"/>
      <c r="AN34" s="213"/>
      <c r="AO34" s="213"/>
      <c r="AP34" s="99" t="e">
        <f t="shared" si="120"/>
        <v>#DIV/0!</v>
      </c>
      <c r="AQ34" s="213">
        <v>975</v>
      </c>
      <c r="AR34" s="228">
        <v>975</v>
      </c>
      <c r="AS34" s="99">
        <v>608</v>
      </c>
      <c r="AT34" s="99">
        <f t="shared" si="49"/>
        <v>62.358974358974365</v>
      </c>
      <c r="AU34" s="210">
        <f t="shared" si="50"/>
        <v>975</v>
      </c>
      <c r="AV34" s="210">
        <f t="shared" si="51"/>
        <v>975</v>
      </c>
      <c r="AW34" s="210">
        <f t="shared" si="52"/>
        <v>608</v>
      </c>
      <c r="AX34" s="210">
        <f t="shared" si="53"/>
        <v>62.358974358974365</v>
      </c>
      <c r="AY34" s="213">
        <v>532.48500000000001</v>
      </c>
      <c r="AZ34" s="250">
        <v>532.48500000000001</v>
      </c>
      <c r="BA34" s="99">
        <v>451</v>
      </c>
      <c r="BB34" s="99">
        <f t="shared" si="55"/>
        <v>84.697221517977027</v>
      </c>
      <c r="BC34" s="99">
        <v>386.83</v>
      </c>
      <c r="BD34" s="360">
        <v>386.83</v>
      </c>
      <c r="BE34" s="99">
        <v>407</v>
      </c>
      <c r="BF34" s="99">
        <f t="shared" si="57"/>
        <v>105.21417677015744</v>
      </c>
      <c r="BG34" s="99">
        <v>1249</v>
      </c>
      <c r="BH34" s="360">
        <v>1249</v>
      </c>
      <c r="BI34" s="99">
        <v>1373</v>
      </c>
      <c r="BJ34" s="99">
        <f t="shared" si="59"/>
        <v>109.9279423538831</v>
      </c>
      <c r="BK34" s="236">
        <f t="shared" si="31"/>
        <v>1635.83</v>
      </c>
      <c r="BL34" s="235">
        <f t="shared" si="32"/>
        <v>1635.83</v>
      </c>
      <c r="BM34" s="236">
        <f t="shared" si="33"/>
        <v>1780</v>
      </c>
      <c r="BN34" s="235">
        <f t="shared" si="60"/>
        <v>108.81326299187567</v>
      </c>
      <c r="BO34" s="235">
        <f t="shared" si="34"/>
        <v>3908.3150000000001</v>
      </c>
      <c r="BP34" s="235">
        <f t="shared" si="35"/>
        <v>3908.3150000000001</v>
      </c>
      <c r="BQ34" s="235">
        <f t="shared" si="36"/>
        <v>3472</v>
      </c>
      <c r="BR34" s="235">
        <f t="shared" si="61"/>
        <v>88.836237611349134</v>
      </c>
    </row>
    <row r="35" spans="1:70" ht="15.75" x14ac:dyDescent="0.2">
      <c r="A35" s="169" t="s">
        <v>144</v>
      </c>
      <c r="B35" s="201" t="s">
        <v>339</v>
      </c>
      <c r="C35" s="214">
        <v>400</v>
      </c>
      <c r="D35" s="195">
        <v>400</v>
      </c>
      <c r="E35" s="214">
        <v>399</v>
      </c>
      <c r="F35" s="99">
        <f t="shared" si="38"/>
        <v>99.75</v>
      </c>
      <c r="G35" s="214">
        <v>1</v>
      </c>
      <c r="H35" s="195">
        <v>1</v>
      </c>
      <c r="I35" s="214">
        <v>1</v>
      </c>
      <c r="J35" s="99">
        <f t="shared" si="40"/>
        <v>100</v>
      </c>
      <c r="K35" s="210">
        <f t="shared" si="41"/>
        <v>401</v>
      </c>
      <c r="L35" s="210">
        <f t="shared" si="42"/>
        <v>401</v>
      </c>
      <c r="M35" s="210">
        <f t="shared" si="4"/>
        <v>400</v>
      </c>
      <c r="N35" s="158">
        <f t="shared" si="43"/>
        <v>99.750623441396513</v>
      </c>
      <c r="O35" s="214"/>
      <c r="P35" s="162"/>
      <c r="Q35" s="214"/>
      <c r="R35" s="99" t="e">
        <f t="shared" si="116"/>
        <v>#DIV/0!</v>
      </c>
      <c r="S35" s="214"/>
      <c r="T35" s="97"/>
      <c r="U35" s="214"/>
      <c r="V35" s="99" t="e">
        <f t="shared" si="117"/>
        <v>#DIV/0!</v>
      </c>
      <c r="W35" s="214">
        <v>300</v>
      </c>
      <c r="X35" s="367">
        <v>300</v>
      </c>
      <c r="Y35" s="214">
        <v>437</v>
      </c>
      <c r="Z35" s="99">
        <f t="shared" si="45"/>
        <v>145.66666666666669</v>
      </c>
      <c r="AA35" s="210">
        <f t="shared" si="46"/>
        <v>300</v>
      </c>
      <c r="AB35" s="210">
        <f t="shared" si="13"/>
        <v>300</v>
      </c>
      <c r="AC35" s="210">
        <f t="shared" si="13"/>
        <v>437</v>
      </c>
      <c r="AD35" s="210">
        <f t="shared" si="47"/>
        <v>145.66666666666669</v>
      </c>
      <c r="AE35" s="214"/>
      <c r="AF35" s="214"/>
      <c r="AG35" s="214"/>
      <c r="AH35" s="99" t="e">
        <f t="shared" si="118"/>
        <v>#DIV/0!</v>
      </c>
      <c r="AI35" s="214"/>
      <c r="AJ35" s="97"/>
      <c r="AK35" s="214"/>
      <c r="AL35" s="99" t="e">
        <f t="shared" si="119"/>
        <v>#DIV/0!</v>
      </c>
      <c r="AM35" s="214"/>
      <c r="AN35" s="214"/>
      <c r="AO35" s="214"/>
      <c r="AP35" s="99" t="e">
        <f t="shared" si="120"/>
        <v>#DIV/0!</v>
      </c>
      <c r="AQ35" s="214">
        <v>1052</v>
      </c>
      <c r="AR35" s="228">
        <v>1052</v>
      </c>
      <c r="AS35" s="214">
        <v>887</v>
      </c>
      <c r="AT35" s="99">
        <f t="shared" si="49"/>
        <v>84.315589353612168</v>
      </c>
      <c r="AU35" s="210">
        <f t="shared" si="50"/>
        <v>1052</v>
      </c>
      <c r="AV35" s="210">
        <f t="shared" si="51"/>
        <v>1052</v>
      </c>
      <c r="AW35" s="210">
        <f t="shared" si="52"/>
        <v>887</v>
      </c>
      <c r="AX35" s="210">
        <f t="shared" si="53"/>
        <v>84.315589353612168</v>
      </c>
      <c r="AY35" s="214">
        <v>532.48500000000001</v>
      </c>
      <c r="AZ35" s="250">
        <v>532.48500000000001</v>
      </c>
      <c r="BA35" s="214">
        <v>502</v>
      </c>
      <c r="BB35" s="99">
        <f t="shared" si="55"/>
        <v>94.274956102049828</v>
      </c>
      <c r="BC35" s="214">
        <v>536</v>
      </c>
      <c r="BD35" s="360">
        <v>536</v>
      </c>
      <c r="BE35" s="214">
        <v>511</v>
      </c>
      <c r="BF35" s="99">
        <f t="shared" si="57"/>
        <v>95.335820895522389</v>
      </c>
      <c r="BG35" s="214">
        <v>1302</v>
      </c>
      <c r="BH35" s="250">
        <v>1302</v>
      </c>
      <c r="BI35" s="214">
        <v>1512</v>
      </c>
      <c r="BJ35" s="99">
        <f t="shared" si="59"/>
        <v>116.12903225806453</v>
      </c>
      <c r="BK35" s="236">
        <f t="shared" si="31"/>
        <v>1838</v>
      </c>
      <c r="BL35" s="235">
        <f t="shared" si="32"/>
        <v>1838</v>
      </c>
      <c r="BM35" s="236">
        <f t="shared" si="33"/>
        <v>2023</v>
      </c>
      <c r="BN35" s="235">
        <f t="shared" si="60"/>
        <v>110.06528835690968</v>
      </c>
      <c r="BO35" s="235">
        <f t="shared" si="34"/>
        <v>4123.4850000000006</v>
      </c>
      <c r="BP35" s="235">
        <f t="shared" si="35"/>
        <v>4123.4850000000006</v>
      </c>
      <c r="BQ35" s="235">
        <f t="shared" si="36"/>
        <v>4249</v>
      </c>
      <c r="BR35" s="235">
        <f t="shared" si="61"/>
        <v>103.04390582238081</v>
      </c>
    </row>
    <row r="36" spans="1:70" ht="15.75" x14ac:dyDescent="0.2">
      <c r="A36" s="169" t="s">
        <v>145</v>
      </c>
      <c r="B36" s="201" t="s">
        <v>339</v>
      </c>
      <c r="C36" s="214">
        <v>150</v>
      </c>
      <c r="D36" s="195">
        <v>150</v>
      </c>
      <c r="E36" s="214">
        <v>62</v>
      </c>
      <c r="F36" s="99">
        <f t="shared" si="38"/>
        <v>41.333333333333336</v>
      </c>
      <c r="G36" s="214"/>
      <c r="H36" s="195"/>
      <c r="I36" s="214">
        <v>0</v>
      </c>
      <c r="J36" s="99">
        <f t="shared" si="40"/>
        <v>0</v>
      </c>
      <c r="K36" s="210">
        <f t="shared" si="41"/>
        <v>150</v>
      </c>
      <c r="L36" s="210">
        <f t="shared" si="42"/>
        <v>150</v>
      </c>
      <c r="M36" s="210">
        <f t="shared" si="4"/>
        <v>62</v>
      </c>
      <c r="N36" s="158">
        <f t="shared" si="43"/>
        <v>41.333333333333336</v>
      </c>
      <c r="O36" s="214"/>
      <c r="P36" s="162"/>
      <c r="Q36" s="214"/>
      <c r="R36" s="99" t="e">
        <f t="shared" si="116"/>
        <v>#DIV/0!</v>
      </c>
      <c r="S36" s="214"/>
      <c r="T36" s="97"/>
      <c r="U36" s="214"/>
      <c r="V36" s="99" t="e">
        <f t="shared" si="117"/>
        <v>#DIV/0!</v>
      </c>
      <c r="W36" s="214">
        <v>350</v>
      </c>
      <c r="X36" s="367">
        <v>350</v>
      </c>
      <c r="Y36" s="214">
        <v>126</v>
      </c>
      <c r="Z36" s="99">
        <f t="shared" si="45"/>
        <v>36</v>
      </c>
      <c r="AA36" s="210">
        <f t="shared" si="46"/>
        <v>350</v>
      </c>
      <c r="AB36" s="210">
        <f t="shared" si="13"/>
        <v>350</v>
      </c>
      <c r="AC36" s="210">
        <f t="shared" si="13"/>
        <v>126</v>
      </c>
      <c r="AD36" s="210">
        <f t="shared" si="47"/>
        <v>36</v>
      </c>
      <c r="AE36" s="214"/>
      <c r="AF36" s="214"/>
      <c r="AG36" s="214"/>
      <c r="AH36" s="99" t="e">
        <f t="shared" si="118"/>
        <v>#DIV/0!</v>
      </c>
      <c r="AI36" s="214"/>
      <c r="AJ36" s="97"/>
      <c r="AK36" s="214"/>
      <c r="AL36" s="99" t="e">
        <f t="shared" si="119"/>
        <v>#DIV/0!</v>
      </c>
      <c r="AM36" s="214"/>
      <c r="AN36" s="214"/>
      <c r="AO36" s="214"/>
      <c r="AP36" s="99" t="e">
        <f t="shared" si="120"/>
        <v>#DIV/0!</v>
      </c>
      <c r="AQ36" s="214">
        <v>276</v>
      </c>
      <c r="AR36" s="228">
        <v>276</v>
      </c>
      <c r="AS36" s="214">
        <v>177</v>
      </c>
      <c r="AT36" s="99">
        <f t="shared" si="49"/>
        <v>64.130434782608688</v>
      </c>
      <c r="AU36" s="210">
        <f t="shared" si="50"/>
        <v>276</v>
      </c>
      <c r="AV36" s="210">
        <f t="shared" si="51"/>
        <v>276</v>
      </c>
      <c r="AW36" s="210">
        <f t="shared" si="52"/>
        <v>177</v>
      </c>
      <c r="AX36" s="210">
        <f t="shared" si="53"/>
        <v>64.130434782608688</v>
      </c>
      <c r="AY36" s="214">
        <v>150</v>
      </c>
      <c r="AZ36" s="250">
        <v>150</v>
      </c>
      <c r="BA36" s="214">
        <v>142</v>
      </c>
      <c r="BB36" s="99">
        <f t="shared" si="55"/>
        <v>94.666666666666671</v>
      </c>
      <c r="BC36" s="214">
        <v>101</v>
      </c>
      <c r="BD36" s="360">
        <v>101</v>
      </c>
      <c r="BE36" s="214">
        <v>89</v>
      </c>
      <c r="BF36" s="99">
        <f t="shared" si="57"/>
        <v>88.118811881188122</v>
      </c>
      <c r="BG36" s="214">
        <v>374.39499999999998</v>
      </c>
      <c r="BH36" s="250">
        <v>374.39499999999998</v>
      </c>
      <c r="BI36" s="214">
        <v>417</v>
      </c>
      <c r="BJ36" s="99">
        <f t="shared" si="59"/>
        <v>111.3796925706807</v>
      </c>
      <c r="BK36" s="236">
        <f t="shared" si="31"/>
        <v>475.39499999999998</v>
      </c>
      <c r="BL36" s="235">
        <f t="shared" si="32"/>
        <v>475.39499999999998</v>
      </c>
      <c r="BM36" s="236">
        <f t="shared" si="33"/>
        <v>506</v>
      </c>
      <c r="BN36" s="235">
        <f t="shared" si="60"/>
        <v>106.43780435217029</v>
      </c>
      <c r="BO36" s="235">
        <f t="shared" si="34"/>
        <v>1401.395</v>
      </c>
      <c r="BP36" s="235">
        <f t="shared" si="35"/>
        <v>1401.395</v>
      </c>
      <c r="BQ36" s="235">
        <f t="shared" si="36"/>
        <v>1013</v>
      </c>
      <c r="BR36" s="235">
        <f t="shared" si="61"/>
        <v>72.285115902368716</v>
      </c>
    </row>
    <row r="37" spans="1:70" ht="15.75" x14ac:dyDescent="0.2">
      <c r="A37" s="169" t="s">
        <v>146</v>
      </c>
      <c r="B37" s="201" t="s">
        <v>339</v>
      </c>
      <c r="C37" s="214">
        <v>150</v>
      </c>
      <c r="D37" s="195">
        <v>150</v>
      </c>
      <c r="E37" s="214">
        <v>80</v>
      </c>
      <c r="F37" s="99">
        <f t="shared" si="38"/>
        <v>53.333333333333336</v>
      </c>
      <c r="G37" s="214"/>
      <c r="H37" s="195"/>
      <c r="I37" s="214">
        <v>0</v>
      </c>
      <c r="J37" s="99">
        <f t="shared" si="40"/>
        <v>0</v>
      </c>
      <c r="K37" s="210">
        <f t="shared" si="41"/>
        <v>150</v>
      </c>
      <c r="L37" s="210">
        <f t="shared" si="42"/>
        <v>150</v>
      </c>
      <c r="M37" s="210">
        <f t="shared" si="4"/>
        <v>80</v>
      </c>
      <c r="N37" s="158">
        <f t="shared" si="43"/>
        <v>53.333333333333336</v>
      </c>
      <c r="O37" s="214"/>
      <c r="P37" s="162"/>
      <c r="Q37" s="214"/>
      <c r="R37" s="99" t="e">
        <f t="shared" si="116"/>
        <v>#DIV/0!</v>
      </c>
      <c r="S37" s="214"/>
      <c r="T37" s="97"/>
      <c r="U37" s="214"/>
      <c r="V37" s="99" t="e">
        <f t="shared" si="117"/>
        <v>#DIV/0!</v>
      </c>
      <c r="W37" s="214">
        <v>300</v>
      </c>
      <c r="X37" s="367">
        <v>300</v>
      </c>
      <c r="Y37" s="214">
        <v>133</v>
      </c>
      <c r="Z37" s="99">
        <f t="shared" si="45"/>
        <v>44.333333333333336</v>
      </c>
      <c r="AA37" s="210">
        <f t="shared" si="46"/>
        <v>300</v>
      </c>
      <c r="AB37" s="210">
        <f t="shared" si="13"/>
        <v>300</v>
      </c>
      <c r="AC37" s="210">
        <f t="shared" si="13"/>
        <v>133</v>
      </c>
      <c r="AD37" s="210">
        <f t="shared" si="47"/>
        <v>44.333333333333336</v>
      </c>
      <c r="AE37" s="214"/>
      <c r="AF37" s="214"/>
      <c r="AG37" s="214"/>
      <c r="AH37" s="99" t="e">
        <f t="shared" si="118"/>
        <v>#DIV/0!</v>
      </c>
      <c r="AI37" s="214"/>
      <c r="AJ37" s="97"/>
      <c r="AK37" s="214"/>
      <c r="AL37" s="99" t="e">
        <f t="shared" si="119"/>
        <v>#DIV/0!</v>
      </c>
      <c r="AM37" s="214"/>
      <c r="AN37" s="214"/>
      <c r="AO37" s="214"/>
      <c r="AP37" s="99" t="e">
        <f t="shared" si="120"/>
        <v>#DIV/0!</v>
      </c>
      <c r="AQ37" s="214">
        <v>356</v>
      </c>
      <c r="AR37" s="228">
        <v>356</v>
      </c>
      <c r="AS37" s="214">
        <v>256</v>
      </c>
      <c r="AT37" s="99">
        <f t="shared" si="49"/>
        <v>71.910112359550567</v>
      </c>
      <c r="AU37" s="210">
        <f t="shared" si="50"/>
        <v>356</v>
      </c>
      <c r="AV37" s="210">
        <f t="shared" si="51"/>
        <v>356</v>
      </c>
      <c r="AW37" s="210">
        <f t="shared" si="52"/>
        <v>256</v>
      </c>
      <c r="AX37" s="210">
        <f t="shared" si="53"/>
        <v>71.910112359550567</v>
      </c>
      <c r="AY37" s="214">
        <v>160</v>
      </c>
      <c r="AZ37" s="250">
        <v>160</v>
      </c>
      <c r="BA37" s="214">
        <v>205</v>
      </c>
      <c r="BB37" s="99">
        <f t="shared" si="55"/>
        <v>128.125</v>
      </c>
      <c r="BC37" s="214">
        <v>152</v>
      </c>
      <c r="BD37" s="360">
        <v>152</v>
      </c>
      <c r="BE37" s="214">
        <v>120</v>
      </c>
      <c r="BF37" s="99">
        <f t="shared" si="57"/>
        <v>78.94736842105263</v>
      </c>
      <c r="BG37" s="214">
        <v>481.36500000000001</v>
      </c>
      <c r="BH37" s="250">
        <v>481.36500000000001</v>
      </c>
      <c r="BI37" s="214">
        <v>528</v>
      </c>
      <c r="BJ37" s="99">
        <f t="shared" si="59"/>
        <v>109.68807453803247</v>
      </c>
      <c r="BK37" s="236">
        <f t="shared" si="31"/>
        <v>633.36500000000001</v>
      </c>
      <c r="BL37" s="235">
        <f t="shared" si="32"/>
        <v>633.36500000000001</v>
      </c>
      <c r="BM37" s="236">
        <f t="shared" si="33"/>
        <v>648</v>
      </c>
      <c r="BN37" s="235">
        <f t="shared" si="60"/>
        <v>102.31067393998721</v>
      </c>
      <c r="BO37" s="235">
        <f t="shared" si="34"/>
        <v>1599.365</v>
      </c>
      <c r="BP37" s="235">
        <f t="shared" si="35"/>
        <v>1599.365</v>
      </c>
      <c r="BQ37" s="235">
        <f t="shared" si="36"/>
        <v>1322</v>
      </c>
      <c r="BR37" s="235">
        <f t="shared" si="61"/>
        <v>82.657804816286458</v>
      </c>
    </row>
    <row r="38" spans="1:70" ht="15.75" x14ac:dyDescent="0.2">
      <c r="A38" s="169" t="s">
        <v>147</v>
      </c>
      <c r="B38" s="201" t="s">
        <v>339</v>
      </c>
      <c r="C38" s="214">
        <v>200</v>
      </c>
      <c r="D38" s="195">
        <v>200</v>
      </c>
      <c r="E38" s="214">
        <v>301</v>
      </c>
      <c r="F38" s="99">
        <f t="shared" si="38"/>
        <v>150.5</v>
      </c>
      <c r="G38" s="214"/>
      <c r="H38" s="195"/>
      <c r="I38" s="214">
        <v>0</v>
      </c>
      <c r="J38" s="99">
        <f t="shared" si="40"/>
        <v>0</v>
      </c>
      <c r="K38" s="210">
        <f t="shared" si="41"/>
        <v>200</v>
      </c>
      <c r="L38" s="210">
        <f t="shared" si="42"/>
        <v>200</v>
      </c>
      <c r="M38" s="210">
        <f t="shared" si="4"/>
        <v>301</v>
      </c>
      <c r="N38" s="158">
        <f t="shared" si="43"/>
        <v>150.5</v>
      </c>
      <c r="O38" s="214"/>
      <c r="P38" s="162"/>
      <c r="Q38" s="214"/>
      <c r="R38" s="99" t="e">
        <f t="shared" si="116"/>
        <v>#DIV/0!</v>
      </c>
      <c r="S38" s="214"/>
      <c r="T38" s="97"/>
      <c r="U38" s="214"/>
      <c r="V38" s="99" t="e">
        <f t="shared" si="117"/>
        <v>#DIV/0!</v>
      </c>
      <c r="W38" s="214">
        <v>300</v>
      </c>
      <c r="X38" s="367">
        <v>300</v>
      </c>
      <c r="Y38" s="214">
        <v>372</v>
      </c>
      <c r="Z38" s="99">
        <f t="shared" si="45"/>
        <v>124</v>
      </c>
      <c r="AA38" s="210">
        <f t="shared" si="46"/>
        <v>300</v>
      </c>
      <c r="AB38" s="210">
        <f t="shared" si="13"/>
        <v>300</v>
      </c>
      <c r="AC38" s="210">
        <f t="shared" si="13"/>
        <v>372</v>
      </c>
      <c r="AD38" s="210">
        <f t="shared" si="47"/>
        <v>124</v>
      </c>
      <c r="AE38" s="214"/>
      <c r="AF38" s="214"/>
      <c r="AG38" s="214"/>
      <c r="AH38" s="99" t="e">
        <f t="shared" si="118"/>
        <v>#DIV/0!</v>
      </c>
      <c r="AI38" s="214"/>
      <c r="AJ38" s="97"/>
      <c r="AK38" s="214"/>
      <c r="AL38" s="99" t="e">
        <f t="shared" si="119"/>
        <v>#DIV/0!</v>
      </c>
      <c r="AM38" s="214"/>
      <c r="AN38" s="214"/>
      <c r="AO38" s="214"/>
      <c r="AP38" s="99" t="e">
        <f t="shared" si="120"/>
        <v>#DIV/0!</v>
      </c>
      <c r="AQ38" s="214">
        <v>966</v>
      </c>
      <c r="AR38" s="228">
        <v>966</v>
      </c>
      <c r="AS38" s="214">
        <v>969</v>
      </c>
      <c r="AT38" s="99">
        <f t="shared" si="49"/>
        <v>100.31055900621118</v>
      </c>
      <c r="AU38" s="210">
        <f t="shared" si="50"/>
        <v>966</v>
      </c>
      <c r="AV38" s="210">
        <f t="shared" si="51"/>
        <v>966</v>
      </c>
      <c r="AW38" s="210">
        <f t="shared" si="52"/>
        <v>969</v>
      </c>
      <c r="AX38" s="210">
        <f t="shared" si="53"/>
        <v>100.31055900621118</v>
      </c>
      <c r="AY38" s="214">
        <v>613</v>
      </c>
      <c r="AZ38" s="250">
        <v>613</v>
      </c>
      <c r="BA38" s="214">
        <v>631</v>
      </c>
      <c r="BB38" s="99">
        <f t="shared" si="55"/>
        <v>102.93637846655793</v>
      </c>
      <c r="BC38" s="214">
        <v>430.96440000000001</v>
      </c>
      <c r="BD38" s="360">
        <v>430.96440000000001</v>
      </c>
      <c r="BE38" s="214">
        <v>432</v>
      </c>
      <c r="BF38" s="99">
        <f t="shared" si="57"/>
        <v>100.24029827057642</v>
      </c>
      <c r="BG38" s="214">
        <v>1942</v>
      </c>
      <c r="BH38" s="250">
        <v>1942</v>
      </c>
      <c r="BI38" s="214">
        <v>1780</v>
      </c>
      <c r="BJ38" s="99">
        <f t="shared" si="59"/>
        <v>91.658084449021629</v>
      </c>
      <c r="BK38" s="236">
        <f t="shared" si="31"/>
        <v>2372.9643999999998</v>
      </c>
      <c r="BL38" s="235">
        <f t="shared" si="32"/>
        <v>2372.9643999999998</v>
      </c>
      <c r="BM38" s="236">
        <f t="shared" si="33"/>
        <v>2212</v>
      </c>
      <c r="BN38" s="235">
        <f t="shared" si="60"/>
        <v>93.216737680514726</v>
      </c>
      <c r="BO38" s="235">
        <f t="shared" si="34"/>
        <v>4451.9643999999998</v>
      </c>
      <c r="BP38" s="235">
        <f t="shared" si="35"/>
        <v>4451.9643999999998</v>
      </c>
      <c r="BQ38" s="235">
        <f t="shared" si="36"/>
        <v>4485</v>
      </c>
      <c r="BR38" s="235">
        <f t="shared" si="61"/>
        <v>100.74204546649115</v>
      </c>
    </row>
    <row r="39" spans="1:70" s="358" customFormat="1" ht="31.5" x14ac:dyDescent="0.2">
      <c r="A39" s="342" t="s">
        <v>342</v>
      </c>
      <c r="B39" s="356" t="s">
        <v>339</v>
      </c>
      <c r="C39" s="357">
        <v>520</v>
      </c>
      <c r="D39" s="346">
        <v>520</v>
      </c>
      <c r="E39" s="357">
        <v>218</v>
      </c>
      <c r="F39" s="345">
        <f>(E39+E40)/D39*100</f>
        <v>122.30769230769232</v>
      </c>
      <c r="G39" s="357"/>
      <c r="H39" s="346"/>
      <c r="I39" s="357">
        <v>0</v>
      </c>
      <c r="J39" s="345">
        <f t="shared" si="40"/>
        <v>0</v>
      </c>
      <c r="K39" s="354">
        <f t="shared" si="41"/>
        <v>520</v>
      </c>
      <c r="L39" s="354">
        <f t="shared" si="42"/>
        <v>520</v>
      </c>
      <c r="M39" s="354">
        <f t="shared" si="4"/>
        <v>218</v>
      </c>
      <c r="N39" s="354">
        <f t="shared" si="43"/>
        <v>41.923076923076927</v>
      </c>
      <c r="O39" s="357"/>
      <c r="P39" s="346"/>
      <c r="Q39" s="357"/>
      <c r="R39" s="345" t="e">
        <f t="shared" si="116"/>
        <v>#DIV/0!</v>
      </c>
      <c r="S39" s="357"/>
      <c r="T39" s="346"/>
      <c r="U39" s="357"/>
      <c r="V39" s="345" t="e">
        <f t="shared" si="117"/>
        <v>#DIV/0!</v>
      </c>
      <c r="W39" s="357">
        <v>300</v>
      </c>
      <c r="X39" s="366">
        <v>300</v>
      </c>
      <c r="Y39" s="361">
        <v>150</v>
      </c>
      <c r="Z39" s="345">
        <f>(Y39+Y40)/X39*100</f>
        <v>190.66666666666669</v>
      </c>
      <c r="AA39" s="354">
        <f t="shared" si="46"/>
        <v>300</v>
      </c>
      <c r="AB39" s="354">
        <f t="shared" si="13"/>
        <v>300</v>
      </c>
      <c r="AC39" s="354">
        <f t="shared" si="13"/>
        <v>150</v>
      </c>
      <c r="AD39" s="354">
        <f t="shared" si="47"/>
        <v>50</v>
      </c>
      <c r="AE39" s="357"/>
      <c r="AF39" s="357"/>
      <c r="AG39" s="357"/>
      <c r="AH39" s="345" t="e">
        <f t="shared" si="118"/>
        <v>#DIV/0!</v>
      </c>
      <c r="AI39" s="357"/>
      <c r="AJ39" s="346"/>
      <c r="AK39" s="357"/>
      <c r="AL39" s="345" t="e">
        <f t="shared" si="119"/>
        <v>#DIV/0!</v>
      </c>
      <c r="AM39" s="357"/>
      <c r="AN39" s="357"/>
      <c r="AO39" s="357"/>
      <c r="AP39" s="345" t="e">
        <f t="shared" si="120"/>
        <v>#DIV/0!</v>
      </c>
      <c r="AQ39" s="357">
        <v>1548</v>
      </c>
      <c r="AR39" s="346">
        <v>1548</v>
      </c>
      <c r="AS39" s="361">
        <v>871</v>
      </c>
      <c r="AT39" s="345">
        <f>(AS39+AS40)/AR39*100</f>
        <v>110.52971576227391</v>
      </c>
      <c r="AU39" s="354">
        <f t="shared" si="50"/>
        <v>1548</v>
      </c>
      <c r="AV39" s="354">
        <f t="shared" si="51"/>
        <v>1548</v>
      </c>
      <c r="AW39" s="354">
        <f t="shared" si="52"/>
        <v>871</v>
      </c>
      <c r="AX39" s="354">
        <f t="shared" si="53"/>
        <v>56.26614987080103</v>
      </c>
      <c r="AY39" s="357">
        <v>742</v>
      </c>
      <c r="AZ39" s="366">
        <v>742</v>
      </c>
      <c r="BA39" s="361">
        <v>334</v>
      </c>
      <c r="BB39" s="345">
        <f>(BA39+BA40)/AZ39*100</f>
        <v>107.81671159029649</v>
      </c>
      <c r="BC39" s="357">
        <v>623</v>
      </c>
      <c r="BD39" s="366">
        <v>623</v>
      </c>
      <c r="BE39" s="361">
        <v>543</v>
      </c>
      <c r="BF39" s="345">
        <f>(BE39+BE40)/BD39*100</f>
        <v>106.90208667736758</v>
      </c>
      <c r="BG39" s="357">
        <v>2941.6750000000002</v>
      </c>
      <c r="BH39" s="366">
        <v>2941.6750000000002</v>
      </c>
      <c r="BI39" s="361">
        <v>1473</v>
      </c>
      <c r="BJ39" s="345">
        <f>(BI39+BI40)/BH39*100</f>
        <v>94.334010385239694</v>
      </c>
      <c r="BK39" s="359">
        <f t="shared" si="31"/>
        <v>3564.6750000000002</v>
      </c>
      <c r="BL39" s="349">
        <f t="shared" si="32"/>
        <v>3564.6750000000002</v>
      </c>
      <c r="BM39" s="359">
        <f t="shared" si="33"/>
        <v>2016</v>
      </c>
      <c r="BN39" s="349">
        <f t="shared" si="60"/>
        <v>56.554945401754722</v>
      </c>
      <c r="BO39" s="349">
        <f t="shared" si="34"/>
        <v>6674.6750000000002</v>
      </c>
      <c r="BP39" s="349">
        <f t="shared" si="35"/>
        <v>6674.6750000000002</v>
      </c>
      <c r="BQ39" s="349">
        <f t="shared" si="36"/>
        <v>3589</v>
      </c>
      <c r="BR39" s="349">
        <f t="shared" si="61"/>
        <v>53.770408297033192</v>
      </c>
    </row>
    <row r="40" spans="1:70" ht="31.5" x14ac:dyDescent="0.2">
      <c r="A40" s="338" t="s">
        <v>343</v>
      </c>
      <c r="B40" s="201" t="s">
        <v>339</v>
      </c>
      <c r="C40" s="214"/>
      <c r="D40" s="195"/>
      <c r="E40" s="217">
        <f>636-E39</f>
        <v>418</v>
      </c>
      <c r="F40" s="99"/>
      <c r="G40" s="214"/>
      <c r="H40" s="195"/>
      <c r="I40" s="214"/>
      <c r="J40" s="99"/>
      <c r="K40" s="210">
        <f t="shared" ref="K40" si="158">G40+C40</f>
        <v>0</v>
      </c>
      <c r="L40" s="210">
        <f t="shared" ref="L40" si="159">H40+D40</f>
        <v>0</v>
      </c>
      <c r="M40" s="210">
        <f t="shared" ref="M40" si="160">I40+E40</f>
        <v>418</v>
      </c>
      <c r="N40" s="158">
        <f t="shared" ref="N40" si="161">IF(L40=0,0,M40/L40*100)</f>
        <v>0</v>
      </c>
      <c r="O40" s="214"/>
      <c r="P40" s="162"/>
      <c r="Q40" s="214"/>
      <c r="R40" s="99"/>
      <c r="S40" s="214"/>
      <c r="T40" s="97"/>
      <c r="U40" s="214"/>
      <c r="V40" s="99"/>
      <c r="W40" s="214"/>
      <c r="X40" s="228"/>
      <c r="Y40" s="337">
        <f>572-Y39</f>
        <v>422</v>
      </c>
      <c r="Z40" s="99"/>
      <c r="AA40" s="210">
        <f t="shared" ref="AA40" si="162">S40+O40+W40</f>
        <v>0</v>
      </c>
      <c r="AB40" s="210">
        <f t="shared" ref="AB40" si="163">T40+P40+X40</f>
        <v>0</v>
      </c>
      <c r="AC40" s="210">
        <f t="shared" ref="AC40" si="164">U40+Q40+Y40</f>
        <v>422</v>
      </c>
      <c r="AD40" s="210">
        <f t="shared" ref="AD40" si="165">IF(AB40=0,0,AC40/AB40*100)</f>
        <v>0</v>
      </c>
      <c r="AE40" s="214"/>
      <c r="AF40" s="214"/>
      <c r="AG40" s="214"/>
      <c r="AH40" s="99"/>
      <c r="AI40" s="214"/>
      <c r="AJ40" s="97"/>
      <c r="AK40" s="214"/>
      <c r="AL40" s="99"/>
      <c r="AM40" s="214"/>
      <c r="AN40" s="214"/>
      <c r="AO40" s="214"/>
      <c r="AP40" s="99"/>
      <c r="AQ40" s="214"/>
      <c r="AR40" s="228"/>
      <c r="AS40" s="337">
        <f>1711-AS39</f>
        <v>840</v>
      </c>
      <c r="AT40" s="99"/>
      <c r="AU40" s="210">
        <f t="shared" ref="AU40" si="166">SUM(AM40,AI40,AE40)+AQ40</f>
        <v>0</v>
      </c>
      <c r="AV40" s="210">
        <f t="shared" ref="AV40" si="167">SUM(AN40,AJ40,AF40)+AR40</f>
        <v>0</v>
      </c>
      <c r="AW40" s="210">
        <f t="shared" ref="AW40" si="168">SUM(AO40,AK40,AG40)+AS40</f>
        <v>840</v>
      </c>
      <c r="AX40" s="210">
        <f t="shared" ref="AX40" si="169">IF(AV40=0,0,AW40/AV40*100)</f>
        <v>0</v>
      </c>
      <c r="AY40" s="214"/>
      <c r="AZ40" s="97"/>
      <c r="BA40" s="337">
        <f>800-BA39</f>
        <v>466</v>
      </c>
      <c r="BB40" s="99"/>
      <c r="BC40" s="214"/>
      <c r="BD40" s="195"/>
      <c r="BE40" s="337">
        <f>666-BE39</f>
        <v>123</v>
      </c>
      <c r="BF40" s="99"/>
      <c r="BG40" s="214"/>
      <c r="BH40" s="97"/>
      <c r="BI40" s="337">
        <f>2775-BI39</f>
        <v>1302</v>
      </c>
      <c r="BJ40" s="99"/>
      <c r="BK40" s="236">
        <f t="shared" ref="BK40" si="170">BG40+BC40</f>
        <v>0</v>
      </c>
      <c r="BL40" s="236">
        <f t="shared" ref="BL40" si="171">BH40+BD40</f>
        <v>0</v>
      </c>
      <c r="BM40" s="236">
        <f t="shared" ref="BM40" si="172">BI40+BE40</f>
        <v>1425</v>
      </c>
      <c r="BN40" s="235">
        <f t="shared" ref="BN40" si="173">IF(BL40=0,0,BM40/BL40*100)</f>
        <v>0</v>
      </c>
      <c r="BO40" s="235">
        <f t="shared" ref="BO40" si="174">SUM(BK40,AY40,AU40,AA40,K40)</f>
        <v>0</v>
      </c>
      <c r="BP40" s="235">
        <f t="shared" ref="BP40" si="175">SUM(BL40,AZ40,AV40,AB40,L40)</f>
        <v>0</v>
      </c>
      <c r="BQ40" s="235">
        <f t="shared" ref="BQ40" si="176">SUM(BM40,BA40,AW40,AC40,M40)</f>
        <v>3571</v>
      </c>
      <c r="BR40" s="235">
        <f t="shared" ref="BR40" si="177">IF(BP40=0,0,BQ40/BP40*100)</f>
        <v>0</v>
      </c>
    </row>
    <row r="41" spans="1:70" s="17" customFormat="1" ht="30" x14ac:dyDescent="0.2">
      <c r="A41" s="201" t="s">
        <v>344</v>
      </c>
      <c r="B41" s="201" t="s">
        <v>339</v>
      </c>
      <c r="C41" s="310">
        <v>375</v>
      </c>
      <c r="D41" s="304">
        <v>375</v>
      </c>
      <c r="E41" s="217">
        <v>0</v>
      </c>
      <c r="F41" s="99">
        <f>(E41+E42)/D41*100</f>
        <v>165.86666666666667</v>
      </c>
      <c r="G41" s="310"/>
      <c r="H41" s="304">
        <f t="shared" si="115"/>
        <v>0</v>
      </c>
      <c r="I41" s="310"/>
      <c r="J41" s="213">
        <f t="shared" si="40"/>
        <v>0</v>
      </c>
      <c r="K41" s="309">
        <f t="shared" si="41"/>
        <v>375</v>
      </c>
      <c r="L41" s="309">
        <f t="shared" si="42"/>
        <v>375</v>
      </c>
      <c r="M41" s="309">
        <f t="shared" si="4"/>
        <v>0</v>
      </c>
      <c r="N41" s="309">
        <f t="shared" si="43"/>
        <v>0</v>
      </c>
      <c r="O41" s="310"/>
      <c r="P41" s="304"/>
      <c r="Q41" s="310"/>
      <c r="R41" s="213" t="e">
        <f t="shared" si="116"/>
        <v>#DIV/0!</v>
      </c>
      <c r="S41" s="310"/>
      <c r="T41" s="304"/>
      <c r="U41" s="310"/>
      <c r="V41" s="213" t="e">
        <f t="shared" si="117"/>
        <v>#DIV/0!</v>
      </c>
      <c r="W41" s="310">
        <v>100</v>
      </c>
      <c r="X41" s="304">
        <v>100</v>
      </c>
      <c r="Y41" s="337">
        <v>29</v>
      </c>
      <c r="Z41" s="99">
        <f>(Y41+Y42)/X41*100</f>
        <v>630</v>
      </c>
      <c r="AA41" s="309">
        <f t="shared" si="46"/>
        <v>100</v>
      </c>
      <c r="AB41" s="309">
        <f t="shared" si="13"/>
        <v>100</v>
      </c>
      <c r="AC41" s="309">
        <f t="shared" si="13"/>
        <v>29</v>
      </c>
      <c r="AD41" s="309">
        <f t="shared" si="47"/>
        <v>28.999999999999996</v>
      </c>
      <c r="AE41" s="310"/>
      <c r="AF41" s="304"/>
      <c r="AG41" s="310"/>
      <c r="AH41" s="213" t="e">
        <f t="shared" si="118"/>
        <v>#DIV/0!</v>
      </c>
      <c r="AI41" s="310"/>
      <c r="AJ41" s="304"/>
      <c r="AK41" s="310"/>
      <c r="AL41" s="213" t="e">
        <f t="shared" si="119"/>
        <v>#DIV/0!</v>
      </c>
      <c r="AM41" s="310"/>
      <c r="AN41" s="304"/>
      <c r="AO41" s="310"/>
      <c r="AP41" s="213" t="e">
        <f t="shared" si="120"/>
        <v>#DIV/0!</v>
      </c>
      <c r="AQ41" s="310">
        <v>600</v>
      </c>
      <c r="AR41" s="97">
        <v>600</v>
      </c>
      <c r="AS41" s="337">
        <v>0</v>
      </c>
      <c r="AT41" s="99">
        <f>(AS41+AS42)/AR41*100</f>
        <v>95.333333333333343</v>
      </c>
      <c r="AU41" s="309">
        <f t="shared" si="50"/>
        <v>600</v>
      </c>
      <c r="AV41" s="309">
        <f t="shared" si="51"/>
        <v>600</v>
      </c>
      <c r="AW41" s="309">
        <f t="shared" si="52"/>
        <v>0</v>
      </c>
      <c r="AX41" s="309">
        <f t="shared" si="53"/>
        <v>0</v>
      </c>
      <c r="AY41" s="310">
        <v>50</v>
      </c>
      <c r="AZ41" s="304">
        <v>50</v>
      </c>
      <c r="BA41" s="337">
        <v>269</v>
      </c>
      <c r="BB41" s="99">
        <f>(BA41+BA42)/AZ41*100</f>
        <v>1036</v>
      </c>
      <c r="BC41" s="310">
        <v>400</v>
      </c>
      <c r="BD41" s="304">
        <v>400</v>
      </c>
      <c r="BE41" s="337">
        <v>374</v>
      </c>
      <c r="BF41" s="99">
        <f>(BE41+BE42)/BD41*100</f>
        <v>100.25</v>
      </c>
      <c r="BG41" s="310">
        <v>200</v>
      </c>
      <c r="BH41" s="304">
        <v>200</v>
      </c>
      <c r="BI41" s="337">
        <v>9</v>
      </c>
      <c r="BJ41" s="99">
        <f>(BI41+BI42)/BH41*100</f>
        <v>116.5</v>
      </c>
      <c r="BK41" s="311">
        <f t="shared" si="31"/>
        <v>600</v>
      </c>
      <c r="BL41" s="311">
        <f t="shared" si="32"/>
        <v>600</v>
      </c>
      <c r="BM41" s="311">
        <f t="shared" si="33"/>
        <v>383</v>
      </c>
      <c r="BN41" s="305">
        <f t="shared" si="60"/>
        <v>63.833333333333329</v>
      </c>
      <c r="BO41" s="305">
        <f t="shared" si="34"/>
        <v>1725</v>
      </c>
      <c r="BP41" s="305">
        <f t="shared" si="35"/>
        <v>1725</v>
      </c>
      <c r="BQ41" s="305">
        <f t="shared" si="36"/>
        <v>681</v>
      </c>
      <c r="BR41" s="305">
        <f t="shared" si="61"/>
        <v>39.478260869565219</v>
      </c>
    </row>
    <row r="42" spans="1:70" s="275" customFormat="1" ht="31.5" x14ac:dyDescent="0.25">
      <c r="A42" s="45" t="s">
        <v>345</v>
      </c>
      <c r="B42" s="201" t="s">
        <v>339</v>
      </c>
      <c r="C42" s="269"/>
      <c r="D42" s="195"/>
      <c r="E42" s="339">
        <v>622</v>
      </c>
      <c r="F42" s="99"/>
      <c r="G42" s="269"/>
      <c r="H42" s="195"/>
      <c r="I42" s="269"/>
      <c r="J42" s="99"/>
      <c r="K42" s="152">
        <f t="shared" ref="K42" si="178">G42+C42</f>
        <v>0</v>
      </c>
      <c r="L42" s="152">
        <f t="shared" ref="L42" si="179">H42+D42</f>
        <v>0</v>
      </c>
      <c r="M42" s="152">
        <f t="shared" ref="M42" si="180">I42+E42</f>
        <v>622</v>
      </c>
      <c r="N42" s="152">
        <f t="shared" ref="N42" si="181">IF(L42=0,0,M42/L42*100)</f>
        <v>0</v>
      </c>
      <c r="O42" s="269"/>
      <c r="P42" s="195"/>
      <c r="Q42" s="269"/>
      <c r="R42" s="99"/>
      <c r="S42" s="269"/>
      <c r="T42" s="195"/>
      <c r="U42" s="269"/>
      <c r="V42" s="99"/>
      <c r="W42" s="269"/>
      <c r="X42" s="195"/>
      <c r="Y42" s="339">
        <f>630-Y41</f>
        <v>601</v>
      </c>
      <c r="Z42" s="99"/>
      <c r="AA42" s="152">
        <f t="shared" ref="AA42" si="182">S42+O42+W42</f>
        <v>0</v>
      </c>
      <c r="AB42" s="152">
        <f t="shared" ref="AB42" si="183">T42+P42+X42</f>
        <v>0</v>
      </c>
      <c r="AC42" s="152">
        <f t="shared" ref="AC42" si="184">U42+Q42+Y42</f>
        <v>601</v>
      </c>
      <c r="AD42" s="152">
        <f t="shared" ref="AD42" si="185">IF(AB42=0,0,AC42/AB42*100)</f>
        <v>0</v>
      </c>
      <c r="AE42" s="269"/>
      <c r="AF42" s="195"/>
      <c r="AG42" s="269"/>
      <c r="AH42" s="99"/>
      <c r="AI42" s="269"/>
      <c r="AJ42" s="195"/>
      <c r="AK42" s="269"/>
      <c r="AL42" s="99"/>
      <c r="AM42" s="269"/>
      <c r="AN42" s="195"/>
      <c r="AO42" s="269"/>
      <c r="AP42" s="99"/>
      <c r="AQ42" s="269"/>
      <c r="AR42" s="195"/>
      <c r="AS42" s="339">
        <v>572</v>
      </c>
      <c r="AT42" s="99"/>
      <c r="AU42" s="152">
        <f t="shared" ref="AU42" si="186">SUM(AM42,AI42,AE42)+AQ42</f>
        <v>0</v>
      </c>
      <c r="AV42" s="152">
        <f t="shared" ref="AV42" si="187">SUM(AN42,AJ42,AF42)+AR42</f>
        <v>0</v>
      </c>
      <c r="AW42" s="152">
        <f t="shared" ref="AW42" si="188">SUM(AO42,AK42,AG42)+AS42</f>
        <v>572</v>
      </c>
      <c r="AX42" s="152">
        <f t="shared" ref="AX42" si="189">IF(AV42=0,0,AW42/AV42*100)</f>
        <v>0</v>
      </c>
      <c r="AY42" s="269"/>
      <c r="AZ42" s="195"/>
      <c r="BA42" s="339">
        <f>518-BA41</f>
        <v>249</v>
      </c>
      <c r="BB42" s="99"/>
      <c r="BC42" s="269"/>
      <c r="BD42" s="195"/>
      <c r="BE42" s="339">
        <f>401-BE41</f>
        <v>27</v>
      </c>
      <c r="BF42" s="99"/>
      <c r="BG42" s="269"/>
      <c r="BH42" s="195"/>
      <c r="BI42" s="339">
        <f>233-BI41</f>
        <v>224</v>
      </c>
      <c r="BJ42" s="99"/>
      <c r="BK42" s="279">
        <f t="shared" ref="BK42" si="190">BG42+BC42</f>
        <v>0</v>
      </c>
      <c r="BL42" s="279">
        <f t="shared" ref="BL42" si="191">BH42+BD42</f>
        <v>0</v>
      </c>
      <c r="BM42" s="279">
        <f t="shared" ref="BM42" si="192">BI42+BE42</f>
        <v>251</v>
      </c>
      <c r="BN42" s="278">
        <f t="shared" ref="BN42" si="193">IF(BL42=0,0,BM42/BL42*100)</f>
        <v>0</v>
      </c>
      <c r="BO42" s="278">
        <f t="shared" ref="BO42" si="194">SUM(BK42,AY42,AU42,AA42,K42)</f>
        <v>0</v>
      </c>
      <c r="BP42" s="278">
        <f t="shared" ref="BP42" si="195">SUM(BL42,AZ42,AV42,AB42,L42)</f>
        <v>0</v>
      </c>
      <c r="BQ42" s="278">
        <f t="shared" ref="BQ42" si="196">SUM(BM42,BA42,AW42,AC42,M42)</f>
        <v>2295</v>
      </c>
      <c r="BR42" s="278">
        <f t="shared" ref="BR42" si="197">IF(BP42=0,0,BQ42/BP42*100)</f>
        <v>0</v>
      </c>
    </row>
    <row r="43" spans="1:70" ht="47.25" x14ac:dyDescent="0.25">
      <c r="A43" s="173" t="s">
        <v>148</v>
      </c>
      <c r="B43" s="197" t="s">
        <v>3</v>
      </c>
      <c r="C43" s="214">
        <f t="shared" ref="C43:D43" si="198">C44*7+C45*8+C46*9+C47*9</f>
        <v>1485</v>
      </c>
      <c r="D43" s="214">
        <f t="shared" si="198"/>
        <v>1485</v>
      </c>
      <c r="E43" s="214">
        <f t="shared" ref="E43" si="199">E44*7+E45*8+E46*9+E47*9</f>
        <v>1413</v>
      </c>
      <c r="F43" s="99">
        <f t="shared" si="38"/>
        <v>95.151515151515156</v>
      </c>
      <c r="G43" s="214">
        <f t="shared" ref="G43" si="200">G44*7+G45*8+G46*9+G47*9</f>
        <v>0</v>
      </c>
      <c r="H43" s="97">
        <f t="shared" si="115"/>
        <v>0</v>
      </c>
      <c r="I43" s="214">
        <f t="shared" ref="I43" si="201">I44*7+I45*8+I46*9+I47*9</f>
        <v>0</v>
      </c>
      <c r="J43" s="99">
        <f t="shared" si="40"/>
        <v>0</v>
      </c>
      <c r="K43" s="210">
        <f t="shared" si="41"/>
        <v>1485</v>
      </c>
      <c r="L43" s="210">
        <f t="shared" si="42"/>
        <v>1485</v>
      </c>
      <c r="M43" s="210">
        <f t="shared" si="4"/>
        <v>1413</v>
      </c>
      <c r="N43" s="158">
        <f t="shared" si="43"/>
        <v>95.151515151515156</v>
      </c>
      <c r="O43" s="214">
        <f t="shared" ref="O43" si="202">O44*7+O45*8+O46*9+O47*9</f>
        <v>0</v>
      </c>
      <c r="P43" s="162"/>
      <c r="Q43" s="214">
        <f t="shared" ref="Q43" si="203">Q44*7+Q45*8+Q46*9+Q47*9</f>
        <v>0</v>
      </c>
      <c r="R43" s="99" t="e">
        <f t="shared" si="116"/>
        <v>#DIV/0!</v>
      </c>
      <c r="S43" s="214">
        <f t="shared" ref="S43" si="204">S44*7+S45*8+S46*9+S47*9</f>
        <v>0</v>
      </c>
      <c r="T43" s="97"/>
      <c r="U43" s="214">
        <f t="shared" ref="U43" si="205">U44*7+U45*8+U46*9+U47*9</f>
        <v>0</v>
      </c>
      <c r="V43" s="99" t="e">
        <f t="shared" si="117"/>
        <v>#DIV/0!</v>
      </c>
      <c r="W43" s="214">
        <f t="shared" ref="W43:X43" si="206">W44*7+W45*8+W46*9+W47*9</f>
        <v>1233</v>
      </c>
      <c r="X43" s="214">
        <f t="shared" si="206"/>
        <v>1233</v>
      </c>
      <c r="Y43" s="214">
        <f t="shared" ref="Y43" si="207">Y44*7+Y45*8+Y46*9+Y47*9</f>
        <v>1354</v>
      </c>
      <c r="Z43" s="99">
        <f t="shared" si="45"/>
        <v>109.81346309813462</v>
      </c>
      <c r="AA43" s="210">
        <f t="shared" si="46"/>
        <v>1233</v>
      </c>
      <c r="AB43" s="210">
        <f t="shared" si="13"/>
        <v>1233</v>
      </c>
      <c r="AC43" s="210">
        <f t="shared" si="13"/>
        <v>1354</v>
      </c>
      <c r="AD43" s="210">
        <f t="shared" si="47"/>
        <v>109.81346309813462</v>
      </c>
      <c r="AE43" s="497">
        <f t="shared" ref="AE43" si="208">AE44*7+AE45*8+AE46*9+AE47*9</f>
        <v>0</v>
      </c>
      <c r="AF43" s="250"/>
      <c r="AG43" s="214">
        <f t="shared" ref="AG43" si="209">AG44*7+AG45*8+AG46*9+AG47*9</f>
        <v>0</v>
      </c>
      <c r="AH43" s="99" t="e">
        <f t="shared" si="118"/>
        <v>#DIV/0!</v>
      </c>
      <c r="AI43" s="214">
        <f t="shared" ref="AI43" si="210">AI44*7+AI45*8+AI46*9+AI47*9</f>
        <v>0</v>
      </c>
      <c r="AJ43" s="97"/>
      <c r="AK43" s="214">
        <f t="shared" ref="AK43" si="211">AK44*7+AK45*8+AK46*9+AK47*9</f>
        <v>0</v>
      </c>
      <c r="AL43" s="99" t="e">
        <f t="shared" si="119"/>
        <v>#DIV/0!</v>
      </c>
      <c r="AM43" s="214">
        <f t="shared" ref="AM43" si="212">AM44*7+AM45*8+AM46*9+AM47*9</f>
        <v>0</v>
      </c>
      <c r="AN43" s="97"/>
      <c r="AO43" s="214">
        <f t="shared" ref="AO43" si="213">AO44*7+AO45*8+AO46*9+AO47*9</f>
        <v>0</v>
      </c>
      <c r="AP43" s="99" t="e">
        <f t="shared" si="120"/>
        <v>#DIV/0!</v>
      </c>
      <c r="AQ43" s="214">
        <f t="shared" ref="AQ43:AR43" si="214">AQ44*7+AQ45*8+AQ46*9+AQ47*9</f>
        <v>1425</v>
      </c>
      <c r="AR43" s="214">
        <f t="shared" si="214"/>
        <v>1425</v>
      </c>
      <c r="AS43" s="214">
        <f t="shared" ref="AS43" si="215">AS44*7+AS45*8+AS46*9+AS47*9</f>
        <v>1007</v>
      </c>
      <c r="AT43" s="99">
        <f t="shared" si="49"/>
        <v>70.666666666666671</v>
      </c>
      <c r="AU43" s="210">
        <f t="shared" si="50"/>
        <v>1425</v>
      </c>
      <c r="AV43" s="210">
        <f t="shared" si="51"/>
        <v>1425</v>
      </c>
      <c r="AW43" s="210">
        <f t="shared" si="52"/>
        <v>1007</v>
      </c>
      <c r="AX43" s="210">
        <f t="shared" si="53"/>
        <v>70.666666666666671</v>
      </c>
      <c r="AY43" s="214">
        <f t="shared" ref="AY43:AZ43" si="216">AY44*7+AY45*8+AY46*9+AY47*9</f>
        <v>324</v>
      </c>
      <c r="AZ43" s="214">
        <f t="shared" si="216"/>
        <v>324</v>
      </c>
      <c r="BA43" s="214">
        <f t="shared" ref="BA43" si="217">BA44*7+BA45*8+BA46*9+BA47*9</f>
        <v>323</v>
      </c>
      <c r="BB43" s="99">
        <f t="shared" si="55"/>
        <v>99.691358024691354</v>
      </c>
      <c r="BC43" s="214">
        <f t="shared" ref="BC43" si="218">BC44*7+BC45*8+BC46*9+BC47*9</f>
        <v>0</v>
      </c>
      <c r="BD43" s="97">
        <f t="shared" si="122"/>
        <v>0</v>
      </c>
      <c r="BE43" s="214">
        <f t="shared" ref="BE43" si="219">BE44*7+BE45*8+BE46*9+BE47*9</f>
        <v>0</v>
      </c>
      <c r="BF43" s="99">
        <f t="shared" si="57"/>
        <v>0</v>
      </c>
      <c r="BG43" s="214">
        <f t="shared" ref="BG43:BH43" si="220">BG44*7+BG45*8+BG46*9+BG47*9</f>
        <v>1070</v>
      </c>
      <c r="BH43" s="214">
        <f t="shared" si="220"/>
        <v>1070</v>
      </c>
      <c r="BI43" s="214">
        <f t="shared" ref="BI43" si="221">BI44*7+BI45*8+BI46*9+BI47*9</f>
        <v>1079</v>
      </c>
      <c r="BJ43" s="99">
        <f t="shared" si="59"/>
        <v>100.84112149532712</v>
      </c>
      <c r="BK43" s="236">
        <f t="shared" si="31"/>
        <v>1070</v>
      </c>
      <c r="BL43" s="236">
        <f t="shared" si="32"/>
        <v>1070</v>
      </c>
      <c r="BM43" s="236">
        <f t="shared" si="33"/>
        <v>1079</v>
      </c>
      <c r="BN43" s="235">
        <f t="shared" si="60"/>
        <v>100.84112149532712</v>
      </c>
      <c r="BO43" s="235">
        <f t="shared" si="34"/>
        <v>5537</v>
      </c>
      <c r="BP43" s="235">
        <f t="shared" si="35"/>
        <v>5537</v>
      </c>
      <c r="BQ43" s="235">
        <f t="shared" si="36"/>
        <v>5176</v>
      </c>
      <c r="BR43" s="235">
        <f t="shared" si="61"/>
        <v>93.480223947986275</v>
      </c>
    </row>
    <row r="44" spans="1:70" ht="15.75" x14ac:dyDescent="0.2">
      <c r="A44" s="169" t="s">
        <v>149</v>
      </c>
      <c r="B44" s="201" t="s">
        <v>339</v>
      </c>
      <c r="C44" s="214"/>
      <c r="D44" s="97">
        <f t="shared" si="114"/>
        <v>0</v>
      </c>
      <c r="E44" s="214">
        <v>0</v>
      </c>
      <c r="F44" s="99">
        <f t="shared" si="38"/>
        <v>0</v>
      </c>
      <c r="G44" s="214"/>
      <c r="H44" s="97">
        <f t="shared" si="115"/>
        <v>0</v>
      </c>
      <c r="I44" s="214"/>
      <c r="J44" s="99">
        <f t="shared" si="40"/>
        <v>0</v>
      </c>
      <c r="K44" s="210">
        <f t="shared" si="41"/>
        <v>0</v>
      </c>
      <c r="L44" s="210">
        <f t="shared" si="42"/>
        <v>0</v>
      </c>
      <c r="M44" s="210">
        <f t="shared" si="4"/>
        <v>0</v>
      </c>
      <c r="N44" s="158">
        <f t="shared" si="43"/>
        <v>0</v>
      </c>
      <c r="O44" s="214"/>
      <c r="P44" s="162"/>
      <c r="Q44" s="214"/>
      <c r="R44" s="99" t="e">
        <f t="shared" si="116"/>
        <v>#DIV/0!</v>
      </c>
      <c r="S44" s="214"/>
      <c r="T44" s="97"/>
      <c r="U44" s="214"/>
      <c r="V44" s="99" t="e">
        <f t="shared" si="117"/>
        <v>#DIV/0!</v>
      </c>
      <c r="W44" s="214"/>
      <c r="X44" s="228"/>
      <c r="Y44" s="214">
        <v>0</v>
      </c>
      <c r="Z44" s="99">
        <f t="shared" si="45"/>
        <v>0</v>
      </c>
      <c r="AA44" s="210">
        <f t="shared" si="46"/>
        <v>0</v>
      </c>
      <c r="AB44" s="210">
        <f t="shared" si="13"/>
        <v>0</v>
      </c>
      <c r="AC44" s="210">
        <f t="shared" si="13"/>
        <v>0</v>
      </c>
      <c r="AD44" s="210">
        <f t="shared" si="47"/>
        <v>0</v>
      </c>
      <c r="AE44" s="497"/>
      <c r="AF44" s="250"/>
      <c r="AG44" s="214"/>
      <c r="AH44" s="99" t="e">
        <f t="shared" si="118"/>
        <v>#DIV/0!</v>
      </c>
      <c r="AI44" s="214"/>
      <c r="AJ44" s="97"/>
      <c r="AK44" s="214"/>
      <c r="AL44" s="99" t="e">
        <f t="shared" si="119"/>
        <v>#DIV/0!</v>
      </c>
      <c r="AM44" s="214"/>
      <c r="AN44" s="97"/>
      <c r="AO44" s="214"/>
      <c r="AP44" s="99" t="e">
        <f t="shared" si="120"/>
        <v>#DIV/0!</v>
      </c>
      <c r="AQ44" s="214"/>
      <c r="AR44" s="228"/>
      <c r="AS44" s="214">
        <v>1</v>
      </c>
      <c r="AT44" s="99">
        <f t="shared" si="49"/>
        <v>0</v>
      </c>
      <c r="AU44" s="210">
        <f t="shared" si="50"/>
        <v>0</v>
      </c>
      <c r="AV44" s="210">
        <f t="shared" si="51"/>
        <v>0</v>
      </c>
      <c r="AW44" s="210">
        <f t="shared" si="52"/>
        <v>1</v>
      </c>
      <c r="AX44" s="210">
        <f t="shared" si="53"/>
        <v>0</v>
      </c>
      <c r="AY44" s="214"/>
      <c r="AZ44" s="97"/>
      <c r="BA44" s="214">
        <v>0</v>
      </c>
      <c r="BB44" s="99">
        <f t="shared" si="55"/>
        <v>0</v>
      </c>
      <c r="BC44" s="214"/>
      <c r="BD44" s="97">
        <f t="shared" si="122"/>
        <v>0</v>
      </c>
      <c r="BE44" s="214"/>
      <c r="BF44" s="99">
        <f t="shared" si="57"/>
        <v>0</v>
      </c>
      <c r="BG44" s="214">
        <v>0</v>
      </c>
      <c r="BH44" s="97"/>
      <c r="BI44" s="214">
        <v>0</v>
      </c>
      <c r="BJ44" s="99">
        <f t="shared" si="59"/>
        <v>0</v>
      </c>
      <c r="BK44" s="236">
        <f t="shared" si="31"/>
        <v>0</v>
      </c>
      <c r="BL44" s="236">
        <f t="shared" si="32"/>
        <v>0</v>
      </c>
      <c r="BM44" s="236">
        <f t="shared" si="33"/>
        <v>0</v>
      </c>
      <c r="BN44" s="235">
        <f t="shared" si="60"/>
        <v>0</v>
      </c>
      <c r="BO44" s="235">
        <f t="shared" si="34"/>
        <v>0</v>
      </c>
      <c r="BP44" s="235">
        <f t="shared" si="35"/>
        <v>0</v>
      </c>
      <c r="BQ44" s="235">
        <f t="shared" si="36"/>
        <v>1</v>
      </c>
      <c r="BR44" s="235">
        <f t="shared" si="61"/>
        <v>0</v>
      </c>
    </row>
    <row r="45" spans="1:70" ht="15.75" x14ac:dyDescent="0.2">
      <c r="A45" s="169" t="s">
        <v>150</v>
      </c>
      <c r="B45" s="201" t="s">
        <v>339</v>
      </c>
      <c r="C45" s="214"/>
      <c r="D45" s="97"/>
      <c r="E45" s="214">
        <v>0</v>
      </c>
      <c r="F45" s="99">
        <f t="shared" si="38"/>
        <v>0</v>
      </c>
      <c r="G45" s="214"/>
      <c r="H45" s="97">
        <f t="shared" si="115"/>
        <v>0</v>
      </c>
      <c r="I45" s="214"/>
      <c r="J45" s="99">
        <f t="shared" si="40"/>
        <v>0</v>
      </c>
      <c r="K45" s="210">
        <f t="shared" si="41"/>
        <v>0</v>
      </c>
      <c r="L45" s="210">
        <f t="shared" si="42"/>
        <v>0</v>
      </c>
      <c r="M45" s="210">
        <f t="shared" si="4"/>
        <v>0</v>
      </c>
      <c r="N45" s="158">
        <f t="shared" si="43"/>
        <v>0</v>
      </c>
      <c r="O45" s="214"/>
      <c r="P45" s="162"/>
      <c r="Q45" s="214"/>
      <c r="R45" s="99" t="e">
        <f t="shared" si="116"/>
        <v>#DIV/0!</v>
      </c>
      <c r="S45" s="214"/>
      <c r="T45" s="97"/>
      <c r="U45" s="214"/>
      <c r="V45" s="99" t="e">
        <f t="shared" si="117"/>
        <v>#DIV/0!</v>
      </c>
      <c r="W45" s="214"/>
      <c r="X45" s="228"/>
      <c r="Y45" s="214">
        <v>5</v>
      </c>
      <c r="Z45" s="99">
        <f t="shared" si="45"/>
        <v>0</v>
      </c>
      <c r="AA45" s="210">
        <f t="shared" si="46"/>
        <v>0</v>
      </c>
      <c r="AB45" s="210">
        <f t="shared" si="13"/>
        <v>0</v>
      </c>
      <c r="AC45" s="210">
        <f t="shared" si="13"/>
        <v>5</v>
      </c>
      <c r="AD45" s="210">
        <f t="shared" si="47"/>
        <v>0</v>
      </c>
      <c r="AE45" s="497"/>
      <c r="AF45" s="250"/>
      <c r="AG45" s="214"/>
      <c r="AH45" s="99" t="e">
        <f t="shared" si="118"/>
        <v>#DIV/0!</v>
      </c>
      <c r="AI45" s="214"/>
      <c r="AJ45" s="97"/>
      <c r="AK45" s="214"/>
      <c r="AL45" s="99" t="e">
        <f t="shared" si="119"/>
        <v>#DIV/0!</v>
      </c>
      <c r="AM45" s="214"/>
      <c r="AN45" s="97"/>
      <c r="AO45" s="214"/>
      <c r="AP45" s="99" t="e">
        <f t="shared" si="120"/>
        <v>#DIV/0!</v>
      </c>
      <c r="AQ45" s="214">
        <v>6</v>
      </c>
      <c r="AR45" s="228">
        <v>6</v>
      </c>
      <c r="AS45" s="214">
        <v>8</v>
      </c>
      <c r="AT45" s="99">
        <f t="shared" si="49"/>
        <v>133.33333333333331</v>
      </c>
      <c r="AU45" s="210">
        <f t="shared" si="50"/>
        <v>6</v>
      </c>
      <c r="AV45" s="210">
        <f t="shared" si="51"/>
        <v>6</v>
      </c>
      <c r="AW45" s="210">
        <f t="shared" si="52"/>
        <v>8</v>
      </c>
      <c r="AX45" s="210">
        <f t="shared" si="53"/>
        <v>133.33333333333331</v>
      </c>
      <c r="AY45" s="214"/>
      <c r="AZ45" s="97"/>
      <c r="BA45" s="214">
        <v>1</v>
      </c>
      <c r="BB45" s="99">
        <f t="shared" si="55"/>
        <v>0</v>
      </c>
      <c r="BC45" s="214"/>
      <c r="BD45" s="97">
        <f t="shared" si="122"/>
        <v>0</v>
      </c>
      <c r="BE45" s="214"/>
      <c r="BF45" s="99">
        <f t="shared" si="57"/>
        <v>0</v>
      </c>
      <c r="BG45" s="214">
        <v>1</v>
      </c>
      <c r="BH45" s="97">
        <v>1</v>
      </c>
      <c r="BI45" s="214">
        <v>1</v>
      </c>
      <c r="BJ45" s="99">
        <f t="shared" si="59"/>
        <v>100</v>
      </c>
      <c r="BK45" s="236">
        <f t="shared" si="31"/>
        <v>1</v>
      </c>
      <c r="BL45" s="236">
        <f t="shared" si="32"/>
        <v>1</v>
      </c>
      <c r="BM45" s="236">
        <f t="shared" si="33"/>
        <v>1</v>
      </c>
      <c r="BN45" s="235">
        <f t="shared" si="60"/>
        <v>100</v>
      </c>
      <c r="BO45" s="235">
        <f t="shared" si="34"/>
        <v>7</v>
      </c>
      <c r="BP45" s="235">
        <f t="shared" si="35"/>
        <v>7</v>
      </c>
      <c r="BQ45" s="235">
        <f t="shared" si="36"/>
        <v>15</v>
      </c>
      <c r="BR45" s="235">
        <f t="shared" si="61"/>
        <v>214.28571428571428</v>
      </c>
    </row>
    <row r="46" spans="1:70" ht="15.75" x14ac:dyDescent="0.2">
      <c r="A46" s="169" t="s">
        <v>151</v>
      </c>
      <c r="B46" s="201" t="s">
        <v>339</v>
      </c>
      <c r="C46" s="214">
        <v>105</v>
      </c>
      <c r="D46" s="97">
        <v>105</v>
      </c>
      <c r="E46" s="214">
        <v>106</v>
      </c>
      <c r="F46" s="99">
        <f t="shared" si="38"/>
        <v>100.95238095238095</v>
      </c>
      <c r="G46" s="214"/>
      <c r="H46" s="97">
        <f t="shared" ref="H46:H61" si="222">ROUND(G46/12*$A$7,0)</f>
        <v>0</v>
      </c>
      <c r="I46" s="214"/>
      <c r="J46" s="99">
        <f t="shared" si="40"/>
        <v>0</v>
      </c>
      <c r="K46" s="210">
        <f t="shared" si="41"/>
        <v>105</v>
      </c>
      <c r="L46" s="210">
        <f t="shared" si="42"/>
        <v>105</v>
      </c>
      <c r="M46" s="210">
        <f t="shared" si="4"/>
        <v>106</v>
      </c>
      <c r="N46" s="158">
        <f t="shared" si="43"/>
        <v>100.95238095238095</v>
      </c>
      <c r="O46" s="214"/>
      <c r="P46" s="162"/>
      <c r="Q46" s="214"/>
      <c r="R46" s="99" t="e">
        <f t="shared" si="116"/>
        <v>#DIV/0!</v>
      </c>
      <c r="S46" s="214"/>
      <c r="T46" s="97"/>
      <c r="U46" s="214"/>
      <c r="V46" s="99" t="e">
        <f t="shared" si="117"/>
        <v>#DIV/0!</v>
      </c>
      <c r="W46" s="214">
        <v>103</v>
      </c>
      <c r="X46" s="228">
        <v>103</v>
      </c>
      <c r="Y46" s="214">
        <v>118</v>
      </c>
      <c r="Z46" s="99">
        <f t="shared" si="45"/>
        <v>114.5631067961165</v>
      </c>
      <c r="AA46" s="210">
        <f t="shared" si="46"/>
        <v>103</v>
      </c>
      <c r="AB46" s="210">
        <f t="shared" si="13"/>
        <v>103</v>
      </c>
      <c r="AC46" s="210">
        <f t="shared" si="13"/>
        <v>118</v>
      </c>
      <c r="AD46" s="210">
        <f t="shared" si="47"/>
        <v>114.5631067961165</v>
      </c>
      <c r="AE46" s="497"/>
      <c r="AF46" s="250"/>
      <c r="AG46" s="214"/>
      <c r="AH46" s="99" t="e">
        <f t="shared" si="118"/>
        <v>#DIV/0!</v>
      </c>
      <c r="AI46" s="214"/>
      <c r="AJ46" s="97"/>
      <c r="AK46" s="214"/>
      <c r="AL46" s="99" t="e">
        <f t="shared" si="119"/>
        <v>#DIV/0!</v>
      </c>
      <c r="AM46" s="214"/>
      <c r="AN46" s="97"/>
      <c r="AO46" s="214"/>
      <c r="AP46" s="99" t="e">
        <f t="shared" si="120"/>
        <v>#DIV/0!</v>
      </c>
      <c r="AQ46" s="214">
        <v>146</v>
      </c>
      <c r="AR46" s="228">
        <v>146</v>
      </c>
      <c r="AS46" s="214">
        <v>71</v>
      </c>
      <c r="AT46" s="99">
        <f t="shared" si="49"/>
        <v>48.630136986301373</v>
      </c>
      <c r="AU46" s="210">
        <f t="shared" si="50"/>
        <v>146</v>
      </c>
      <c r="AV46" s="210">
        <f t="shared" si="51"/>
        <v>146</v>
      </c>
      <c r="AW46" s="210">
        <f t="shared" si="52"/>
        <v>71</v>
      </c>
      <c r="AX46" s="210">
        <f t="shared" si="53"/>
        <v>48.630136986301373</v>
      </c>
      <c r="AY46" s="214">
        <v>20</v>
      </c>
      <c r="AZ46" s="97">
        <v>20</v>
      </c>
      <c r="BA46" s="214">
        <v>22</v>
      </c>
      <c r="BB46" s="99">
        <f t="shared" si="55"/>
        <v>110.00000000000001</v>
      </c>
      <c r="BC46" s="214"/>
      <c r="BD46" s="97">
        <f t="shared" ref="BD46:BD61" si="223">ROUND(BC46/12*$A$7,0)</f>
        <v>0</v>
      </c>
      <c r="BE46" s="214"/>
      <c r="BF46" s="99">
        <f t="shared" si="57"/>
        <v>0</v>
      </c>
      <c r="BG46" s="214">
        <v>64</v>
      </c>
      <c r="BH46" s="97">
        <v>64</v>
      </c>
      <c r="BI46" s="214">
        <v>65</v>
      </c>
      <c r="BJ46" s="99">
        <f t="shared" si="59"/>
        <v>101.5625</v>
      </c>
      <c r="BK46" s="236">
        <f t="shared" si="31"/>
        <v>64</v>
      </c>
      <c r="BL46" s="236">
        <f t="shared" si="32"/>
        <v>64</v>
      </c>
      <c r="BM46" s="236">
        <f t="shared" si="33"/>
        <v>65</v>
      </c>
      <c r="BN46" s="235">
        <f t="shared" si="60"/>
        <v>101.5625</v>
      </c>
      <c r="BO46" s="235">
        <f t="shared" si="34"/>
        <v>438</v>
      </c>
      <c r="BP46" s="235">
        <f t="shared" si="35"/>
        <v>438</v>
      </c>
      <c r="BQ46" s="235">
        <f t="shared" si="36"/>
        <v>382</v>
      </c>
      <c r="BR46" s="235">
        <f t="shared" si="61"/>
        <v>87.214611872146122</v>
      </c>
    </row>
    <row r="47" spans="1:70" ht="15.75" x14ac:dyDescent="0.2">
      <c r="A47" s="169" t="s">
        <v>152</v>
      </c>
      <c r="B47" s="201" t="s">
        <v>339</v>
      </c>
      <c r="C47" s="214">
        <v>60</v>
      </c>
      <c r="D47" s="97">
        <v>60</v>
      </c>
      <c r="E47" s="214">
        <v>51</v>
      </c>
      <c r="F47" s="99">
        <f t="shared" si="38"/>
        <v>85</v>
      </c>
      <c r="G47" s="214"/>
      <c r="H47" s="97">
        <f t="shared" si="222"/>
        <v>0</v>
      </c>
      <c r="I47" s="214"/>
      <c r="J47" s="99">
        <f t="shared" si="40"/>
        <v>0</v>
      </c>
      <c r="K47" s="210">
        <f t="shared" si="41"/>
        <v>60</v>
      </c>
      <c r="L47" s="210">
        <f t="shared" si="42"/>
        <v>60</v>
      </c>
      <c r="M47" s="210">
        <f t="shared" si="4"/>
        <v>51</v>
      </c>
      <c r="N47" s="158">
        <f t="shared" si="43"/>
        <v>85</v>
      </c>
      <c r="O47" s="214"/>
      <c r="P47" s="162"/>
      <c r="Q47" s="214"/>
      <c r="R47" s="99" t="e">
        <f t="shared" si="116"/>
        <v>#DIV/0!</v>
      </c>
      <c r="S47" s="214"/>
      <c r="T47" s="97"/>
      <c r="U47" s="214"/>
      <c r="V47" s="99" t="e">
        <f t="shared" si="117"/>
        <v>#DIV/0!</v>
      </c>
      <c r="W47" s="214">
        <v>34</v>
      </c>
      <c r="X47" s="228">
        <v>34</v>
      </c>
      <c r="Y47" s="214">
        <v>28</v>
      </c>
      <c r="Z47" s="99">
        <f t="shared" si="45"/>
        <v>82.35294117647058</v>
      </c>
      <c r="AA47" s="210">
        <f t="shared" si="46"/>
        <v>34</v>
      </c>
      <c r="AB47" s="210">
        <f t="shared" si="13"/>
        <v>34</v>
      </c>
      <c r="AC47" s="210">
        <f t="shared" si="13"/>
        <v>28</v>
      </c>
      <c r="AD47" s="210">
        <f t="shared" si="47"/>
        <v>82.35294117647058</v>
      </c>
      <c r="AE47" s="497"/>
      <c r="AF47" s="250"/>
      <c r="AG47" s="214"/>
      <c r="AH47" s="99" t="e">
        <f t="shared" si="118"/>
        <v>#DIV/0!</v>
      </c>
      <c r="AI47" s="214"/>
      <c r="AJ47" s="97"/>
      <c r="AK47" s="214"/>
      <c r="AL47" s="99" t="e">
        <f t="shared" si="119"/>
        <v>#DIV/0!</v>
      </c>
      <c r="AM47" s="214"/>
      <c r="AN47" s="97"/>
      <c r="AO47" s="214"/>
      <c r="AP47" s="99" t="e">
        <f t="shared" si="120"/>
        <v>#DIV/0!</v>
      </c>
      <c r="AQ47" s="214">
        <v>7</v>
      </c>
      <c r="AR47" s="228">
        <v>7</v>
      </c>
      <c r="AS47" s="214">
        <v>33</v>
      </c>
      <c r="AT47" s="99">
        <f t="shared" si="49"/>
        <v>471.42857142857144</v>
      </c>
      <c r="AU47" s="210">
        <f t="shared" si="50"/>
        <v>7</v>
      </c>
      <c r="AV47" s="210">
        <f t="shared" si="51"/>
        <v>7</v>
      </c>
      <c r="AW47" s="210">
        <f t="shared" si="52"/>
        <v>33</v>
      </c>
      <c r="AX47" s="210">
        <f t="shared" si="53"/>
        <v>471.42857142857144</v>
      </c>
      <c r="AY47" s="214">
        <v>16</v>
      </c>
      <c r="AZ47" s="97">
        <v>16</v>
      </c>
      <c r="BA47" s="214">
        <v>13</v>
      </c>
      <c r="BB47" s="99">
        <f t="shared" si="55"/>
        <v>81.25</v>
      </c>
      <c r="BC47" s="214"/>
      <c r="BD47" s="97">
        <f t="shared" si="223"/>
        <v>0</v>
      </c>
      <c r="BE47" s="214"/>
      <c r="BF47" s="99">
        <f t="shared" si="57"/>
        <v>0</v>
      </c>
      <c r="BG47" s="214">
        <v>54</v>
      </c>
      <c r="BH47" s="97">
        <v>54</v>
      </c>
      <c r="BI47" s="214">
        <v>54</v>
      </c>
      <c r="BJ47" s="99">
        <f t="shared" si="59"/>
        <v>100</v>
      </c>
      <c r="BK47" s="236">
        <f t="shared" si="31"/>
        <v>54</v>
      </c>
      <c r="BL47" s="236">
        <f t="shared" si="32"/>
        <v>54</v>
      </c>
      <c r="BM47" s="236">
        <f t="shared" si="33"/>
        <v>54</v>
      </c>
      <c r="BN47" s="235">
        <f t="shared" si="60"/>
        <v>100</v>
      </c>
      <c r="BO47" s="235">
        <f t="shared" si="34"/>
        <v>171</v>
      </c>
      <c r="BP47" s="235">
        <f t="shared" si="35"/>
        <v>171</v>
      </c>
      <c r="BQ47" s="235">
        <f t="shared" si="36"/>
        <v>179</v>
      </c>
      <c r="BR47" s="235">
        <f t="shared" si="61"/>
        <v>104.67836257309942</v>
      </c>
    </row>
    <row r="48" spans="1:70" ht="31.5" x14ac:dyDescent="0.25">
      <c r="A48" s="173" t="s">
        <v>153</v>
      </c>
      <c r="B48" s="197" t="s">
        <v>3</v>
      </c>
      <c r="C48" s="214">
        <f t="shared" ref="C48:D48" si="224">C49*7+C50*8+C51*9+C52*9</f>
        <v>538</v>
      </c>
      <c r="D48" s="214">
        <f t="shared" si="224"/>
        <v>538</v>
      </c>
      <c r="E48" s="214">
        <f t="shared" ref="E48" si="225">E49*7+E50*8+E51*9+E52*9</f>
        <v>269</v>
      </c>
      <c r="F48" s="99">
        <f t="shared" si="38"/>
        <v>50</v>
      </c>
      <c r="G48" s="214">
        <f t="shared" ref="G48" si="226">G49*7+G50*8+G51*9+G52*9</f>
        <v>0</v>
      </c>
      <c r="H48" s="97">
        <f t="shared" si="222"/>
        <v>0</v>
      </c>
      <c r="I48" s="214">
        <f t="shared" ref="I48" si="227">I49*7+I50*8+I51*9+I52*9</f>
        <v>0</v>
      </c>
      <c r="J48" s="99">
        <f t="shared" si="40"/>
        <v>0</v>
      </c>
      <c r="K48" s="210">
        <f t="shared" si="41"/>
        <v>538</v>
      </c>
      <c r="L48" s="210">
        <f t="shared" si="42"/>
        <v>538</v>
      </c>
      <c r="M48" s="210">
        <f t="shared" si="4"/>
        <v>269</v>
      </c>
      <c r="N48" s="158">
        <f t="shared" si="43"/>
        <v>50</v>
      </c>
      <c r="O48" s="214">
        <f t="shared" ref="O48" si="228">O49*7+O50*8+O51*9+O52*9</f>
        <v>0</v>
      </c>
      <c r="P48" s="162"/>
      <c r="Q48" s="214">
        <f t="shared" ref="Q48" si="229">Q49*7+Q50*8+Q51*9+Q52*9</f>
        <v>0</v>
      </c>
      <c r="R48" s="99" t="e">
        <f t="shared" si="116"/>
        <v>#DIV/0!</v>
      </c>
      <c r="S48" s="214">
        <f t="shared" ref="S48" si="230">S49*7+S50*8+S51*9+S52*9</f>
        <v>0</v>
      </c>
      <c r="T48" s="97"/>
      <c r="U48" s="214">
        <f t="shared" ref="U48" si="231">U49*7+U50*8+U51*9+U52*9</f>
        <v>0</v>
      </c>
      <c r="V48" s="99" t="e">
        <f t="shared" si="117"/>
        <v>#DIV/0!</v>
      </c>
      <c r="W48" s="214">
        <f t="shared" ref="W48:X48" si="232">W49*7+W50*8+W51*9+W52*9</f>
        <v>1693</v>
      </c>
      <c r="X48" s="214">
        <f t="shared" si="232"/>
        <v>1693</v>
      </c>
      <c r="Y48" s="214">
        <f t="shared" ref="Y48" si="233">Y49*7+Y50*8+Y51*9+Y52*9</f>
        <v>1567</v>
      </c>
      <c r="Z48" s="99">
        <f t="shared" si="45"/>
        <v>92.557590076786767</v>
      </c>
      <c r="AA48" s="210">
        <f t="shared" si="46"/>
        <v>1693</v>
      </c>
      <c r="AB48" s="210">
        <f t="shared" si="13"/>
        <v>1693</v>
      </c>
      <c r="AC48" s="210">
        <f t="shared" si="13"/>
        <v>1567</v>
      </c>
      <c r="AD48" s="210">
        <f t="shared" si="47"/>
        <v>92.557590076786767</v>
      </c>
      <c r="AE48" s="497">
        <f t="shared" ref="AE48" si="234">AE49*7+AE50*8+AE51*9+AE52*9</f>
        <v>0</v>
      </c>
      <c r="AF48" s="250"/>
      <c r="AG48" s="214">
        <f t="shared" ref="AG48" si="235">AG49*7+AG50*8+AG51*9+AG52*9</f>
        <v>0</v>
      </c>
      <c r="AH48" s="99" t="e">
        <f t="shared" si="118"/>
        <v>#DIV/0!</v>
      </c>
      <c r="AI48" s="214">
        <f t="shared" ref="AI48" si="236">AI49*7+AI50*8+AI51*9+AI52*9</f>
        <v>0</v>
      </c>
      <c r="AJ48" s="97"/>
      <c r="AK48" s="214">
        <f t="shared" ref="AK48" si="237">AK49*7+AK50*8+AK51*9+AK52*9</f>
        <v>0</v>
      </c>
      <c r="AL48" s="99" t="e">
        <f t="shared" si="119"/>
        <v>#DIV/0!</v>
      </c>
      <c r="AM48" s="214">
        <f t="shared" ref="AM48" si="238">AM49*7+AM50*8+AM51*9+AM52*9</f>
        <v>0</v>
      </c>
      <c r="AN48" s="97"/>
      <c r="AO48" s="214">
        <f t="shared" ref="AO48" si="239">AO49*7+AO50*8+AO51*9+AO52*9</f>
        <v>0</v>
      </c>
      <c r="AP48" s="99" t="e">
        <f t="shared" si="120"/>
        <v>#DIV/0!</v>
      </c>
      <c r="AQ48" s="214">
        <f t="shared" ref="AQ48:AR48" si="240">AQ49*7+AQ50*8+AQ51*9+AQ52*9</f>
        <v>348</v>
      </c>
      <c r="AR48" s="214">
        <f t="shared" si="240"/>
        <v>348</v>
      </c>
      <c r="AS48" s="214">
        <f t="shared" ref="AS48" si="241">AS49*7+AS50*8+AS51*9+AS52*9</f>
        <v>386</v>
      </c>
      <c r="AT48" s="99">
        <f t="shared" si="49"/>
        <v>110.91954022988506</v>
      </c>
      <c r="AU48" s="210">
        <f t="shared" si="50"/>
        <v>348</v>
      </c>
      <c r="AV48" s="210">
        <f t="shared" si="51"/>
        <v>348</v>
      </c>
      <c r="AW48" s="210">
        <f t="shared" si="52"/>
        <v>386</v>
      </c>
      <c r="AX48" s="210">
        <f t="shared" si="53"/>
        <v>110.91954022988506</v>
      </c>
      <c r="AY48" s="214">
        <f t="shared" ref="AY48:AZ48" si="242">AY49*7+AY50*8+AY51*9+AY52*9</f>
        <v>1393</v>
      </c>
      <c r="AZ48" s="214">
        <f t="shared" si="242"/>
        <v>1393</v>
      </c>
      <c r="BA48" s="214">
        <f t="shared" ref="BA48" si="243">BA49*7+BA50*8+BA51*9+BA52*9</f>
        <v>1429</v>
      </c>
      <c r="BB48" s="99">
        <f t="shared" si="55"/>
        <v>102.58435032304378</v>
      </c>
      <c r="BC48" s="214">
        <f t="shared" ref="BC48:BD48" si="244">BC49*7+BC50*8+BC51*9+BC52*9</f>
        <v>744</v>
      </c>
      <c r="BD48" s="214">
        <f t="shared" si="244"/>
        <v>744</v>
      </c>
      <c r="BE48" s="214">
        <f t="shared" ref="BE48" si="245">BE49*7+BE50*8+BE51*9+BE52*9</f>
        <v>649</v>
      </c>
      <c r="BF48" s="99">
        <f t="shared" si="57"/>
        <v>87.231182795698928</v>
      </c>
      <c r="BG48" s="214">
        <f t="shared" ref="BG48:BI48" si="246">BG49*7+BG50*8+BG51*9+BG52*9</f>
        <v>90</v>
      </c>
      <c r="BH48" s="214">
        <f t="shared" si="246"/>
        <v>90</v>
      </c>
      <c r="BI48" s="214">
        <f t="shared" si="246"/>
        <v>90</v>
      </c>
      <c r="BJ48" s="99">
        <f t="shared" si="59"/>
        <v>100</v>
      </c>
      <c r="BK48" s="236">
        <f t="shared" si="31"/>
        <v>834</v>
      </c>
      <c r="BL48" s="236">
        <f t="shared" si="32"/>
        <v>834</v>
      </c>
      <c r="BM48" s="236">
        <f t="shared" si="33"/>
        <v>739</v>
      </c>
      <c r="BN48" s="235">
        <f t="shared" si="60"/>
        <v>88.609112709832132</v>
      </c>
      <c r="BO48" s="235">
        <f t="shared" si="34"/>
        <v>4806</v>
      </c>
      <c r="BP48" s="235">
        <f t="shared" si="35"/>
        <v>4806</v>
      </c>
      <c r="BQ48" s="235">
        <f t="shared" si="36"/>
        <v>4390</v>
      </c>
      <c r="BR48" s="235">
        <f t="shared" si="61"/>
        <v>91.344153141905949</v>
      </c>
    </row>
    <row r="49" spans="1:70" ht="15.75" x14ac:dyDescent="0.25">
      <c r="A49" s="169" t="s">
        <v>149</v>
      </c>
      <c r="B49" s="201" t="s">
        <v>339</v>
      </c>
      <c r="C49" s="214"/>
      <c r="D49" s="97">
        <f t="shared" ref="D49:D61" si="247">ROUND(C49/12*$A$7,0)</f>
        <v>0</v>
      </c>
      <c r="E49" s="214">
        <v>0</v>
      </c>
      <c r="F49" s="99">
        <f t="shared" si="38"/>
        <v>0</v>
      </c>
      <c r="G49" s="214"/>
      <c r="H49" s="97">
        <f t="shared" si="222"/>
        <v>0</v>
      </c>
      <c r="I49" s="214"/>
      <c r="J49" s="99">
        <f t="shared" si="40"/>
        <v>0</v>
      </c>
      <c r="K49" s="210">
        <f t="shared" si="41"/>
        <v>0</v>
      </c>
      <c r="L49" s="210">
        <f t="shared" si="42"/>
        <v>0</v>
      </c>
      <c r="M49" s="210">
        <f t="shared" si="4"/>
        <v>0</v>
      </c>
      <c r="N49" s="158">
        <f t="shared" si="43"/>
        <v>0</v>
      </c>
      <c r="O49" s="215"/>
      <c r="P49" s="162"/>
      <c r="Q49" s="214"/>
      <c r="R49" s="99" t="e">
        <f t="shared" si="116"/>
        <v>#DIV/0!</v>
      </c>
      <c r="S49" s="214"/>
      <c r="T49" s="97"/>
      <c r="U49" s="214"/>
      <c r="V49" s="99" t="e">
        <f t="shared" si="117"/>
        <v>#DIV/0!</v>
      </c>
      <c r="W49" s="214">
        <v>8</v>
      </c>
      <c r="X49" s="228">
        <v>8</v>
      </c>
      <c r="Y49" s="214">
        <v>10</v>
      </c>
      <c r="Z49" s="99">
        <f t="shared" si="45"/>
        <v>125</v>
      </c>
      <c r="AA49" s="210">
        <f t="shared" si="46"/>
        <v>8</v>
      </c>
      <c r="AB49" s="210">
        <f t="shared" si="13"/>
        <v>8</v>
      </c>
      <c r="AC49" s="210">
        <f t="shared" si="13"/>
        <v>10</v>
      </c>
      <c r="AD49" s="210">
        <f t="shared" si="47"/>
        <v>125</v>
      </c>
      <c r="AE49" s="497"/>
      <c r="AF49" s="250"/>
      <c r="AG49" s="214"/>
      <c r="AH49" s="99" t="e">
        <f t="shared" si="118"/>
        <v>#DIV/0!</v>
      </c>
      <c r="AI49" s="214"/>
      <c r="AJ49" s="97"/>
      <c r="AK49" s="214"/>
      <c r="AL49" s="99" t="e">
        <f t="shared" si="119"/>
        <v>#DIV/0!</v>
      </c>
      <c r="AM49" s="214"/>
      <c r="AN49" s="97"/>
      <c r="AO49" s="214"/>
      <c r="AP49" s="99" t="e">
        <f t="shared" si="120"/>
        <v>#DIV/0!</v>
      </c>
      <c r="AQ49" s="214">
        <v>2</v>
      </c>
      <c r="AR49" s="228">
        <v>2</v>
      </c>
      <c r="AS49" s="214">
        <v>2</v>
      </c>
      <c r="AT49" s="99">
        <f t="shared" si="49"/>
        <v>100</v>
      </c>
      <c r="AU49" s="210">
        <f t="shared" si="50"/>
        <v>2</v>
      </c>
      <c r="AV49" s="210">
        <f t="shared" si="51"/>
        <v>2</v>
      </c>
      <c r="AW49" s="210">
        <f t="shared" si="52"/>
        <v>2</v>
      </c>
      <c r="AX49" s="210">
        <f t="shared" si="53"/>
        <v>100</v>
      </c>
      <c r="AY49" s="214">
        <v>5</v>
      </c>
      <c r="AZ49" s="97">
        <v>5</v>
      </c>
      <c r="BA49" s="214">
        <v>8</v>
      </c>
      <c r="BB49" s="99">
        <f t="shared" si="55"/>
        <v>160</v>
      </c>
      <c r="BC49" s="214"/>
      <c r="BD49" s="97">
        <f t="shared" si="223"/>
        <v>0</v>
      </c>
      <c r="BE49" s="214">
        <v>2</v>
      </c>
      <c r="BF49" s="99">
        <f t="shared" si="57"/>
        <v>0</v>
      </c>
      <c r="BG49" s="214">
        <v>0</v>
      </c>
      <c r="BH49" s="97"/>
      <c r="BI49" s="214">
        <v>0</v>
      </c>
      <c r="BJ49" s="99">
        <f t="shared" si="59"/>
        <v>0</v>
      </c>
      <c r="BK49" s="236">
        <f t="shared" si="31"/>
        <v>0</v>
      </c>
      <c r="BL49" s="236">
        <f t="shared" si="32"/>
        <v>0</v>
      </c>
      <c r="BM49" s="236">
        <f t="shared" si="33"/>
        <v>2</v>
      </c>
      <c r="BN49" s="235">
        <f t="shared" si="60"/>
        <v>0</v>
      </c>
      <c r="BO49" s="235">
        <f t="shared" si="34"/>
        <v>15</v>
      </c>
      <c r="BP49" s="235">
        <f t="shared" si="35"/>
        <v>15</v>
      </c>
      <c r="BQ49" s="235">
        <f t="shared" si="36"/>
        <v>22</v>
      </c>
      <c r="BR49" s="235">
        <f t="shared" si="61"/>
        <v>146.66666666666666</v>
      </c>
    </row>
    <row r="50" spans="1:70" ht="15.75" x14ac:dyDescent="0.25">
      <c r="A50" s="169" t="s">
        <v>150</v>
      </c>
      <c r="B50" s="201" t="s">
        <v>339</v>
      </c>
      <c r="C50" s="214">
        <v>2</v>
      </c>
      <c r="D50" s="97">
        <v>2</v>
      </c>
      <c r="E50" s="214">
        <v>1</v>
      </c>
      <c r="F50" s="99">
        <f t="shared" si="38"/>
        <v>50</v>
      </c>
      <c r="G50" s="214"/>
      <c r="H50" s="97">
        <f t="shared" si="222"/>
        <v>0</v>
      </c>
      <c r="I50" s="214"/>
      <c r="J50" s="99">
        <f t="shared" si="40"/>
        <v>0</v>
      </c>
      <c r="K50" s="210">
        <f t="shared" si="41"/>
        <v>2</v>
      </c>
      <c r="L50" s="210">
        <f t="shared" si="42"/>
        <v>2</v>
      </c>
      <c r="M50" s="210">
        <f t="shared" si="4"/>
        <v>1</v>
      </c>
      <c r="N50" s="158">
        <f t="shared" si="43"/>
        <v>50</v>
      </c>
      <c r="O50" s="215"/>
      <c r="P50" s="162"/>
      <c r="Q50" s="214"/>
      <c r="R50" s="99" t="e">
        <f t="shared" si="116"/>
        <v>#DIV/0!</v>
      </c>
      <c r="S50" s="214"/>
      <c r="T50" s="97"/>
      <c r="U50" s="214"/>
      <c r="V50" s="99" t="e">
        <f t="shared" si="117"/>
        <v>#DIV/0!</v>
      </c>
      <c r="W50" s="214">
        <v>10</v>
      </c>
      <c r="X50" s="228">
        <v>10</v>
      </c>
      <c r="Y50" s="214">
        <v>15</v>
      </c>
      <c r="Z50" s="99">
        <f t="shared" si="45"/>
        <v>150</v>
      </c>
      <c r="AA50" s="210">
        <f t="shared" si="46"/>
        <v>10</v>
      </c>
      <c r="AB50" s="210">
        <f t="shared" si="13"/>
        <v>10</v>
      </c>
      <c r="AC50" s="210">
        <f t="shared" si="13"/>
        <v>15</v>
      </c>
      <c r="AD50" s="210">
        <f t="shared" si="47"/>
        <v>150</v>
      </c>
      <c r="AE50" s="497"/>
      <c r="AF50" s="250"/>
      <c r="AG50" s="214"/>
      <c r="AH50" s="99" t="e">
        <f t="shared" si="118"/>
        <v>#DIV/0!</v>
      </c>
      <c r="AI50" s="214"/>
      <c r="AJ50" s="97"/>
      <c r="AK50" s="214"/>
      <c r="AL50" s="99" t="e">
        <f t="shared" si="119"/>
        <v>#DIV/0!</v>
      </c>
      <c r="AM50" s="214"/>
      <c r="AN50" s="97"/>
      <c r="AO50" s="214"/>
      <c r="AP50" s="99" t="e">
        <f t="shared" si="120"/>
        <v>#DIV/0!</v>
      </c>
      <c r="AQ50" s="214">
        <v>8</v>
      </c>
      <c r="AR50" s="228">
        <v>8</v>
      </c>
      <c r="AS50" s="214">
        <v>6</v>
      </c>
      <c r="AT50" s="99">
        <f t="shared" si="49"/>
        <v>75</v>
      </c>
      <c r="AU50" s="210">
        <f t="shared" si="50"/>
        <v>8</v>
      </c>
      <c r="AV50" s="210">
        <f t="shared" si="51"/>
        <v>8</v>
      </c>
      <c r="AW50" s="210">
        <f t="shared" si="52"/>
        <v>6</v>
      </c>
      <c r="AX50" s="210">
        <f t="shared" si="53"/>
        <v>75</v>
      </c>
      <c r="AY50" s="214">
        <v>19</v>
      </c>
      <c r="AZ50" s="97">
        <v>19</v>
      </c>
      <c r="BA50" s="214">
        <v>13</v>
      </c>
      <c r="BB50" s="99">
        <f t="shared" si="55"/>
        <v>68.421052631578945</v>
      </c>
      <c r="BC50" s="214">
        <v>3</v>
      </c>
      <c r="BD50" s="97">
        <v>3</v>
      </c>
      <c r="BE50" s="214">
        <v>4</v>
      </c>
      <c r="BF50" s="99">
        <f t="shared" si="57"/>
        <v>133.33333333333331</v>
      </c>
      <c r="BG50" s="214">
        <v>0</v>
      </c>
      <c r="BH50" s="97"/>
      <c r="BI50" s="214">
        <v>0</v>
      </c>
      <c r="BJ50" s="99">
        <f t="shared" si="59"/>
        <v>0</v>
      </c>
      <c r="BK50" s="236">
        <f t="shared" si="31"/>
        <v>3</v>
      </c>
      <c r="BL50" s="236">
        <f t="shared" si="32"/>
        <v>3</v>
      </c>
      <c r="BM50" s="236">
        <f t="shared" si="33"/>
        <v>4</v>
      </c>
      <c r="BN50" s="235">
        <f t="shared" si="60"/>
        <v>133.33333333333331</v>
      </c>
      <c r="BO50" s="235">
        <f t="shared" si="34"/>
        <v>42</v>
      </c>
      <c r="BP50" s="235">
        <f t="shared" si="35"/>
        <v>42</v>
      </c>
      <c r="BQ50" s="235">
        <f t="shared" si="36"/>
        <v>39</v>
      </c>
      <c r="BR50" s="235">
        <f t="shared" si="61"/>
        <v>92.857142857142861</v>
      </c>
    </row>
    <row r="51" spans="1:70" ht="15.75" x14ac:dyDescent="0.25">
      <c r="A51" s="169" t="s">
        <v>151</v>
      </c>
      <c r="B51" s="201" t="s">
        <v>339</v>
      </c>
      <c r="C51" s="214">
        <v>42</v>
      </c>
      <c r="D51" s="97">
        <v>42</v>
      </c>
      <c r="E51" s="214">
        <v>25</v>
      </c>
      <c r="F51" s="99">
        <f t="shared" si="38"/>
        <v>59.523809523809526</v>
      </c>
      <c r="G51" s="214"/>
      <c r="H51" s="97">
        <f t="shared" si="222"/>
        <v>0</v>
      </c>
      <c r="I51" s="214"/>
      <c r="J51" s="99">
        <f t="shared" si="40"/>
        <v>0</v>
      </c>
      <c r="K51" s="210">
        <f t="shared" si="41"/>
        <v>42</v>
      </c>
      <c r="L51" s="210">
        <f t="shared" si="42"/>
        <v>42</v>
      </c>
      <c r="M51" s="210">
        <f t="shared" si="4"/>
        <v>25</v>
      </c>
      <c r="N51" s="158">
        <f t="shared" si="43"/>
        <v>59.523809523809526</v>
      </c>
      <c r="O51" s="215"/>
      <c r="P51" s="162"/>
      <c r="Q51" s="214"/>
      <c r="R51" s="99" t="e">
        <f t="shared" si="116"/>
        <v>#DIV/0!</v>
      </c>
      <c r="S51" s="214"/>
      <c r="T51" s="97"/>
      <c r="U51" s="214"/>
      <c r="V51" s="99" t="e">
        <f t="shared" si="117"/>
        <v>#DIV/0!</v>
      </c>
      <c r="W51" s="214">
        <v>130</v>
      </c>
      <c r="X51" s="228">
        <v>130</v>
      </c>
      <c r="Y51" s="214">
        <v>126</v>
      </c>
      <c r="Z51" s="99">
        <f t="shared" si="45"/>
        <v>96.92307692307692</v>
      </c>
      <c r="AA51" s="210">
        <f t="shared" si="46"/>
        <v>130</v>
      </c>
      <c r="AB51" s="210">
        <f t="shared" si="13"/>
        <v>130</v>
      </c>
      <c r="AC51" s="210">
        <f t="shared" si="13"/>
        <v>126</v>
      </c>
      <c r="AD51" s="210">
        <f t="shared" si="47"/>
        <v>96.92307692307692</v>
      </c>
      <c r="AE51" s="497"/>
      <c r="AF51" s="250"/>
      <c r="AG51" s="214"/>
      <c r="AH51" s="99" t="e">
        <f t="shared" si="118"/>
        <v>#DIV/0!</v>
      </c>
      <c r="AI51" s="214"/>
      <c r="AJ51" s="97"/>
      <c r="AK51" s="214"/>
      <c r="AL51" s="99" t="e">
        <f t="shared" si="119"/>
        <v>#DIV/0!</v>
      </c>
      <c r="AM51" s="214"/>
      <c r="AN51" s="97"/>
      <c r="AO51" s="214"/>
      <c r="AP51" s="99" t="e">
        <f t="shared" si="120"/>
        <v>#DIV/0!</v>
      </c>
      <c r="AQ51" s="214">
        <v>30</v>
      </c>
      <c r="AR51" s="228">
        <v>30</v>
      </c>
      <c r="AS51" s="214">
        <v>32</v>
      </c>
      <c r="AT51" s="99">
        <f t="shared" si="49"/>
        <v>106.66666666666667</v>
      </c>
      <c r="AU51" s="210">
        <f t="shared" si="50"/>
        <v>30</v>
      </c>
      <c r="AV51" s="210">
        <f t="shared" si="51"/>
        <v>30</v>
      </c>
      <c r="AW51" s="210">
        <f t="shared" si="52"/>
        <v>32</v>
      </c>
      <c r="AX51" s="210">
        <f t="shared" si="53"/>
        <v>106.66666666666667</v>
      </c>
      <c r="AY51" s="214">
        <v>101</v>
      </c>
      <c r="AZ51" s="97">
        <v>101</v>
      </c>
      <c r="BA51" s="214">
        <v>106</v>
      </c>
      <c r="BB51" s="99">
        <f t="shared" si="55"/>
        <v>104.95049504950495</v>
      </c>
      <c r="BC51" s="214">
        <v>55</v>
      </c>
      <c r="BD51" s="97">
        <v>55</v>
      </c>
      <c r="BE51" s="214">
        <v>52</v>
      </c>
      <c r="BF51" s="99">
        <f t="shared" si="57"/>
        <v>94.545454545454547</v>
      </c>
      <c r="BG51" s="214">
        <v>10</v>
      </c>
      <c r="BH51" s="97">
        <v>10</v>
      </c>
      <c r="BI51" s="214">
        <v>5</v>
      </c>
      <c r="BJ51" s="99">
        <f t="shared" si="59"/>
        <v>50</v>
      </c>
      <c r="BK51" s="236">
        <f t="shared" si="31"/>
        <v>65</v>
      </c>
      <c r="BL51" s="236">
        <f t="shared" si="32"/>
        <v>65</v>
      </c>
      <c r="BM51" s="236">
        <f t="shared" si="33"/>
        <v>57</v>
      </c>
      <c r="BN51" s="235">
        <f t="shared" si="60"/>
        <v>87.692307692307693</v>
      </c>
      <c r="BO51" s="235">
        <f t="shared" si="34"/>
        <v>368</v>
      </c>
      <c r="BP51" s="235">
        <f t="shared" si="35"/>
        <v>368</v>
      </c>
      <c r="BQ51" s="235">
        <f t="shared" si="36"/>
        <v>346</v>
      </c>
      <c r="BR51" s="235">
        <f t="shared" si="61"/>
        <v>94.021739130434781</v>
      </c>
    </row>
    <row r="52" spans="1:70" ht="15.75" x14ac:dyDescent="0.25">
      <c r="A52" s="169" t="s">
        <v>152</v>
      </c>
      <c r="B52" s="201" t="s">
        <v>339</v>
      </c>
      <c r="C52" s="214">
        <v>16</v>
      </c>
      <c r="D52" s="97">
        <v>16</v>
      </c>
      <c r="E52" s="214">
        <v>4</v>
      </c>
      <c r="F52" s="99">
        <f t="shared" si="38"/>
        <v>25</v>
      </c>
      <c r="G52" s="214"/>
      <c r="H52" s="97">
        <f t="shared" si="222"/>
        <v>0</v>
      </c>
      <c r="I52" s="214"/>
      <c r="J52" s="99">
        <f t="shared" si="40"/>
        <v>0</v>
      </c>
      <c r="K52" s="210">
        <f t="shared" si="41"/>
        <v>16</v>
      </c>
      <c r="L52" s="210">
        <f t="shared" si="42"/>
        <v>16</v>
      </c>
      <c r="M52" s="210">
        <f t="shared" si="4"/>
        <v>4</v>
      </c>
      <c r="N52" s="158">
        <f t="shared" si="43"/>
        <v>25</v>
      </c>
      <c r="O52" s="215"/>
      <c r="P52" s="162"/>
      <c r="Q52" s="214"/>
      <c r="R52" s="99" t="e">
        <f t="shared" si="116"/>
        <v>#DIV/0!</v>
      </c>
      <c r="S52" s="214"/>
      <c r="T52" s="97"/>
      <c r="U52" s="214"/>
      <c r="V52" s="99" t="e">
        <f t="shared" si="117"/>
        <v>#DIV/0!</v>
      </c>
      <c r="W52" s="214">
        <v>43</v>
      </c>
      <c r="X52" s="228">
        <v>43</v>
      </c>
      <c r="Y52" s="214">
        <v>27</v>
      </c>
      <c r="Z52" s="99">
        <f t="shared" si="45"/>
        <v>62.790697674418603</v>
      </c>
      <c r="AA52" s="210">
        <f t="shared" si="46"/>
        <v>43</v>
      </c>
      <c r="AB52" s="210">
        <f t="shared" si="13"/>
        <v>43</v>
      </c>
      <c r="AC52" s="210">
        <f t="shared" si="13"/>
        <v>27</v>
      </c>
      <c r="AD52" s="210">
        <f t="shared" si="47"/>
        <v>62.790697674418603</v>
      </c>
      <c r="AE52" s="497"/>
      <c r="AF52" s="250"/>
      <c r="AG52" s="214"/>
      <c r="AH52" s="99" t="e">
        <f t="shared" si="118"/>
        <v>#DIV/0!</v>
      </c>
      <c r="AI52" s="214"/>
      <c r="AJ52" s="97"/>
      <c r="AK52" s="214"/>
      <c r="AL52" s="99" t="e">
        <f t="shared" si="119"/>
        <v>#DIV/0!</v>
      </c>
      <c r="AM52" s="214"/>
      <c r="AN52" s="97"/>
      <c r="AO52" s="214"/>
      <c r="AP52" s="99" t="e">
        <f t="shared" si="120"/>
        <v>#DIV/0!</v>
      </c>
      <c r="AQ52" s="214"/>
      <c r="AR52" s="228"/>
      <c r="AS52" s="214">
        <v>4</v>
      </c>
      <c r="AT52" s="99">
        <f t="shared" si="49"/>
        <v>0</v>
      </c>
      <c r="AU52" s="210">
        <f t="shared" si="50"/>
        <v>0</v>
      </c>
      <c r="AV52" s="210">
        <f t="shared" si="51"/>
        <v>0</v>
      </c>
      <c r="AW52" s="210">
        <f t="shared" si="52"/>
        <v>4</v>
      </c>
      <c r="AX52" s="210">
        <f t="shared" si="53"/>
        <v>0</v>
      </c>
      <c r="AY52" s="214">
        <v>33</v>
      </c>
      <c r="AZ52" s="97">
        <v>33</v>
      </c>
      <c r="BA52" s="214">
        <v>35</v>
      </c>
      <c r="BB52" s="99">
        <f t="shared" si="55"/>
        <v>106.06060606060606</v>
      </c>
      <c r="BC52" s="214">
        <v>25</v>
      </c>
      <c r="BD52" s="97">
        <v>25</v>
      </c>
      <c r="BE52" s="214">
        <v>15</v>
      </c>
      <c r="BF52" s="99">
        <f t="shared" si="57"/>
        <v>60</v>
      </c>
      <c r="BG52" s="214">
        <v>0</v>
      </c>
      <c r="BH52" s="97"/>
      <c r="BI52" s="214">
        <v>5</v>
      </c>
      <c r="BJ52" s="99">
        <f t="shared" si="59"/>
        <v>0</v>
      </c>
      <c r="BK52" s="236">
        <f t="shared" si="31"/>
        <v>25</v>
      </c>
      <c r="BL52" s="236">
        <f t="shared" si="32"/>
        <v>25</v>
      </c>
      <c r="BM52" s="236">
        <f t="shared" si="33"/>
        <v>20</v>
      </c>
      <c r="BN52" s="235">
        <f t="shared" si="60"/>
        <v>80</v>
      </c>
      <c r="BO52" s="235">
        <f t="shared" si="34"/>
        <v>117</v>
      </c>
      <c r="BP52" s="235">
        <f t="shared" si="35"/>
        <v>117</v>
      </c>
      <c r="BQ52" s="235">
        <f t="shared" si="36"/>
        <v>90</v>
      </c>
      <c r="BR52" s="235">
        <f t="shared" si="61"/>
        <v>76.923076923076934</v>
      </c>
    </row>
    <row r="53" spans="1:70" ht="31.5" x14ac:dyDescent="0.25">
      <c r="A53" s="174" t="s">
        <v>154</v>
      </c>
      <c r="B53" s="199" t="s">
        <v>3</v>
      </c>
      <c r="C53" s="216">
        <f t="shared" ref="C53:D53" si="248">C54+C55+C70+C74</f>
        <v>10895</v>
      </c>
      <c r="D53" s="216">
        <f t="shared" si="248"/>
        <v>10895</v>
      </c>
      <c r="E53" s="216">
        <f t="shared" ref="E53" si="249">E54+E55+E70+E74</f>
        <v>3550</v>
      </c>
      <c r="F53" s="163">
        <f t="shared" si="38"/>
        <v>32.583754015603489</v>
      </c>
      <c r="G53" s="216">
        <f t="shared" ref="G53:H53" si="250">G54+G55+G70+G74</f>
        <v>0</v>
      </c>
      <c r="H53" s="216">
        <f t="shared" si="250"/>
        <v>0</v>
      </c>
      <c r="I53" s="216">
        <f t="shared" ref="I53" si="251">I54+I55+I70+I74</f>
        <v>0</v>
      </c>
      <c r="J53" s="163">
        <f t="shared" si="40"/>
        <v>0</v>
      </c>
      <c r="K53" s="210">
        <f t="shared" si="41"/>
        <v>10895</v>
      </c>
      <c r="L53" s="210">
        <f t="shared" si="42"/>
        <v>10895</v>
      </c>
      <c r="M53" s="210">
        <f t="shared" si="4"/>
        <v>3550</v>
      </c>
      <c r="N53" s="158">
        <f t="shared" si="43"/>
        <v>32.583754015603489</v>
      </c>
      <c r="O53" s="216">
        <f t="shared" ref="O53" si="252">O54+O55+O70+O74</f>
        <v>0</v>
      </c>
      <c r="P53" s="216"/>
      <c r="Q53" s="216">
        <f t="shared" ref="Q53" si="253">Q54+Q55+Q70+Q74</f>
        <v>0</v>
      </c>
      <c r="R53" s="163" t="e">
        <f t="shared" si="116"/>
        <v>#DIV/0!</v>
      </c>
      <c r="S53" s="216">
        <f t="shared" ref="S53" si="254">S54+S55+S70+S74</f>
        <v>0</v>
      </c>
      <c r="T53" s="162"/>
      <c r="U53" s="216">
        <f t="shared" ref="U53" si="255">U54+U55+U70+U74</f>
        <v>0</v>
      </c>
      <c r="V53" s="163" t="e">
        <f t="shared" si="117"/>
        <v>#DIV/0!</v>
      </c>
      <c r="W53" s="216">
        <f t="shared" ref="W53" si="256">W54+W55+W70+W74</f>
        <v>7318</v>
      </c>
      <c r="X53" s="216">
        <f>X54+X55+X70+X74</f>
        <v>7318</v>
      </c>
      <c r="Y53" s="216">
        <f t="shared" ref="Y53" si="257">Y54+Y55+Y70+Y74</f>
        <v>8318</v>
      </c>
      <c r="Z53" s="163">
        <f t="shared" si="45"/>
        <v>113.66493577480186</v>
      </c>
      <c r="AA53" s="210">
        <f t="shared" si="46"/>
        <v>7318</v>
      </c>
      <c r="AB53" s="210">
        <f t="shared" si="13"/>
        <v>7318</v>
      </c>
      <c r="AC53" s="210">
        <f t="shared" si="13"/>
        <v>8318</v>
      </c>
      <c r="AD53" s="210">
        <f t="shared" si="47"/>
        <v>113.66493577480186</v>
      </c>
      <c r="AE53" s="216">
        <f t="shared" ref="AE53" si="258">AE54+AE55+AE70+AE74</f>
        <v>0</v>
      </c>
      <c r="AF53" s="162"/>
      <c r="AG53" s="216">
        <f t="shared" ref="AG53" si="259">AG54+AG55+AG70+AG74</f>
        <v>0</v>
      </c>
      <c r="AH53" s="163" t="e">
        <f t="shared" si="118"/>
        <v>#DIV/0!</v>
      </c>
      <c r="AI53" s="216">
        <f t="shared" ref="AI53" si="260">AI54+AI55+AI70+AI74</f>
        <v>0</v>
      </c>
      <c r="AJ53" s="162"/>
      <c r="AK53" s="216">
        <f t="shared" ref="AK53" si="261">AK54+AK55+AK70+AK74</f>
        <v>0</v>
      </c>
      <c r="AL53" s="163" t="e">
        <f t="shared" si="119"/>
        <v>#DIV/0!</v>
      </c>
      <c r="AM53" s="216">
        <f t="shared" ref="AM53" si="262">AM54+AM55+AM70+AM74</f>
        <v>0</v>
      </c>
      <c r="AN53" s="162"/>
      <c r="AO53" s="216">
        <f t="shared" ref="AO53" si="263">AO54+AO55+AO70+AO74</f>
        <v>0</v>
      </c>
      <c r="AP53" s="163" t="e">
        <f t="shared" si="120"/>
        <v>#DIV/0!</v>
      </c>
      <c r="AQ53" s="216">
        <f t="shared" ref="AQ53:AR53" si="264">AQ54+AQ55+AQ70+AQ74</f>
        <v>48213</v>
      </c>
      <c r="AR53" s="216">
        <f t="shared" si="264"/>
        <v>48213</v>
      </c>
      <c r="AS53" s="216">
        <f t="shared" ref="AS53" si="265">AS54+AS55+AS70+AS74</f>
        <v>25524</v>
      </c>
      <c r="AT53" s="163">
        <f t="shared" si="49"/>
        <v>52.94007840209072</v>
      </c>
      <c r="AU53" s="210">
        <f t="shared" si="50"/>
        <v>48213</v>
      </c>
      <c r="AV53" s="210">
        <f t="shared" si="51"/>
        <v>48213</v>
      </c>
      <c r="AW53" s="210">
        <f t="shared" si="52"/>
        <v>25524</v>
      </c>
      <c r="AX53" s="210">
        <f t="shared" si="53"/>
        <v>52.94007840209072</v>
      </c>
      <c r="AY53" s="216">
        <f t="shared" ref="AY53:AZ53" si="266">AY54+AY55+AY70+AY74</f>
        <v>16133</v>
      </c>
      <c r="AZ53" s="216">
        <f t="shared" si="266"/>
        <v>16133</v>
      </c>
      <c r="BA53" s="216">
        <f t="shared" ref="BA53" si="267">BA54+BA55+BA70+BA74</f>
        <v>12367</v>
      </c>
      <c r="BB53" s="163">
        <f t="shared" si="55"/>
        <v>76.656542490547324</v>
      </c>
      <c r="BC53" s="216">
        <f t="shared" ref="BC53:BD53" si="268">BC54+BC55+BC70+BC74</f>
        <v>5337</v>
      </c>
      <c r="BD53" s="216">
        <f t="shared" si="268"/>
        <v>5337</v>
      </c>
      <c r="BE53" s="216">
        <f t="shared" ref="BE53" si="269">BE54+BE55+BE70+BE74</f>
        <v>4318</v>
      </c>
      <c r="BF53" s="163">
        <f t="shared" si="57"/>
        <v>80.90687652239086</v>
      </c>
      <c r="BG53" s="216">
        <f t="shared" ref="BG53:BH53" si="270">BG54+BG55+BG70+BG74</f>
        <v>26491</v>
      </c>
      <c r="BH53" s="216">
        <f t="shared" si="270"/>
        <v>26491</v>
      </c>
      <c r="BI53" s="216">
        <f t="shared" ref="BI53" si="271">BI54+BI55+BI70+BI74</f>
        <v>23053</v>
      </c>
      <c r="BJ53" s="163">
        <f t="shared" si="59"/>
        <v>87.022007474236531</v>
      </c>
      <c r="BK53" s="236">
        <f t="shared" si="31"/>
        <v>31828</v>
      </c>
      <c r="BL53" s="236">
        <f t="shared" si="32"/>
        <v>31828</v>
      </c>
      <c r="BM53" s="236">
        <f t="shared" si="33"/>
        <v>27371</v>
      </c>
      <c r="BN53" s="235">
        <f t="shared" si="60"/>
        <v>85.996606761342207</v>
      </c>
      <c r="BO53" s="235">
        <f t="shared" si="34"/>
        <v>114387</v>
      </c>
      <c r="BP53" s="235">
        <f t="shared" si="35"/>
        <v>114387</v>
      </c>
      <c r="BQ53" s="235">
        <f t="shared" si="36"/>
        <v>77130</v>
      </c>
      <c r="BR53" s="235">
        <f t="shared" si="61"/>
        <v>67.428991056676026</v>
      </c>
    </row>
    <row r="54" spans="1:70" s="275" customFormat="1" ht="31.5" x14ac:dyDescent="0.25">
      <c r="A54" s="265" t="s">
        <v>155</v>
      </c>
      <c r="B54" s="274"/>
      <c r="C54" s="269">
        <v>720</v>
      </c>
      <c r="D54" s="195">
        <f t="shared" ref="D54" si="272">ROUND(C54/12*$A$7,0)</f>
        <v>720</v>
      </c>
      <c r="E54" s="269">
        <v>700</v>
      </c>
      <c r="F54" s="99">
        <f t="shared" si="38"/>
        <v>97.222222222222214</v>
      </c>
      <c r="G54" s="269"/>
      <c r="H54" s="195"/>
      <c r="I54" s="269"/>
      <c r="J54" s="99">
        <f t="shared" si="40"/>
        <v>0</v>
      </c>
      <c r="K54" s="152">
        <f t="shared" si="41"/>
        <v>720</v>
      </c>
      <c r="L54" s="152">
        <f t="shared" si="42"/>
        <v>720</v>
      </c>
      <c r="M54" s="152">
        <f t="shared" si="4"/>
        <v>700</v>
      </c>
      <c r="N54" s="152">
        <f t="shared" si="43"/>
        <v>97.222222222222214</v>
      </c>
      <c r="O54" s="269"/>
      <c r="P54" s="269"/>
      <c r="Q54" s="269"/>
      <c r="R54" s="99" t="e">
        <f t="shared" si="116"/>
        <v>#DIV/0!</v>
      </c>
      <c r="S54" s="269"/>
      <c r="T54" s="195"/>
      <c r="U54" s="269"/>
      <c r="V54" s="99" t="e">
        <f t="shared" si="117"/>
        <v>#DIV/0!</v>
      </c>
      <c r="W54" s="269">
        <v>1237</v>
      </c>
      <c r="X54" s="195">
        <f t="shared" ref="X54" si="273">ROUND(W54/12*$A$7,0)</f>
        <v>1237</v>
      </c>
      <c r="Y54" s="269">
        <v>668</v>
      </c>
      <c r="Z54" s="99">
        <f t="shared" si="45"/>
        <v>54.001616814874694</v>
      </c>
      <c r="AA54" s="152">
        <f t="shared" si="46"/>
        <v>1237</v>
      </c>
      <c r="AB54" s="152">
        <f t="shared" si="13"/>
        <v>1237</v>
      </c>
      <c r="AC54" s="152">
        <f t="shared" si="13"/>
        <v>668</v>
      </c>
      <c r="AD54" s="152">
        <f t="shared" si="47"/>
        <v>54.001616814874694</v>
      </c>
      <c r="AE54" s="269"/>
      <c r="AF54" s="195"/>
      <c r="AG54" s="269"/>
      <c r="AH54" s="99" t="e">
        <f t="shared" si="118"/>
        <v>#DIV/0!</v>
      </c>
      <c r="AI54" s="269"/>
      <c r="AJ54" s="195"/>
      <c r="AK54" s="269"/>
      <c r="AL54" s="99" t="e">
        <f t="shared" si="119"/>
        <v>#DIV/0!</v>
      </c>
      <c r="AM54" s="269"/>
      <c r="AN54" s="195"/>
      <c r="AO54" s="269"/>
      <c r="AP54" s="99" t="e">
        <f t="shared" si="120"/>
        <v>#DIV/0!</v>
      </c>
      <c r="AQ54" s="269">
        <v>6776</v>
      </c>
      <c r="AR54" s="195">
        <f t="shared" ref="AR54" si="274">ROUND(AQ54/12*$A$7,0)</f>
        <v>6776</v>
      </c>
      <c r="AS54" s="269">
        <v>1924</v>
      </c>
      <c r="AT54" s="99">
        <f t="shared" si="49"/>
        <v>28.394332939787486</v>
      </c>
      <c r="AU54" s="152">
        <f t="shared" si="50"/>
        <v>6776</v>
      </c>
      <c r="AV54" s="152">
        <f t="shared" si="51"/>
        <v>6776</v>
      </c>
      <c r="AW54" s="152">
        <f t="shared" si="52"/>
        <v>1924</v>
      </c>
      <c r="AX54" s="152">
        <f t="shared" si="53"/>
        <v>28.394332939787486</v>
      </c>
      <c r="AY54" s="269">
        <v>2000</v>
      </c>
      <c r="AZ54" s="195">
        <f t="shared" ref="AZ54" si="275">ROUND(AY54/12*$A$7,0)</f>
        <v>2000</v>
      </c>
      <c r="BA54" s="269">
        <v>1482</v>
      </c>
      <c r="BB54" s="99">
        <f t="shared" si="55"/>
        <v>74.099999999999994</v>
      </c>
      <c r="BC54" s="269">
        <v>30</v>
      </c>
      <c r="BD54" s="195">
        <f t="shared" ref="BD54" si="276">ROUND(BC54/12*$A$7,0)</f>
        <v>30</v>
      </c>
      <c r="BE54" s="269">
        <v>30</v>
      </c>
      <c r="BF54" s="99">
        <f t="shared" si="57"/>
        <v>100</v>
      </c>
      <c r="BG54" s="269">
        <v>300</v>
      </c>
      <c r="BH54" s="195">
        <f t="shared" ref="BH54" si="277">ROUND(BG54/12*$A$7,0)</f>
        <v>300</v>
      </c>
      <c r="BI54" s="269">
        <v>251</v>
      </c>
      <c r="BJ54" s="99">
        <f t="shared" si="59"/>
        <v>83.666666666666671</v>
      </c>
      <c r="BK54" s="279">
        <f t="shared" si="31"/>
        <v>330</v>
      </c>
      <c r="BL54" s="279">
        <f t="shared" si="32"/>
        <v>330</v>
      </c>
      <c r="BM54" s="236">
        <f t="shared" si="33"/>
        <v>281</v>
      </c>
      <c r="BN54" s="278">
        <f t="shared" si="60"/>
        <v>85.151515151515156</v>
      </c>
      <c r="BO54" s="278">
        <f t="shared" si="34"/>
        <v>11063</v>
      </c>
      <c r="BP54" s="278">
        <f t="shared" si="35"/>
        <v>11063</v>
      </c>
      <c r="BQ54" s="278">
        <f t="shared" si="36"/>
        <v>5055</v>
      </c>
      <c r="BR54" s="278">
        <f t="shared" si="61"/>
        <v>45.692850040676127</v>
      </c>
    </row>
    <row r="55" spans="1:70" ht="31.5" x14ac:dyDescent="0.25">
      <c r="A55" s="180" t="s">
        <v>204</v>
      </c>
      <c r="B55" s="196" t="s">
        <v>3</v>
      </c>
      <c r="C55" s="217">
        <f t="shared" ref="C55:D55" si="278">C56*4+C57+C58*3+C59*6+C60*2+C61*7+C62*2+C63*4+C64*8+C65*8+C66*3+C67*2+C68*7+C69*9</f>
        <v>5509</v>
      </c>
      <c r="D55" s="217">
        <f t="shared" si="278"/>
        <v>5509</v>
      </c>
      <c r="E55" s="217">
        <f t="shared" ref="E55" si="279">E56*4+E57+E58*3+E59*6+E60*2+E61*7+E62*2+E63*4+E64*8+E65*8+E66*3+E67*2+E68*7+E69*9</f>
        <v>2662</v>
      </c>
      <c r="F55" s="117">
        <f t="shared" si="38"/>
        <v>48.320929388273733</v>
      </c>
      <c r="G55" s="217">
        <f t="shared" ref="G55" si="280">G56*4+G57+G58*3+G59*6+G60*2+G61*7+G62*2+G63*4+G64*8+G65*8+G66*3+G67*2+G68*7+G69*9</f>
        <v>0</v>
      </c>
      <c r="H55" s="115">
        <f t="shared" si="222"/>
        <v>0</v>
      </c>
      <c r="I55" s="217">
        <f t="shared" ref="I55" si="281">I56*4+I57+I58*3+I59*6+I60*2+I61*7+I62*2+I63*4+I64*8+I65*8+I66*3+I67*2+I68*7+I69*9</f>
        <v>0</v>
      </c>
      <c r="J55" s="117">
        <f t="shared" si="40"/>
        <v>0</v>
      </c>
      <c r="K55" s="210">
        <f t="shared" si="41"/>
        <v>5509</v>
      </c>
      <c r="L55" s="210">
        <f t="shared" si="42"/>
        <v>5509</v>
      </c>
      <c r="M55" s="210">
        <f t="shared" si="4"/>
        <v>2662</v>
      </c>
      <c r="N55" s="158">
        <f t="shared" si="43"/>
        <v>48.320929388273733</v>
      </c>
      <c r="O55" s="217">
        <f t="shared" ref="O55" si="282">O56*4+O57+O58*3+O59*6+O60*2+O61*7+O62*2+O63*4+O64*8+O65*8+O66*3+O67*2+O68*7+O69*9</f>
        <v>0</v>
      </c>
      <c r="P55" s="115"/>
      <c r="Q55" s="217">
        <f t="shared" ref="Q55" si="283">Q56*4+Q57+Q58*3+Q59*6+Q60*2+Q61*7+Q62*2+Q63*4+Q64*8+Q65*8+Q66*3+Q67*2+Q68*7+Q69*9</f>
        <v>0</v>
      </c>
      <c r="R55" s="117" t="e">
        <f t="shared" si="116"/>
        <v>#DIV/0!</v>
      </c>
      <c r="S55" s="217"/>
      <c r="T55" s="115"/>
      <c r="U55" s="217">
        <f t="shared" ref="U55" si="284">U56*4+U57+U58*3+U59*6+U60*2+U61*7+U62*2+U63*4+U64*8+U65*8+U66*3+U67*2+U68*7+U69*9</f>
        <v>0</v>
      </c>
      <c r="V55" s="117" t="e">
        <f t="shared" si="117"/>
        <v>#DIV/0!</v>
      </c>
      <c r="W55" s="217">
        <f t="shared" ref="W55:X55" si="285">W56*4+W57+W58*3+W59*6+W60*2+W61*7+W62*2+W63*4+W64*8+W65*8+W66*3+W67*2+W68*7+W69*9</f>
        <v>5785</v>
      </c>
      <c r="X55" s="217">
        <f t="shared" si="285"/>
        <v>5785</v>
      </c>
      <c r="Y55" s="217">
        <f t="shared" ref="Y55" si="286">Y56*4+Y57+Y58*3+Y59*6+Y60*2+Y61*7+Y62*2+Y63*4+Y64*8+Y65*8+Y66*3+Y67*2+Y68*7+Y69*9</f>
        <v>7041</v>
      </c>
      <c r="Z55" s="117">
        <f t="shared" si="45"/>
        <v>121.71132238547968</v>
      </c>
      <c r="AA55" s="210">
        <f t="shared" si="46"/>
        <v>5785</v>
      </c>
      <c r="AB55" s="210">
        <f t="shared" si="13"/>
        <v>5785</v>
      </c>
      <c r="AC55" s="210">
        <f t="shared" si="13"/>
        <v>7041</v>
      </c>
      <c r="AD55" s="210">
        <f t="shared" si="47"/>
        <v>121.71132238547968</v>
      </c>
      <c r="AE55" s="217">
        <f t="shared" ref="AE55" si="287">AE56*4+AE57+AE58*3+AE59*6+AE60*2+AE61*7+AE62*2+AE63*4+AE64*8+AE65*8+AE66*3+AE67*2+AE68*7+AE69*9</f>
        <v>0</v>
      </c>
      <c r="AF55" s="115"/>
      <c r="AG55" s="217">
        <f t="shared" ref="AG55" si="288">AG56*4+AG57+AG58*3+AG59*6+AG60*2+AG61*7+AG62*2+AG63*4+AG64*8+AG65*8+AG66*3+AG67*2+AG68*7+AG69*9</f>
        <v>0</v>
      </c>
      <c r="AH55" s="117" t="e">
        <f t="shared" si="118"/>
        <v>#DIV/0!</v>
      </c>
      <c r="AI55" s="217">
        <f t="shared" ref="AI55" si="289">AI56*4+AI57+AI58*3+AI59*6+AI60*2+AI61*7+AI62*2+AI63*4+AI64*8+AI65*8+AI66*3+AI67*2+AI68*7+AI69*9</f>
        <v>0</v>
      </c>
      <c r="AJ55" s="115"/>
      <c r="AK55" s="217">
        <f t="shared" ref="AK55" si="290">AK56*4+AK57+AK58*3+AK59*6+AK60*2+AK61*7+AK62*2+AK63*4+AK64*8+AK65*8+AK66*3+AK67*2+AK68*7+AK69*9</f>
        <v>0</v>
      </c>
      <c r="AL55" s="117" t="e">
        <f t="shared" si="119"/>
        <v>#DIV/0!</v>
      </c>
      <c r="AM55" s="217">
        <f t="shared" ref="AM55" si="291">AM56*4+AM57+AM58*3+AM59*6+AM60*2+AM61*7+AM62*2+AM63*4+AM64*8+AM65*8+AM66*3+AM67*2+AM68*7+AM69*9</f>
        <v>0</v>
      </c>
      <c r="AN55" s="115"/>
      <c r="AO55" s="217">
        <f t="shared" ref="AO55" si="292">AO56*4+AO57+AO58*3+AO59*6+AO60*2+AO61*7+AO62*2+AO63*4+AO64*8+AO65*8+AO66*3+AO67*2+AO68*7+AO69*9</f>
        <v>0</v>
      </c>
      <c r="AP55" s="117" t="e">
        <f t="shared" si="120"/>
        <v>#DIV/0!</v>
      </c>
      <c r="AQ55" s="217">
        <f t="shared" ref="AQ55:AR55" si="293">AQ56*4+AQ57+AQ58*3+AQ59*6+AQ60*2+AQ61*7+AQ62*2+AQ63*4+AQ64*8+AQ65*8+AQ66*3+AQ67*2+AQ68*7+AQ69*9</f>
        <v>27458</v>
      </c>
      <c r="AR55" s="217">
        <f t="shared" si="293"/>
        <v>27458</v>
      </c>
      <c r="AS55" s="217">
        <f t="shared" ref="AS55" si="294">AS56*4+AS57+AS58*3+AS59*6+AS60*2+AS61*7+AS62*2+AS63*4+AS64*8+AS65*8+AS66*3+AS67*2+AS68*7+AS69*9</f>
        <v>13368</v>
      </c>
      <c r="AT55" s="117">
        <f t="shared" si="49"/>
        <v>48.685264768009326</v>
      </c>
      <c r="AU55" s="210">
        <f t="shared" si="50"/>
        <v>27458</v>
      </c>
      <c r="AV55" s="210">
        <f t="shared" si="51"/>
        <v>27458</v>
      </c>
      <c r="AW55" s="210">
        <f t="shared" si="52"/>
        <v>13368</v>
      </c>
      <c r="AX55" s="210">
        <f t="shared" si="53"/>
        <v>48.685264768009326</v>
      </c>
      <c r="AY55" s="217">
        <f t="shared" ref="AY55:AZ55" si="295">AY56*4+AY57+AY58*3+AY59*6+AY60*2+AY61*7+AY62*2+AY63*4+AY64*8+AY65*8+AY66*3+AY67*2+AY68*7+AY69*9</f>
        <v>10078</v>
      </c>
      <c r="AZ55" s="217">
        <f t="shared" si="295"/>
        <v>10078</v>
      </c>
      <c r="BA55" s="217">
        <f t="shared" ref="BA55" si="296">BA56*4+BA57+BA58*3+BA59*6+BA60*2+BA61*7+BA62*2+BA63*4+BA64*8+BA65*8+BA66*3+BA67*2+BA68*7+BA69*9</f>
        <v>7562</v>
      </c>
      <c r="BB55" s="117">
        <f t="shared" si="55"/>
        <v>75.034729112919223</v>
      </c>
      <c r="BC55" s="217">
        <f t="shared" ref="BC55:BD55" si="297">BC56*4+BC57+BC58*3+BC59*6+BC60*2+BC61*7+BC62*2+BC63*4+BC64*8+BC65*8+BC66*3+BC67*2+BC68*7+BC69*9</f>
        <v>2778</v>
      </c>
      <c r="BD55" s="217">
        <f t="shared" si="297"/>
        <v>2778</v>
      </c>
      <c r="BE55" s="217">
        <f t="shared" ref="BE55" si="298">BE56*4+BE57+BE58*3+BE59*6+BE60*2+BE61*7+BE62*2+BE63*4+BE64*8+BE65*8+BE66*3+BE67*2+BE68*7+BE69*9</f>
        <v>2472</v>
      </c>
      <c r="BF55" s="117">
        <f t="shared" si="57"/>
        <v>88.984881209503243</v>
      </c>
      <c r="BG55" s="217">
        <f t="shared" ref="BG55:BH55" si="299">BG56*4+BG57+BG58*3+BG59*6+BG60*2+BG61*7+BG62*2+BG63*4+BG64*8+BG65*8+BG66*3+BG67*2+BG68*7+BG69*9</f>
        <v>20711</v>
      </c>
      <c r="BH55" s="217">
        <f t="shared" si="299"/>
        <v>20711</v>
      </c>
      <c r="BI55" s="217">
        <f t="shared" ref="BI55" si="300">BI56*4+BI57+BI58*3+BI59*6+BI60*2+BI61*7+BI62*2+BI63*4+BI64*8+BI65*8+BI66*3+BI67*2+BI68*7+BI69*9</f>
        <v>20804</v>
      </c>
      <c r="BJ55" s="117">
        <f t="shared" si="59"/>
        <v>100.44903674375935</v>
      </c>
      <c r="BK55" s="236">
        <f t="shared" si="31"/>
        <v>23489</v>
      </c>
      <c r="BL55" s="236">
        <f t="shared" si="32"/>
        <v>23489</v>
      </c>
      <c r="BM55" s="236">
        <f t="shared" si="33"/>
        <v>23276</v>
      </c>
      <c r="BN55" s="235">
        <f t="shared" si="60"/>
        <v>99.093192558218746</v>
      </c>
      <c r="BO55" s="235">
        <f t="shared" si="34"/>
        <v>72319</v>
      </c>
      <c r="BP55" s="235">
        <f t="shared" si="35"/>
        <v>72319</v>
      </c>
      <c r="BQ55" s="235">
        <f t="shared" si="36"/>
        <v>53909</v>
      </c>
      <c r="BR55" s="235">
        <f t="shared" si="61"/>
        <v>74.543342690026137</v>
      </c>
    </row>
    <row r="56" spans="1:70" ht="31.5" x14ac:dyDescent="0.25">
      <c r="A56" s="183" t="s">
        <v>157</v>
      </c>
      <c r="B56" s="201" t="s">
        <v>339</v>
      </c>
      <c r="C56" s="214">
        <v>49</v>
      </c>
      <c r="D56" s="97">
        <f t="shared" si="247"/>
        <v>49</v>
      </c>
      <c r="E56" s="214">
        <v>0</v>
      </c>
      <c r="F56" s="99">
        <f t="shared" si="38"/>
        <v>0</v>
      </c>
      <c r="G56" s="214"/>
      <c r="H56" s="97">
        <f t="shared" si="222"/>
        <v>0</v>
      </c>
      <c r="I56" s="214"/>
      <c r="J56" s="99">
        <f t="shared" si="40"/>
        <v>0</v>
      </c>
      <c r="K56" s="210">
        <f t="shared" si="41"/>
        <v>49</v>
      </c>
      <c r="L56" s="210">
        <f t="shared" si="42"/>
        <v>49</v>
      </c>
      <c r="M56" s="210">
        <f t="shared" si="4"/>
        <v>0</v>
      </c>
      <c r="N56" s="158">
        <f t="shared" si="43"/>
        <v>0</v>
      </c>
      <c r="O56" s="214"/>
      <c r="P56" s="214"/>
      <c r="Q56" s="214"/>
      <c r="R56" s="99" t="e">
        <f t="shared" si="116"/>
        <v>#DIV/0!</v>
      </c>
      <c r="S56" s="214"/>
      <c r="T56" s="97"/>
      <c r="U56" s="214"/>
      <c r="V56" s="99" t="e">
        <f t="shared" si="117"/>
        <v>#DIV/0!</v>
      </c>
      <c r="W56" s="330">
        <v>33</v>
      </c>
      <c r="X56" s="97">
        <f t="shared" ref="X56:X69" si="301">ROUND(W56/12*$A$7,0)</f>
        <v>33</v>
      </c>
      <c r="Y56" s="214">
        <v>0</v>
      </c>
      <c r="Z56" s="99">
        <f t="shared" si="45"/>
        <v>0</v>
      </c>
      <c r="AA56" s="210">
        <f t="shared" si="46"/>
        <v>33</v>
      </c>
      <c r="AB56" s="210">
        <f t="shared" si="13"/>
        <v>33</v>
      </c>
      <c r="AC56" s="210">
        <f t="shared" si="13"/>
        <v>0</v>
      </c>
      <c r="AD56" s="210">
        <f t="shared" si="47"/>
        <v>0</v>
      </c>
      <c r="AE56" s="214"/>
      <c r="AF56" s="97"/>
      <c r="AG56" s="214"/>
      <c r="AH56" s="99" t="e">
        <f t="shared" si="118"/>
        <v>#DIV/0!</v>
      </c>
      <c r="AI56" s="214"/>
      <c r="AJ56" s="97"/>
      <c r="AK56" s="214"/>
      <c r="AL56" s="99" t="e">
        <f t="shared" si="119"/>
        <v>#DIV/0!</v>
      </c>
      <c r="AM56" s="214"/>
      <c r="AN56" s="97"/>
      <c r="AO56" s="214"/>
      <c r="AP56" s="99" t="e">
        <f t="shared" si="120"/>
        <v>#DIV/0!</v>
      </c>
      <c r="AQ56" s="214">
        <v>400</v>
      </c>
      <c r="AR56" s="214">
        <v>400</v>
      </c>
      <c r="AS56" s="214">
        <v>114</v>
      </c>
      <c r="AT56" s="99">
        <f t="shared" si="49"/>
        <v>28.499999999999996</v>
      </c>
      <c r="AU56" s="210">
        <f t="shared" si="50"/>
        <v>400</v>
      </c>
      <c r="AV56" s="210">
        <f t="shared" si="51"/>
        <v>400</v>
      </c>
      <c r="AW56" s="210">
        <f t="shared" si="52"/>
        <v>114</v>
      </c>
      <c r="AX56" s="210">
        <f t="shared" si="53"/>
        <v>28.499999999999996</v>
      </c>
      <c r="AY56" s="214">
        <v>137</v>
      </c>
      <c r="AZ56" s="97">
        <f t="shared" ref="AZ56:AZ61" si="302">ROUND(AY56/12*$A$7,0)</f>
        <v>137</v>
      </c>
      <c r="BA56" s="214">
        <v>23</v>
      </c>
      <c r="BB56" s="99">
        <f t="shared" si="55"/>
        <v>16.788321167883211</v>
      </c>
      <c r="BC56" s="214"/>
      <c r="BD56" s="97">
        <f t="shared" si="223"/>
        <v>0</v>
      </c>
      <c r="BE56" s="214">
        <v>2</v>
      </c>
      <c r="BF56" s="99">
        <f t="shared" si="57"/>
        <v>0</v>
      </c>
      <c r="BG56" s="214">
        <v>384</v>
      </c>
      <c r="BH56" s="97">
        <f t="shared" ref="BH56:BH61" si="303">ROUND(BG56/12*$A$7,0)</f>
        <v>384</v>
      </c>
      <c r="BI56" s="214">
        <v>105</v>
      </c>
      <c r="BJ56" s="99">
        <f t="shared" si="59"/>
        <v>27.34375</v>
      </c>
      <c r="BK56" s="236">
        <f t="shared" si="31"/>
        <v>384</v>
      </c>
      <c r="BL56" s="236">
        <f t="shared" si="32"/>
        <v>384</v>
      </c>
      <c r="BM56" s="236">
        <f t="shared" si="33"/>
        <v>107</v>
      </c>
      <c r="BN56" s="235">
        <f t="shared" si="60"/>
        <v>27.864583333333332</v>
      </c>
      <c r="BO56" s="235">
        <f t="shared" si="34"/>
        <v>1003</v>
      </c>
      <c r="BP56" s="235">
        <f t="shared" si="35"/>
        <v>1003</v>
      </c>
      <c r="BQ56" s="235">
        <f t="shared" si="36"/>
        <v>244</v>
      </c>
      <c r="BR56" s="235">
        <f t="shared" si="61"/>
        <v>24.32701894317049</v>
      </c>
    </row>
    <row r="57" spans="1:70" ht="63" x14ac:dyDescent="0.25">
      <c r="A57" s="183" t="s">
        <v>158</v>
      </c>
      <c r="B57" s="201" t="s">
        <v>339</v>
      </c>
      <c r="C57" s="214">
        <v>173</v>
      </c>
      <c r="D57" s="97">
        <f t="shared" si="247"/>
        <v>173</v>
      </c>
      <c r="E57" s="214">
        <v>400</v>
      </c>
      <c r="F57" s="99">
        <f t="shared" si="38"/>
        <v>231.21387283236996</v>
      </c>
      <c r="G57" s="214"/>
      <c r="H57" s="97">
        <f t="shared" si="222"/>
        <v>0</v>
      </c>
      <c r="I57" s="214"/>
      <c r="J57" s="99">
        <f t="shared" si="40"/>
        <v>0</v>
      </c>
      <c r="K57" s="210">
        <f t="shared" si="41"/>
        <v>173</v>
      </c>
      <c r="L57" s="210">
        <f t="shared" si="42"/>
        <v>173</v>
      </c>
      <c r="M57" s="210">
        <f t="shared" si="4"/>
        <v>400</v>
      </c>
      <c r="N57" s="158">
        <f t="shared" si="43"/>
        <v>231.21387283236996</v>
      </c>
      <c r="O57" s="214"/>
      <c r="P57" s="214"/>
      <c r="Q57" s="214"/>
      <c r="R57" s="99" t="e">
        <f t="shared" si="116"/>
        <v>#DIV/0!</v>
      </c>
      <c r="S57" s="214"/>
      <c r="T57" s="97"/>
      <c r="U57" s="214"/>
      <c r="V57" s="99" t="e">
        <f t="shared" si="117"/>
        <v>#DIV/0!</v>
      </c>
      <c r="W57" s="330">
        <v>330</v>
      </c>
      <c r="X57" s="97">
        <f t="shared" si="301"/>
        <v>330</v>
      </c>
      <c r="Y57" s="214">
        <v>852</v>
      </c>
      <c r="Z57" s="99">
        <f t="shared" si="45"/>
        <v>258.18181818181819</v>
      </c>
      <c r="AA57" s="210">
        <f t="shared" si="46"/>
        <v>330</v>
      </c>
      <c r="AB57" s="210">
        <f t="shared" si="13"/>
        <v>330</v>
      </c>
      <c r="AC57" s="210">
        <f t="shared" si="13"/>
        <v>852</v>
      </c>
      <c r="AD57" s="210">
        <f t="shared" si="47"/>
        <v>258.18181818181819</v>
      </c>
      <c r="AE57" s="214"/>
      <c r="AF57" s="97"/>
      <c r="AG57" s="214"/>
      <c r="AH57" s="99" t="e">
        <f t="shared" si="118"/>
        <v>#DIV/0!</v>
      </c>
      <c r="AI57" s="214"/>
      <c r="AJ57" s="97"/>
      <c r="AK57" s="214"/>
      <c r="AL57" s="99" t="e">
        <f t="shared" si="119"/>
        <v>#DIV/0!</v>
      </c>
      <c r="AM57" s="214"/>
      <c r="AN57" s="97"/>
      <c r="AO57" s="214"/>
      <c r="AP57" s="99" t="e">
        <f t="shared" si="120"/>
        <v>#DIV/0!</v>
      </c>
      <c r="AQ57" s="214">
        <v>1620</v>
      </c>
      <c r="AR57" s="214">
        <v>1620</v>
      </c>
      <c r="AS57" s="214">
        <v>1922</v>
      </c>
      <c r="AT57" s="99">
        <f t="shared" si="49"/>
        <v>118.64197530864197</v>
      </c>
      <c r="AU57" s="210">
        <f t="shared" si="50"/>
        <v>1620</v>
      </c>
      <c r="AV57" s="210">
        <f t="shared" si="51"/>
        <v>1620</v>
      </c>
      <c r="AW57" s="210">
        <f t="shared" si="52"/>
        <v>1922</v>
      </c>
      <c r="AX57" s="210">
        <f t="shared" si="53"/>
        <v>118.64197530864197</v>
      </c>
      <c r="AY57" s="214">
        <v>505</v>
      </c>
      <c r="AZ57" s="97">
        <f t="shared" si="302"/>
        <v>505</v>
      </c>
      <c r="BA57" s="214">
        <v>866</v>
      </c>
      <c r="BB57" s="99">
        <f t="shared" si="55"/>
        <v>171.48514851485149</v>
      </c>
      <c r="BC57" s="214">
        <v>1249</v>
      </c>
      <c r="BD57" s="97">
        <f t="shared" si="223"/>
        <v>1249</v>
      </c>
      <c r="BE57" s="214">
        <v>721</v>
      </c>
      <c r="BF57" s="99">
        <f t="shared" si="57"/>
        <v>57.726180944755804</v>
      </c>
      <c r="BG57" s="214">
        <v>1931</v>
      </c>
      <c r="BH57" s="97">
        <f t="shared" si="303"/>
        <v>1931</v>
      </c>
      <c r="BI57" s="214">
        <v>2312</v>
      </c>
      <c r="BJ57" s="99">
        <f t="shared" si="59"/>
        <v>119.73070947695494</v>
      </c>
      <c r="BK57" s="236">
        <f t="shared" si="31"/>
        <v>3180</v>
      </c>
      <c r="BL57" s="236">
        <f t="shared" si="32"/>
        <v>3180</v>
      </c>
      <c r="BM57" s="236">
        <f t="shared" si="33"/>
        <v>3033</v>
      </c>
      <c r="BN57" s="235">
        <f t="shared" si="60"/>
        <v>95.377358490566039</v>
      </c>
      <c r="BO57" s="235">
        <f t="shared" si="34"/>
        <v>5808</v>
      </c>
      <c r="BP57" s="235">
        <f t="shared" si="35"/>
        <v>5808</v>
      </c>
      <c r="BQ57" s="235">
        <f t="shared" si="36"/>
        <v>7073</v>
      </c>
      <c r="BR57" s="235">
        <f t="shared" si="61"/>
        <v>121.78030303030303</v>
      </c>
    </row>
    <row r="58" spans="1:70" ht="31.5" x14ac:dyDescent="0.2">
      <c r="A58" s="183" t="s">
        <v>198</v>
      </c>
      <c r="B58" s="201" t="s">
        <v>339</v>
      </c>
      <c r="C58" s="214">
        <v>115</v>
      </c>
      <c r="D58" s="97">
        <f t="shared" si="247"/>
        <v>115</v>
      </c>
      <c r="E58" s="214">
        <v>17</v>
      </c>
      <c r="F58" s="99">
        <f t="shared" si="38"/>
        <v>14.782608695652174</v>
      </c>
      <c r="G58" s="214"/>
      <c r="H58" s="97">
        <f t="shared" si="222"/>
        <v>0</v>
      </c>
      <c r="I58" s="214"/>
      <c r="J58" s="99">
        <f t="shared" si="40"/>
        <v>0</v>
      </c>
      <c r="K58" s="210">
        <f t="shared" si="41"/>
        <v>115</v>
      </c>
      <c r="L58" s="210">
        <f t="shared" si="42"/>
        <v>115</v>
      </c>
      <c r="M58" s="210">
        <f t="shared" si="4"/>
        <v>17</v>
      </c>
      <c r="N58" s="158">
        <f t="shared" si="43"/>
        <v>14.782608695652174</v>
      </c>
      <c r="O58" s="214"/>
      <c r="P58" s="214"/>
      <c r="Q58" s="214"/>
      <c r="R58" s="99" t="e">
        <f t="shared" si="116"/>
        <v>#DIV/0!</v>
      </c>
      <c r="S58" s="214"/>
      <c r="T58" s="97"/>
      <c r="U58" s="214"/>
      <c r="V58" s="99" t="e">
        <f t="shared" si="117"/>
        <v>#DIV/0!</v>
      </c>
      <c r="W58" s="498">
        <v>54</v>
      </c>
      <c r="X58" s="97">
        <f t="shared" si="301"/>
        <v>54</v>
      </c>
      <c r="Y58" s="214">
        <v>1</v>
      </c>
      <c r="Z58" s="99">
        <f t="shared" si="45"/>
        <v>1.8518518518518516</v>
      </c>
      <c r="AA58" s="210">
        <f t="shared" si="46"/>
        <v>54</v>
      </c>
      <c r="AB58" s="210">
        <f t="shared" si="13"/>
        <v>54</v>
      </c>
      <c r="AC58" s="210">
        <f t="shared" si="13"/>
        <v>1</v>
      </c>
      <c r="AD58" s="210">
        <f t="shared" si="47"/>
        <v>1.8518518518518516</v>
      </c>
      <c r="AE58" s="214"/>
      <c r="AF58" s="97"/>
      <c r="AG58" s="214"/>
      <c r="AH58" s="99" t="e">
        <f t="shared" si="118"/>
        <v>#DIV/0!</v>
      </c>
      <c r="AI58" s="214"/>
      <c r="AJ58" s="97"/>
      <c r="AK58" s="214"/>
      <c r="AL58" s="99" t="e">
        <f t="shared" si="119"/>
        <v>#DIV/0!</v>
      </c>
      <c r="AM58" s="214"/>
      <c r="AN58" s="97"/>
      <c r="AO58" s="214"/>
      <c r="AP58" s="99" t="e">
        <f t="shared" si="120"/>
        <v>#DIV/0!</v>
      </c>
      <c r="AQ58" s="214">
        <v>414</v>
      </c>
      <c r="AR58" s="214">
        <v>414</v>
      </c>
      <c r="AS58" s="214">
        <v>249</v>
      </c>
      <c r="AT58" s="99">
        <f t="shared" si="49"/>
        <v>60.144927536231883</v>
      </c>
      <c r="AU58" s="210">
        <f t="shared" si="50"/>
        <v>414</v>
      </c>
      <c r="AV58" s="210">
        <f t="shared" si="51"/>
        <v>414</v>
      </c>
      <c r="AW58" s="210">
        <f t="shared" si="52"/>
        <v>249</v>
      </c>
      <c r="AX58" s="210">
        <f t="shared" si="53"/>
        <v>60.144927536231883</v>
      </c>
      <c r="AY58" s="214">
        <v>274</v>
      </c>
      <c r="AZ58" s="97">
        <f t="shared" si="302"/>
        <v>274</v>
      </c>
      <c r="BA58" s="214">
        <v>51</v>
      </c>
      <c r="BB58" s="99">
        <f t="shared" si="55"/>
        <v>18.613138686131386</v>
      </c>
      <c r="BC58" s="214"/>
      <c r="BD58" s="97">
        <f t="shared" si="223"/>
        <v>0</v>
      </c>
      <c r="BE58" s="214">
        <v>6</v>
      </c>
      <c r="BF58" s="99">
        <f t="shared" si="57"/>
        <v>0</v>
      </c>
      <c r="BG58" s="214">
        <v>784</v>
      </c>
      <c r="BH58" s="97">
        <f t="shared" si="303"/>
        <v>784</v>
      </c>
      <c r="BI58" s="214">
        <v>244</v>
      </c>
      <c r="BJ58" s="99">
        <f t="shared" si="59"/>
        <v>31.122448979591837</v>
      </c>
      <c r="BK58" s="236">
        <f t="shared" si="31"/>
        <v>784</v>
      </c>
      <c r="BL58" s="236">
        <f t="shared" si="32"/>
        <v>784</v>
      </c>
      <c r="BM58" s="236">
        <f t="shared" si="33"/>
        <v>250</v>
      </c>
      <c r="BN58" s="235">
        <f t="shared" si="60"/>
        <v>31.887755102040817</v>
      </c>
      <c r="BO58" s="235">
        <f t="shared" si="34"/>
        <v>1641</v>
      </c>
      <c r="BP58" s="235">
        <f t="shared" si="35"/>
        <v>1641</v>
      </c>
      <c r="BQ58" s="235">
        <f t="shared" si="36"/>
        <v>568</v>
      </c>
      <c r="BR58" s="235">
        <f t="shared" si="61"/>
        <v>34.613040828762948</v>
      </c>
    </row>
    <row r="59" spans="1:70" ht="31.5" x14ac:dyDescent="0.2">
      <c r="A59" s="183" t="s">
        <v>159</v>
      </c>
      <c r="B59" s="201" t="s">
        <v>339</v>
      </c>
      <c r="C59" s="214">
        <v>60</v>
      </c>
      <c r="D59" s="97">
        <f t="shared" si="247"/>
        <v>60</v>
      </c>
      <c r="E59" s="214">
        <v>12</v>
      </c>
      <c r="F59" s="99">
        <f t="shared" si="38"/>
        <v>20</v>
      </c>
      <c r="G59" s="214"/>
      <c r="H59" s="97">
        <f t="shared" si="222"/>
        <v>0</v>
      </c>
      <c r="I59" s="214"/>
      <c r="J59" s="99">
        <f t="shared" si="40"/>
        <v>0</v>
      </c>
      <c r="K59" s="210">
        <f t="shared" si="41"/>
        <v>60</v>
      </c>
      <c r="L59" s="210">
        <f t="shared" si="42"/>
        <v>60</v>
      </c>
      <c r="M59" s="210">
        <f t="shared" si="4"/>
        <v>12</v>
      </c>
      <c r="N59" s="158">
        <f t="shared" si="43"/>
        <v>20</v>
      </c>
      <c r="O59" s="214"/>
      <c r="P59" s="214"/>
      <c r="Q59" s="214"/>
      <c r="R59" s="99" t="e">
        <f t="shared" si="116"/>
        <v>#DIV/0!</v>
      </c>
      <c r="S59" s="214"/>
      <c r="T59" s="97"/>
      <c r="U59" s="214"/>
      <c r="V59" s="99" t="e">
        <f t="shared" si="117"/>
        <v>#DIV/0!</v>
      </c>
      <c r="W59" s="214">
        <v>55</v>
      </c>
      <c r="X59" s="97">
        <f t="shared" si="301"/>
        <v>55</v>
      </c>
      <c r="Y59" s="214">
        <v>0</v>
      </c>
      <c r="Z59" s="99">
        <f t="shared" si="45"/>
        <v>0</v>
      </c>
      <c r="AA59" s="210">
        <f t="shared" si="46"/>
        <v>55</v>
      </c>
      <c r="AB59" s="210">
        <f t="shared" si="13"/>
        <v>55</v>
      </c>
      <c r="AC59" s="210">
        <f t="shared" si="13"/>
        <v>0</v>
      </c>
      <c r="AD59" s="210">
        <f t="shared" si="47"/>
        <v>0</v>
      </c>
      <c r="AE59" s="214"/>
      <c r="AF59" s="97"/>
      <c r="AG59" s="214"/>
      <c r="AH59" s="99" t="e">
        <f t="shared" si="118"/>
        <v>#DIV/0!</v>
      </c>
      <c r="AI59" s="214"/>
      <c r="AJ59" s="97"/>
      <c r="AK59" s="214"/>
      <c r="AL59" s="99" t="e">
        <f t="shared" si="119"/>
        <v>#DIV/0!</v>
      </c>
      <c r="AM59" s="214"/>
      <c r="AN59" s="97"/>
      <c r="AO59" s="214"/>
      <c r="AP59" s="99" t="e">
        <f t="shared" si="120"/>
        <v>#DIV/0!</v>
      </c>
      <c r="AQ59" s="214">
        <v>316</v>
      </c>
      <c r="AR59" s="214">
        <v>316</v>
      </c>
      <c r="AS59" s="214">
        <v>114</v>
      </c>
      <c r="AT59" s="99">
        <f t="shared" si="49"/>
        <v>36.075949367088604</v>
      </c>
      <c r="AU59" s="210">
        <f t="shared" si="50"/>
        <v>316</v>
      </c>
      <c r="AV59" s="210">
        <f t="shared" si="51"/>
        <v>316</v>
      </c>
      <c r="AW59" s="210">
        <f t="shared" si="52"/>
        <v>114</v>
      </c>
      <c r="AX59" s="210">
        <f t="shared" si="53"/>
        <v>36.075949367088604</v>
      </c>
      <c r="AY59" s="214">
        <v>137</v>
      </c>
      <c r="AZ59" s="97">
        <f t="shared" si="302"/>
        <v>137</v>
      </c>
      <c r="BA59" s="214">
        <v>21</v>
      </c>
      <c r="BB59" s="99">
        <f t="shared" si="55"/>
        <v>15.328467153284672</v>
      </c>
      <c r="BC59" s="214"/>
      <c r="BD59" s="97">
        <f t="shared" si="223"/>
        <v>0</v>
      </c>
      <c r="BE59" s="214">
        <v>1</v>
      </c>
      <c r="BF59" s="99">
        <f t="shared" si="57"/>
        <v>0</v>
      </c>
      <c r="BG59" s="214">
        <v>395</v>
      </c>
      <c r="BH59" s="97">
        <f t="shared" si="303"/>
        <v>395</v>
      </c>
      <c r="BI59" s="214">
        <v>130</v>
      </c>
      <c r="BJ59" s="99">
        <f t="shared" si="59"/>
        <v>32.911392405063289</v>
      </c>
      <c r="BK59" s="236">
        <f t="shared" si="31"/>
        <v>395</v>
      </c>
      <c r="BL59" s="236">
        <f t="shared" si="32"/>
        <v>395</v>
      </c>
      <c r="BM59" s="236">
        <f t="shared" si="33"/>
        <v>131</v>
      </c>
      <c r="BN59" s="235">
        <f t="shared" si="60"/>
        <v>33.164556962025316</v>
      </c>
      <c r="BO59" s="235">
        <f t="shared" si="34"/>
        <v>963</v>
      </c>
      <c r="BP59" s="235">
        <f t="shared" si="35"/>
        <v>963</v>
      </c>
      <c r="BQ59" s="235">
        <f t="shared" si="36"/>
        <v>278</v>
      </c>
      <c r="BR59" s="235">
        <f t="shared" si="61"/>
        <v>28.868120456905505</v>
      </c>
    </row>
    <row r="60" spans="1:70" ht="31.5" x14ac:dyDescent="0.2">
      <c r="A60" s="183" t="s">
        <v>160</v>
      </c>
      <c r="B60" s="201" t="s">
        <v>339</v>
      </c>
      <c r="C60" s="214">
        <v>55</v>
      </c>
      <c r="D60" s="97">
        <f t="shared" si="247"/>
        <v>55</v>
      </c>
      <c r="E60" s="214">
        <v>62</v>
      </c>
      <c r="F60" s="99">
        <f t="shared" si="38"/>
        <v>112.72727272727272</v>
      </c>
      <c r="G60" s="214"/>
      <c r="H60" s="97">
        <f t="shared" si="222"/>
        <v>0</v>
      </c>
      <c r="I60" s="214"/>
      <c r="J60" s="99">
        <f t="shared" si="40"/>
        <v>0</v>
      </c>
      <c r="K60" s="210">
        <f t="shared" si="41"/>
        <v>55</v>
      </c>
      <c r="L60" s="210">
        <f t="shared" si="42"/>
        <v>55</v>
      </c>
      <c r="M60" s="210">
        <f t="shared" si="4"/>
        <v>62</v>
      </c>
      <c r="N60" s="158">
        <f t="shared" si="43"/>
        <v>112.72727272727272</v>
      </c>
      <c r="O60" s="214"/>
      <c r="P60" s="214"/>
      <c r="Q60" s="214"/>
      <c r="R60" s="99" t="e">
        <f t="shared" si="116"/>
        <v>#DIV/0!</v>
      </c>
      <c r="S60" s="214"/>
      <c r="T60" s="97"/>
      <c r="U60" s="214"/>
      <c r="V60" s="99" t="e">
        <f t="shared" si="117"/>
        <v>#DIV/0!</v>
      </c>
      <c r="W60" s="214">
        <v>66</v>
      </c>
      <c r="X60" s="97">
        <f t="shared" si="301"/>
        <v>66</v>
      </c>
      <c r="Y60" s="214">
        <v>12</v>
      </c>
      <c r="Z60" s="99">
        <f t="shared" si="45"/>
        <v>18.181818181818183</v>
      </c>
      <c r="AA60" s="210">
        <f t="shared" si="46"/>
        <v>66</v>
      </c>
      <c r="AB60" s="210">
        <f t="shared" si="13"/>
        <v>66</v>
      </c>
      <c r="AC60" s="210">
        <f t="shared" si="13"/>
        <v>12</v>
      </c>
      <c r="AD60" s="210">
        <f t="shared" si="47"/>
        <v>18.181818181818183</v>
      </c>
      <c r="AE60" s="214"/>
      <c r="AF60" s="97"/>
      <c r="AG60" s="214"/>
      <c r="AH60" s="99" t="e">
        <f t="shared" si="118"/>
        <v>#DIV/0!</v>
      </c>
      <c r="AI60" s="214"/>
      <c r="AJ60" s="97"/>
      <c r="AK60" s="214"/>
      <c r="AL60" s="99" t="e">
        <f t="shared" si="119"/>
        <v>#DIV/0!</v>
      </c>
      <c r="AM60" s="214"/>
      <c r="AN60" s="97"/>
      <c r="AO60" s="214"/>
      <c r="AP60" s="99" t="e">
        <f t="shared" si="120"/>
        <v>#DIV/0!</v>
      </c>
      <c r="AQ60" s="214">
        <v>402</v>
      </c>
      <c r="AR60" s="214">
        <v>402</v>
      </c>
      <c r="AS60" s="214">
        <v>70</v>
      </c>
      <c r="AT60" s="99">
        <f t="shared" si="49"/>
        <v>17.412935323383085</v>
      </c>
      <c r="AU60" s="210">
        <f t="shared" si="50"/>
        <v>402</v>
      </c>
      <c r="AV60" s="210">
        <f t="shared" si="51"/>
        <v>402</v>
      </c>
      <c r="AW60" s="210">
        <f t="shared" si="52"/>
        <v>70</v>
      </c>
      <c r="AX60" s="210">
        <f t="shared" si="53"/>
        <v>17.412935323383085</v>
      </c>
      <c r="AY60" s="214">
        <v>143</v>
      </c>
      <c r="AZ60" s="97">
        <f t="shared" si="302"/>
        <v>143</v>
      </c>
      <c r="BA60" s="214">
        <v>36</v>
      </c>
      <c r="BB60" s="99">
        <f t="shared" si="55"/>
        <v>25.174825174825177</v>
      </c>
      <c r="BC60" s="214">
        <v>152</v>
      </c>
      <c r="BD60" s="97">
        <f t="shared" si="223"/>
        <v>152</v>
      </c>
      <c r="BE60" s="214">
        <v>98</v>
      </c>
      <c r="BF60" s="99">
        <f t="shared" si="57"/>
        <v>64.473684210526315</v>
      </c>
      <c r="BG60" s="214">
        <v>395</v>
      </c>
      <c r="BH60" s="97">
        <f t="shared" si="303"/>
        <v>395</v>
      </c>
      <c r="BI60" s="214">
        <v>243</v>
      </c>
      <c r="BJ60" s="99">
        <f t="shared" si="59"/>
        <v>61.518987341772146</v>
      </c>
      <c r="BK60" s="236">
        <f t="shared" si="31"/>
        <v>547</v>
      </c>
      <c r="BL60" s="236">
        <f t="shared" si="32"/>
        <v>547</v>
      </c>
      <c r="BM60" s="236">
        <f t="shared" si="33"/>
        <v>341</v>
      </c>
      <c r="BN60" s="235">
        <f t="shared" si="60"/>
        <v>62.340036563071301</v>
      </c>
      <c r="BO60" s="235">
        <f t="shared" si="34"/>
        <v>1213</v>
      </c>
      <c r="BP60" s="235">
        <f t="shared" si="35"/>
        <v>1213</v>
      </c>
      <c r="BQ60" s="235">
        <f t="shared" si="36"/>
        <v>521</v>
      </c>
      <c r="BR60" s="235">
        <f t="shared" si="61"/>
        <v>42.951360263808738</v>
      </c>
    </row>
    <row r="61" spans="1:70" ht="31.5" x14ac:dyDescent="0.2">
      <c r="A61" s="183" t="s">
        <v>161</v>
      </c>
      <c r="B61" s="201" t="s">
        <v>339</v>
      </c>
      <c r="C61" s="214">
        <v>55</v>
      </c>
      <c r="D61" s="97">
        <f t="shared" si="247"/>
        <v>55</v>
      </c>
      <c r="E61" s="214">
        <v>17</v>
      </c>
      <c r="F61" s="99">
        <f t="shared" si="38"/>
        <v>30.909090909090907</v>
      </c>
      <c r="G61" s="214"/>
      <c r="H61" s="97">
        <f t="shared" si="222"/>
        <v>0</v>
      </c>
      <c r="I61" s="214"/>
      <c r="J61" s="99">
        <f t="shared" si="40"/>
        <v>0</v>
      </c>
      <c r="K61" s="210">
        <f t="shared" si="41"/>
        <v>55</v>
      </c>
      <c r="L61" s="210">
        <f t="shared" si="42"/>
        <v>55</v>
      </c>
      <c r="M61" s="210">
        <f t="shared" si="4"/>
        <v>17</v>
      </c>
      <c r="N61" s="158">
        <f t="shared" si="43"/>
        <v>30.909090909090907</v>
      </c>
      <c r="O61" s="214"/>
      <c r="P61" s="214"/>
      <c r="Q61" s="214"/>
      <c r="R61" s="99" t="e">
        <f t="shared" si="116"/>
        <v>#DIV/0!</v>
      </c>
      <c r="S61" s="214"/>
      <c r="T61" s="97"/>
      <c r="U61" s="214"/>
      <c r="V61" s="99" t="e">
        <f t="shared" si="117"/>
        <v>#DIV/0!</v>
      </c>
      <c r="W61" s="214">
        <v>66</v>
      </c>
      <c r="X61" s="97">
        <f t="shared" si="301"/>
        <v>66</v>
      </c>
      <c r="Y61" s="214">
        <v>6</v>
      </c>
      <c r="Z61" s="99">
        <f t="shared" si="45"/>
        <v>9.0909090909090917</v>
      </c>
      <c r="AA61" s="210">
        <f t="shared" si="46"/>
        <v>66</v>
      </c>
      <c r="AB61" s="210">
        <f t="shared" si="13"/>
        <v>66</v>
      </c>
      <c r="AC61" s="210">
        <f t="shared" si="13"/>
        <v>6</v>
      </c>
      <c r="AD61" s="210">
        <f t="shared" si="47"/>
        <v>9.0909090909090917</v>
      </c>
      <c r="AE61" s="214"/>
      <c r="AF61" s="97"/>
      <c r="AG61" s="214"/>
      <c r="AH61" s="99" t="e">
        <f t="shared" si="118"/>
        <v>#DIV/0!</v>
      </c>
      <c r="AI61" s="214"/>
      <c r="AJ61" s="97"/>
      <c r="AK61" s="214"/>
      <c r="AL61" s="99" t="e">
        <f t="shared" si="119"/>
        <v>#DIV/0!</v>
      </c>
      <c r="AM61" s="214"/>
      <c r="AN61" s="97"/>
      <c r="AO61" s="214"/>
      <c r="AP61" s="99" t="e">
        <f t="shared" si="120"/>
        <v>#DIV/0!</v>
      </c>
      <c r="AQ61" s="214">
        <v>328</v>
      </c>
      <c r="AR61" s="214">
        <v>328</v>
      </c>
      <c r="AS61" s="214">
        <v>113</v>
      </c>
      <c r="AT61" s="99">
        <f t="shared" si="49"/>
        <v>34.451219512195117</v>
      </c>
      <c r="AU61" s="210">
        <f t="shared" si="50"/>
        <v>328</v>
      </c>
      <c r="AV61" s="210">
        <f t="shared" si="51"/>
        <v>328</v>
      </c>
      <c r="AW61" s="210">
        <f t="shared" si="52"/>
        <v>113</v>
      </c>
      <c r="AX61" s="210">
        <f t="shared" si="53"/>
        <v>34.451219512195117</v>
      </c>
      <c r="AY61" s="214">
        <v>137</v>
      </c>
      <c r="AZ61" s="97">
        <f t="shared" si="302"/>
        <v>137</v>
      </c>
      <c r="BA61" s="214">
        <v>50</v>
      </c>
      <c r="BB61" s="99">
        <f t="shared" si="55"/>
        <v>36.496350364963504</v>
      </c>
      <c r="BC61" s="214"/>
      <c r="BD61" s="97">
        <f t="shared" si="223"/>
        <v>0</v>
      </c>
      <c r="BE61" s="214">
        <v>6</v>
      </c>
      <c r="BF61" s="99">
        <f t="shared" si="57"/>
        <v>0</v>
      </c>
      <c r="BG61" s="214">
        <v>219</v>
      </c>
      <c r="BH61" s="97">
        <f t="shared" si="303"/>
        <v>219</v>
      </c>
      <c r="BI61" s="214">
        <v>237</v>
      </c>
      <c r="BJ61" s="99">
        <f t="shared" si="59"/>
        <v>108.21917808219179</v>
      </c>
      <c r="BK61" s="236">
        <f t="shared" si="31"/>
        <v>219</v>
      </c>
      <c r="BL61" s="236">
        <f t="shared" si="32"/>
        <v>219</v>
      </c>
      <c r="BM61" s="236">
        <f t="shared" si="33"/>
        <v>243</v>
      </c>
      <c r="BN61" s="235">
        <f t="shared" si="60"/>
        <v>110.95890410958904</v>
      </c>
      <c r="BO61" s="235">
        <f t="shared" si="34"/>
        <v>805</v>
      </c>
      <c r="BP61" s="235">
        <f t="shared" si="35"/>
        <v>805</v>
      </c>
      <c r="BQ61" s="235">
        <f t="shared" si="36"/>
        <v>429</v>
      </c>
      <c r="BR61" s="235">
        <f t="shared" si="61"/>
        <v>53.29192546583851</v>
      </c>
    </row>
    <row r="62" spans="1:70" ht="31.5" x14ac:dyDescent="0.2">
      <c r="A62" s="183" t="s">
        <v>162</v>
      </c>
      <c r="B62" s="201" t="s">
        <v>339</v>
      </c>
      <c r="C62" s="214">
        <v>55</v>
      </c>
      <c r="D62" s="97">
        <f t="shared" ref="D62:D77" si="304">ROUND(C62/12*$A$7,0)</f>
        <v>55</v>
      </c>
      <c r="E62" s="214">
        <v>203</v>
      </c>
      <c r="F62" s="99">
        <f t="shared" si="38"/>
        <v>369.09090909090907</v>
      </c>
      <c r="G62" s="214"/>
      <c r="H62" s="97">
        <f t="shared" ref="H62:H77" si="305">ROUND(G62/12*$A$7,0)</f>
        <v>0</v>
      </c>
      <c r="I62" s="214"/>
      <c r="J62" s="99">
        <f t="shared" si="40"/>
        <v>0</v>
      </c>
      <c r="K62" s="210">
        <f t="shared" si="41"/>
        <v>55</v>
      </c>
      <c r="L62" s="210">
        <f t="shared" si="42"/>
        <v>55</v>
      </c>
      <c r="M62" s="210">
        <f t="shared" si="4"/>
        <v>203</v>
      </c>
      <c r="N62" s="158">
        <f t="shared" si="43"/>
        <v>369.09090909090907</v>
      </c>
      <c r="O62" s="214"/>
      <c r="P62" s="214"/>
      <c r="Q62" s="214"/>
      <c r="R62" s="99" t="e">
        <f t="shared" si="116"/>
        <v>#DIV/0!</v>
      </c>
      <c r="S62" s="214"/>
      <c r="T62" s="97"/>
      <c r="U62" s="214"/>
      <c r="V62" s="99" t="e">
        <f t="shared" si="117"/>
        <v>#DIV/0!</v>
      </c>
      <c r="W62" s="214">
        <v>87</v>
      </c>
      <c r="X62" s="97">
        <f t="shared" si="301"/>
        <v>87</v>
      </c>
      <c r="Y62" s="214">
        <v>104</v>
      </c>
      <c r="Z62" s="99">
        <f t="shared" si="45"/>
        <v>119.54022988505749</v>
      </c>
      <c r="AA62" s="210">
        <f t="shared" si="46"/>
        <v>87</v>
      </c>
      <c r="AB62" s="210">
        <f t="shared" si="13"/>
        <v>87</v>
      </c>
      <c r="AC62" s="210">
        <f t="shared" si="13"/>
        <v>104</v>
      </c>
      <c r="AD62" s="210">
        <f t="shared" si="47"/>
        <v>119.54022988505749</v>
      </c>
      <c r="AE62" s="214"/>
      <c r="AF62" s="97"/>
      <c r="AG62" s="214"/>
      <c r="AH62" s="99" t="e">
        <f t="shared" si="118"/>
        <v>#DIV/0!</v>
      </c>
      <c r="AI62" s="214"/>
      <c r="AJ62" s="97"/>
      <c r="AK62" s="214"/>
      <c r="AL62" s="99" t="e">
        <f t="shared" si="119"/>
        <v>#DIV/0!</v>
      </c>
      <c r="AM62" s="214"/>
      <c r="AN62" s="97"/>
      <c r="AO62" s="214"/>
      <c r="AP62" s="99" t="e">
        <f t="shared" si="120"/>
        <v>#DIV/0!</v>
      </c>
      <c r="AQ62" s="214">
        <v>629</v>
      </c>
      <c r="AR62" s="214">
        <v>629</v>
      </c>
      <c r="AS62" s="214">
        <v>325</v>
      </c>
      <c r="AT62" s="99">
        <f t="shared" si="49"/>
        <v>51.669316375198726</v>
      </c>
      <c r="AU62" s="210">
        <f t="shared" si="50"/>
        <v>629</v>
      </c>
      <c r="AV62" s="210">
        <f t="shared" si="51"/>
        <v>629</v>
      </c>
      <c r="AW62" s="210">
        <f t="shared" si="52"/>
        <v>325</v>
      </c>
      <c r="AX62" s="210">
        <f t="shared" si="53"/>
        <v>51.669316375198726</v>
      </c>
      <c r="AY62" s="214">
        <v>126</v>
      </c>
      <c r="AZ62" s="97">
        <f t="shared" ref="AZ62:AZ77" si="306">ROUND(AY62/12*$A$7,0)</f>
        <v>126</v>
      </c>
      <c r="BA62" s="214">
        <v>123</v>
      </c>
      <c r="BB62" s="99">
        <f t="shared" si="55"/>
        <v>97.61904761904762</v>
      </c>
      <c r="BC62" s="214">
        <v>299</v>
      </c>
      <c r="BD62" s="97">
        <f t="shared" ref="BD62:BD77" si="307">ROUND(BC62/12*$A$7,0)</f>
        <v>299</v>
      </c>
      <c r="BE62" s="214">
        <v>265</v>
      </c>
      <c r="BF62" s="99">
        <f t="shared" si="57"/>
        <v>88.628762541806012</v>
      </c>
      <c r="BG62" s="214">
        <v>395</v>
      </c>
      <c r="BH62" s="97">
        <f t="shared" ref="BH62:BH77" si="308">ROUND(BG62/12*$A$7,0)</f>
        <v>395</v>
      </c>
      <c r="BI62" s="214">
        <v>555</v>
      </c>
      <c r="BJ62" s="99">
        <f t="shared" si="59"/>
        <v>140.50632911392404</v>
      </c>
      <c r="BK62" s="236">
        <f t="shared" si="31"/>
        <v>694</v>
      </c>
      <c r="BL62" s="236">
        <f t="shared" si="32"/>
        <v>694</v>
      </c>
      <c r="BM62" s="236">
        <f t="shared" si="33"/>
        <v>820</v>
      </c>
      <c r="BN62" s="235">
        <f t="shared" si="60"/>
        <v>118.1556195965418</v>
      </c>
      <c r="BO62" s="235">
        <f t="shared" si="34"/>
        <v>1591</v>
      </c>
      <c r="BP62" s="235">
        <f t="shared" si="35"/>
        <v>1591</v>
      </c>
      <c r="BQ62" s="235">
        <f t="shared" si="36"/>
        <v>1575</v>
      </c>
      <c r="BR62" s="235">
        <f t="shared" si="61"/>
        <v>98.994343180389691</v>
      </c>
    </row>
    <row r="63" spans="1:70" ht="31.5" x14ac:dyDescent="0.2">
      <c r="A63" s="183" t="s">
        <v>163</v>
      </c>
      <c r="B63" s="201" t="s">
        <v>339</v>
      </c>
      <c r="C63" s="214">
        <v>77</v>
      </c>
      <c r="D63" s="97">
        <f t="shared" si="304"/>
        <v>77</v>
      </c>
      <c r="E63" s="214">
        <v>102</v>
      </c>
      <c r="F63" s="99">
        <f t="shared" si="38"/>
        <v>132.46753246753246</v>
      </c>
      <c r="G63" s="214"/>
      <c r="H63" s="97">
        <f t="shared" si="305"/>
        <v>0</v>
      </c>
      <c r="I63" s="214"/>
      <c r="J63" s="99">
        <f t="shared" si="40"/>
        <v>0</v>
      </c>
      <c r="K63" s="210">
        <f t="shared" si="41"/>
        <v>77</v>
      </c>
      <c r="L63" s="210">
        <f t="shared" si="42"/>
        <v>77</v>
      </c>
      <c r="M63" s="210">
        <f t="shared" si="4"/>
        <v>102</v>
      </c>
      <c r="N63" s="158">
        <f t="shared" si="43"/>
        <v>132.46753246753246</v>
      </c>
      <c r="O63" s="214"/>
      <c r="P63" s="214"/>
      <c r="Q63" s="214"/>
      <c r="R63" s="99" t="e">
        <f t="shared" si="116"/>
        <v>#DIV/0!</v>
      </c>
      <c r="S63" s="214"/>
      <c r="T63" s="97"/>
      <c r="U63" s="214"/>
      <c r="V63" s="99" t="e">
        <f t="shared" si="117"/>
        <v>#DIV/0!</v>
      </c>
      <c r="W63" s="214">
        <v>55</v>
      </c>
      <c r="X63" s="97">
        <f t="shared" si="301"/>
        <v>55</v>
      </c>
      <c r="Y63" s="214">
        <v>24</v>
      </c>
      <c r="Z63" s="99">
        <f t="shared" si="45"/>
        <v>43.636363636363633</v>
      </c>
      <c r="AA63" s="210">
        <f t="shared" si="46"/>
        <v>55</v>
      </c>
      <c r="AB63" s="210">
        <f t="shared" si="13"/>
        <v>55</v>
      </c>
      <c r="AC63" s="210">
        <f t="shared" si="13"/>
        <v>24</v>
      </c>
      <c r="AD63" s="210">
        <f t="shared" si="47"/>
        <v>43.636363636363633</v>
      </c>
      <c r="AE63" s="214"/>
      <c r="AF63" s="97"/>
      <c r="AG63" s="214"/>
      <c r="AH63" s="99" t="e">
        <f t="shared" si="118"/>
        <v>#DIV/0!</v>
      </c>
      <c r="AI63" s="214"/>
      <c r="AJ63" s="97"/>
      <c r="AK63" s="214"/>
      <c r="AL63" s="99" t="e">
        <f t="shared" si="119"/>
        <v>#DIV/0!</v>
      </c>
      <c r="AM63" s="214"/>
      <c r="AN63" s="97"/>
      <c r="AO63" s="214"/>
      <c r="AP63" s="99" t="e">
        <f t="shared" si="120"/>
        <v>#DIV/0!</v>
      </c>
      <c r="AQ63" s="214">
        <v>359</v>
      </c>
      <c r="AR63" s="214">
        <v>359</v>
      </c>
      <c r="AS63" s="214">
        <v>172</v>
      </c>
      <c r="AT63" s="99">
        <f t="shared" si="49"/>
        <v>47.910863509749305</v>
      </c>
      <c r="AU63" s="210">
        <f t="shared" si="50"/>
        <v>359</v>
      </c>
      <c r="AV63" s="210">
        <f t="shared" si="51"/>
        <v>359</v>
      </c>
      <c r="AW63" s="210">
        <f t="shared" si="52"/>
        <v>172</v>
      </c>
      <c r="AX63" s="210">
        <f t="shared" si="53"/>
        <v>47.910863509749305</v>
      </c>
      <c r="AY63" s="214">
        <v>121</v>
      </c>
      <c r="AZ63" s="97">
        <f t="shared" si="306"/>
        <v>121</v>
      </c>
      <c r="BA63" s="214">
        <v>56</v>
      </c>
      <c r="BB63" s="99">
        <f t="shared" si="55"/>
        <v>46.280991735537192</v>
      </c>
      <c r="BC63" s="214"/>
      <c r="BD63" s="97">
        <f t="shared" si="307"/>
        <v>0</v>
      </c>
      <c r="BE63" s="214">
        <v>54</v>
      </c>
      <c r="BF63" s="99">
        <f t="shared" si="57"/>
        <v>0</v>
      </c>
      <c r="BG63" s="214">
        <v>329</v>
      </c>
      <c r="BH63" s="97">
        <f t="shared" si="308"/>
        <v>329</v>
      </c>
      <c r="BI63" s="214">
        <v>226</v>
      </c>
      <c r="BJ63" s="99">
        <f t="shared" si="59"/>
        <v>68.693009118541042</v>
      </c>
      <c r="BK63" s="236">
        <f t="shared" si="31"/>
        <v>329</v>
      </c>
      <c r="BL63" s="236">
        <f t="shared" si="32"/>
        <v>329</v>
      </c>
      <c r="BM63" s="236">
        <f t="shared" si="33"/>
        <v>280</v>
      </c>
      <c r="BN63" s="235">
        <f t="shared" si="60"/>
        <v>85.106382978723403</v>
      </c>
      <c r="BO63" s="235">
        <f t="shared" si="34"/>
        <v>941</v>
      </c>
      <c r="BP63" s="235">
        <f t="shared" si="35"/>
        <v>941</v>
      </c>
      <c r="BQ63" s="235">
        <f t="shared" si="36"/>
        <v>634</v>
      </c>
      <c r="BR63" s="235">
        <f t="shared" si="61"/>
        <v>67.375132837407008</v>
      </c>
    </row>
    <row r="64" spans="1:70" ht="31.5" x14ac:dyDescent="0.2">
      <c r="A64" s="183" t="s">
        <v>164</v>
      </c>
      <c r="B64" s="201" t="s">
        <v>339</v>
      </c>
      <c r="C64" s="214">
        <v>55</v>
      </c>
      <c r="D64" s="97">
        <f t="shared" si="304"/>
        <v>55</v>
      </c>
      <c r="E64" s="214">
        <v>31</v>
      </c>
      <c r="F64" s="99">
        <f t="shared" si="38"/>
        <v>56.36363636363636</v>
      </c>
      <c r="G64" s="214"/>
      <c r="H64" s="97">
        <f t="shared" si="305"/>
        <v>0</v>
      </c>
      <c r="I64" s="214"/>
      <c r="J64" s="99">
        <f t="shared" si="40"/>
        <v>0</v>
      </c>
      <c r="K64" s="210">
        <f t="shared" si="41"/>
        <v>55</v>
      </c>
      <c r="L64" s="210">
        <f t="shared" si="42"/>
        <v>55</v>
      </c>
      <c r="M64" s="210">
        <f t="shared" si="4"/>
        <v>31</v>
      </c>
      <c r="N64" s="158">
        <f t="shared" si="43"/>
        <v>56.36363636363636</v>
      </c>
      <c r="O64" s="214"/>
      <c r="P64" s="214"/>
      <c r="Q64" s="214"/>
      <c r="R64" s="99" t="e">
        <f t="shared" si="116"/>
        <v>#DIV/0!</v>
      </c>
      <c r="S64" s="214"/>
      <c r="T64" s="97"/>
      <c r="U64" s="214"/>
      <c r="V64" s="99" t="e">
        <f t="shared" si="117"/>
        <v>#DIV/0!</v>
      </c>
      <c r="W64" s="214">
        <v>82</v>
      </c>
      <c r="X64" s="97">
        <f t="shared" si="301"/>
        <v>82</v>
      </c>
      <c r="Y64" s="214">
        <v>1</v>
      </c>
      <c r="Z64" s="99">
        <f t="shared" si="45"/>
        <v>1.2195121951219512</v>
      </c>
      <c r="AA64" s="210">
        <f t="shared" si="46"/>
        <v>82</v>
      </c>
      <c r="AB64" s="210">
        <f t="shared" si="13"/>
        <v>82</v>
      </c>
      <c r="AC64" s="210">
        <f t="shared" si="13"/>
        <v>1</v>
      </c>
      <c r="AD64" s="210">
        <f t="shared" si="47"/>
        <v>1.2195121951219512</v>
      </c>
      <c r="AE64" s="214"/>
      <c r="AF64" s="97"/>
      <c r="AG64" s="214"/>
      <c r="AH64" s="99" t="e">
        <f t="shared" si="118"/>
        <v>#DIV/0!</v>
      </c>
      <c r="AI64" s="214"/>
      <c r="AJ64" s="97"/>
      <c r="AK64" s="214"/>
      <c r="AL64" s="99" t="e">
        <f t="shared" si="119"/>
        <v>#DIV/0!</v>
      </c>
      <c r="AM64" s="214"/>
      <c r="AN64" s="97"/>
      <c r="AO64" s="214"/>
      <c r="AP64" s="99" t="e">
        <f t="shared" si="120"/>
        <v>#DIV/0!</v>
      </c>
      <c r="AQ64" s="214">
        <v>328</v>
      </c>
      <c r="AR64" s="214">
        <v>328</v>
      </c>
      <c r="AS64" s="214">
        <v>151</v>
      </c>
      <c r="AT64" s="99">
        <f t="shared" si="49"/>
        <v>46.036585365853661</v>
      </c>
      <c r="AU64" s="210">
        <f t="shared" si="50"/>
        <v>328</v>
      </c>
      <c r="AV64" s="210">
        <f t="shared" si="51"/>
        <v>328</v>
      </c>
      <c r="AW64" s="210">
        <f t="shared" si="52"/>
        <v>151</v>
      </c>
      <c r="AX64" s="210">
        <f t="shared" si="53"/>
        <v>46.036585365853661</v>
      </c>
      <c r="AY64" s="214">
        <v>132</v>
      </c>
      <c r="AZ64" s="97">
        <f t="shared" si="306"/>
        <v>132</v>
      </c>
      <c r="BA64" s="214">
        <v>40</v>
      </c>
      <c r="BB64" s="99">
        <f t="shared" si="55"/>
        <v>30.303030303030305</v>
      </c>
      <c r="BC64" s="214"/>
      <c r="BD64" s="97">
        <f t="shared" si="307"/>
        <v>0</v>
      </c>
      <c r="BE64" s="214">
        <v>0</v>
      </c>
      <c r="BF64" s="99">
        <f t="shared" si="57"/>
        <v>0</v>
      </c>
      <c r="BG64" s="214">
        <v>0</v>
      </c>
      <c r="BH64" s="97">
        <f t="shared" si="308"/>
        <v>0</v>
      </c>
      <c r="BI64" s="214">
        <v>220</v>
      </c>
      <c r="BJ64" s="99">
        <f t="shared" si="59"/>
        <v>0</v>
      </c>
      <c r="BK64" s="236">
        <f t="shared" si="31"/>
        <v>0</v>
      </c>
      <c r="BL64" s="236">
        <f t="shared" si="32"/>
        <v>0</v>
      </c>
      <c r="BM64" s="236">
        <f t="shared" si="33"/>
        <v>220</v>
      </c>
      <c r="BN64" s="235">
        <f t="shared" si="60"/>
        <v>0</v>
      </c>
      <c r="BO64" s="235">
        <f t="shared" si="34"/>
        <v>597</v>
      </c>
      <c r="BP64" s="235">
        <f t="shared" si="35"/>
        <v>597</v>
      </c>
      <c r="BQ64" s="235">
        <f t="shared" si="36"/>
        <v>443</v>
      </c>
      <c r="BR64" s="235">
        <f t="shared" si="61"/>
        <v>74.204355108877721</v>
      </c>
    </row>
    <row r="65" spans="1:70" ht="31.5" x14ac:dyDescent="0.2">
      <c r="A65" s="183" t="s">
        <v>165</v>
      </c>
      <c r="B65" s="201" t="s">
        <v>339</v>
      </c>
      <c r="C65" s="214">
        <v>60</v>
      </c>
      <c r="D65" s="97">
        <f t="shared" si="304"/>
        <v>60</v>
      </c>
      <c r="E65" s="214">
        <v>19</v>
      </c>
      <c r="F65" s="99">
        <f t="shared" si="38"/>
        <v>31.666666666666664</v>
      </c>
      <c r="G65" s="214"/>
      <c r="H65" s="97">
        <f t="shared" si="305"/>
        <v>0</v>
      </c>
      <c r="I65" s="214"/>
      <c r="J65" s="99">
        <f t="shared" si="40"/>
        <v>0</v>
      </c>
      <c r="K65" s="210">
        <f t="shared" si="41"/>
        <v>60</v>
      </c>
      <c r="L65" s="210">
        <f t="shared" si="42"/>
        <v>60</v>
      </c>
      <c r="M65" s="210">
        <f t="shared" si="4"/>
        <v>19</v>
      </c>
      <c r="N65" s="158">
        <f t="shared" si="43"/>
        <v>31.666666666666664</v>
      </c>
      <c r="O65" s="214"/>
      <c r="P65" s="214"/>
      <c r="Q65" s="214"/>
      <c r="R65" s="99" t="e">
        <f t="shared" si="116"/>
        <v>#DIV/0!</v>
      </c>
      <c r="S65" s="214"/>
      <c r="T65" s="97"/>
      <c r="U65" s="214"/>
      <c r="V65" s="99" t="e">
        <f t="shared" si="117"/>
        <v>#DIV/0!</v>
      </c>
      <c r="W65" s="214">
        <v>76</v>
      </c>
      <c r="X65" s="97">
        <f t="shared" si="301"/>
        <v>76</v>
      </c>
      <c r="Y65" s="214">
        <v>3</v>
      </c>
      <c r="Z65" s="99">
        <f t="shared" si="45"/>
        <v>3.9473684210526314</v>
      </c>
      <c r="AA65" s="210">
        <f t="shared" si="46"/>
        <v>76</v>
      </c>
      <c r="AB65" s="210">
        <f t="shared" si="13"/>
        <v>76</v>
      </c>
      <c r="AC65" s="210">
        <f t="shared" si="13"/>
        <v>3</v>
      </c>
      <c r="AD65" s="210">
        <f t="shared" si="47"/>
        <v>3.9473684210526314</v>
      </c>
      <c r="AE65" s="214"/>
      <c r="AF65" s="97"/>
      <c r="AG65" s="214"/>
      <c r="AH65" s="99" t="e">
        <f t="shared" si="118"/>
        <v>#DIV/0!</v>
      </c>
      <c r="AI65" s="214"/>
      <c r="AJ65" s="97"/>
      <c r="AK65" s="214"/>
      <c r="AL65" s="99" t="e">
        <f t="shared" si="119"/>
        <v>#DIV/0!</v>
      </c>
      <c r="AM65" s="214"/>
      <c r="AN65" s="97"/>
      <c r="AO65" s="214"/>
      <c r="AP65" s="99" t="e">
        <f t="shared" si="120"/>
        <v>#DIV/0!</v>
      </c>
      <c r="AQ65" s="214">
        <v>319</v>
      </c>
      <c r="AR65" s="214">
        <v>319</v>
      </c>
      <c r="AS65" s="214">
        <v>165</v>
      </c>
      <c r="AT65" s="99">
        <f t="shared" si="49"/>
        <v>51.724137931034484</v>
      </c>
      <c r="AU65" s="210">
        <f t="shared" si="50"/>
        <v>319</v>
      </c>
      <c r="AV65" s="210">
        <f t="shared" si="51"/>
        <v>319</v>
      </c>
      <c r="AW65" s="210">
        <f t="shared" si="52"/>
        <v>165</v>
      </c>
      <c r="AX65" s="210">
        <f t="shared" si="53"/>
        <v>51.724137931034484</v>
      </c>
      <c r="AY65" s="214">
        <v>104</v>
      </c>
      <c r="AZ65" s="97">
        <f t="shared" si="306"/>
        <v>104</v>
      </c>
      <c r="BA65" s="214">
        <v>113</v>
      </c>
      <c r="BB65" s="99">
        <f t="shared" si="55"/>
        <v>108.65384615384615</v>
      </c>
      <c r="BC65" s="214"/>
      <c r="BD65" s="97">
        <f t="shared" si="307"/>
        <v>0</v>
      </c>
      <c r="BE65" s="214">
        <v>0</v>
      </c>
      <c r="BF65" s="99">
        <f t="shared" si="57"/>
        <v>0</v>
      </c>
      <c r="BG65" s="214">
        <v>230</v>
      </c>
      <c r="BH65" s="97">
        <f t="shared" si="308"/>
        <v>230</v>
      </c>
      <c r="BI65" s="214">
        <v>301</v>
      </c>
      <c r="BJ65" s="99">
        <f t="shared" si="59"/>
        <v>130.86956521739131</v>
      </c>
      <c r="BK65" s="236">
        <f t="shared" si="31"/>
        <v>230</v>
      </c>
      <c r="BL65" s="236">
        <f t="shared" si="32"/>
        <v>230</v>
      </c>
      <c r="BM65" s="236">
        <f t="shared" si="33"/>
        <v>301</v>
      </c>
      <c r="BN65" s="235">
        <f t="shared" si="60"/>
        <v>130.86956521739131</v>
      </c>
      <c r="BO65" s="235">
        <f t="shared" si="34"/>
        <v>789</v>
      </c>
      <c r="BP65" s="235">
        <f t="shared" si="35"/>
        <v>789</v>
      </c>
      <c r="BQ65" s="235">
        <f t="shared" si="36"/>
        <v>601</v>
      </c>
      <c r="BR65" s="235">
        <f t="shared" si="61"/>
        <v>76.172370088719902</v>
      </c>
    </row>
    <row r="66" spans="1:70" ht="31.5" x14ac:dyDescent="0.2">
      <c r="A66" s="183" t="s">
        <v>166</v>
      </c>
      <c r="B66" s="201" t="s">
        <v>339</v>
      </c>
      <c r="C66" s="214">
        <v>60</v>
      </c>
      <c r="D66" s="97">
        <f t="shared" si="304"/>
        <v>60</v>
      </c>
      <c r="E66" s="214">
        <v>65</v>
      </c>
      <c r="F66" s="99">
        <f t="shared" si="38"/>
        <v>108.33333333333333</v>
      </c>
      <c r="G66" s="214"/>
      <c r="H66" s="97">
        <f t="shared" si="305"/>
        <v>0</v>
      </c>
      <c r="I66" s="214"/>
      <c r="J66" s="99">
        <f t="shared" si="40"/>
        <v>0</v>
      </c>
      <c r="K66" s="210">
        <f t="shared" si="41"/>
        <v>60</v>
      </c>
      <c r="L66" s="210">
        <f t="shared" si="42"/>
        <v>60</v>
      </c>
      <c r="M66" s="210">
        <f t="shared" si="4"/>
        <v>65</v>
      </c>
      <c r="N66" s="158">
        <f t="shared" si="43"/>
        <v>108.33333333333333</v>
      </c>
      <c r="O66" s="214"/>
      <c r="P66" s="214"/>
      <c r="Q66" s="214"/>
      <c r="R66" s="99" t="e">
        <f t="shared" si="116"/>
        <v>#DIV/0!</v>
      </c>
      <c r="S66" s="214"/>
      <c r="T66" s="97"/>
      <c r="U66" s="214"/>
      <c r="V66" s="99" t="e">
        <f t="shared" si="117"/>
        <v>#DIV/0!</v>
      </c>
      <c r="W66" s="214">
        <v>38</v>
      </c>
      <c r="X66" s="97">
        <f t="shared" si="301"/>
        <v>38</v>
      </c>
      <c r="Y66" s="214">
        <v>143</v>
      </c>
      <c r="Z66" s="99">
        <f t="shared" si="45"/>
        <v>376.31578947368422</v>
      </c>
      <c r="AA66" s="210">
        <f t="shared" si="46"/>
        <v>38</v>
      </c>
      <c r="AB66" s="210">
        <f t="shared" si="13"/>
        <v>38</v>
      </c>
      <c r="AC66" s="210">
        <f t="shared" si="13"/>
        <v>143</v>
      </c>
      <c r="AD66" s="210">
        <f t="shared" si="47"/>
        <v>376.31578947368422</v>
      </c>
      <c r="AE66" s="214"/>
      <c r="AF66" s="97"/>
      <c r="AG66" s="214"/>
      <c r="AH66" s="99" t="e">
        <f t="shared" si="118"/>
        <v>#DIV/0!</v>
      </c>
      <c r="AI66" s="214"/>
      <c r="AJ66" s="97"/>
      <c r="AK66" s="214"/>
      <c r="AL66" s="99" t="e">
        <f t="shared" si="119"/>
        <v>#DIV/0!</v>
      </c>
      <c r="AM66" s="214"/>
      <c r="AN66" s="97"/>
      <c r="AO66" s="214"/>
      <c r="AP66" s="99" t="e">
        <f t="shared" si="120"/>
        <v>#DIV/0!</v>
      </c>
      <c r="AQ66" s="214">
        <v>288</v>
      </c>
      <c r="AR66" s="214">
        <v>288</v>
      </c>
      <c r="AS66" s="214">
        <v>144</v>
      </c>
      <c r="AT66" s="99">
        <f t="shared" si="49"/>
        <v>50</v>
      </c>
      <c r="AU66" s="210">
        <f t="shared" si="50"/>
        <v>288</v>
      </c>
      <c r="AV66" s="210">
        <f t="shared" si="51"/>
        <v>288</v>
      </c>
      <c r="AW66" s="210">
        <f t="shared" si="52"/>
        <v>144</v>
      </c>
      <c r="AX66" s="210">
        <f t="shared" si="53"/>
        <v>50</v>
      </c>
      <c r="AY66" s="214">
        <v>121</v>
      </c>
      <c r="AZ66" s="97">
        <f t="shared" si="306"/>
        <v>121</v>
      </c>
      <c r="BA66" s="214">
        <v>110</v>
      </c>
      <c r="BB66" s="99">
        <f t="shared" si="55"/>
        <v>90.909090909090907</v>
      </c>
      <c r="BC66" s="214">
        <v>131</v>
      </c>
      <c r="BD66" s="97">
        <f t="shared" si="307"/>
        <v>131</v>
      </c>
      <c r="BE66" s="214">
        <v>159</v>
      </c>
      <c r="BF66" s="99">
        <f t="shared" si="57"/>
        <v>121.37404580152671</v>
      </c>
      <c r="BG66" s="214">
        <v>220</v>
      </c>
      <c r="BH66" s="97">
        <f t="shared" si="308"/>
        <v>220</v>
      </c>
      <c r="BI66" s="214">
        <v>226</v>
      </c>
      <c r="BJ66" s="99">
        <f t="shared" si="59"/>
        <v>102.72727272727273</v>
      </c>
      <c r="BK66" s="236">
        <f t="shared" si="31"/>
        <v>351</v>
      </c>
      <c r="BL66" s="236">
        <f t="shared" si="32"/>
        <v>351</v>
      </c>
      <c r="BM66" s="236">
        <f t="shared" si="33"/>
        <v>385</v>
      </c>
      <c r="BN66" s="235">
        <f t="shared" si="60"/>
        <v>109.68660968660969</v>
      </c>
      <c r="BO66" s="235">
        <f t="shared" si="34"/>
        <v>858</v>
      </c>
      <c r="BP66" s="235">
        <f t="shared" si="35"/>
        <v>858</v>
      </c>
      <c r="BQ66" s="235">
        <f t="shared" si="36"/>
        <v>847</v>
      </c>
      <c r="BR66" s="235">
        <f t="shared" si="61"/>
        <v>98.71794871794873</v>
      </c>
    </row>
    <row r="67" spans="1:70" ht="31.5" x14ac:dyDescent="0.2">
      <c r="A67" s="183" t="s">
        <v>167</v>
      </c>
      <c r="B67" s="201" t="s">
        <v>339</v>
      </c>
      <c r="C67" s="214">
        <v>74</v>
      </c>
      <c r="D67" s="97">
        <f t="shared" si="304"/>
        <v>74</v>
      </c>
      <c r="E67" s="214">
        <v>23</v>
      </c>
      <c r="F67" s="99">
        <f t="shared" si="38"/>
        <v>31.081081081081081</v>
      </c>
      <c r="G67" s="214"/>
      <c r="H67" s="97">
        <f t="shared" si="305"/>
        <v>0</v>
      </c>
      <c r="I67" s="214"/>
      <c r="J67" s="99">
        <f t="shared" si="40"/>
        <v>0</v>
      </c>
      <c r="K67" s="210">
        <f t="shared" si="41"/>
        <v>74</v>
      </c>
      <c r="L67" s="210">
        <f t="shared" si="42"/>
        <v>74</v>
      </c>
      <c r="M67" s="210">
        <f t="shared" si="4"/>
        <v>23</v>
      </c>
      <c r="N67" s="158">
        <f t="shared" si="43"/>
        <v>31.081081081081081</v>
      </c>
      <c r="O67" s="214"/>
      <c r="P67" s="214"/>
      <c r="Q67" s="214"/>
      <c r="R67" s="99" t="e">
        <f t="shared" si="116"/>
        <v>#DIV/0!</v>
      </c>
      <c r="S67" s="214"/>
      <c r="T67" s="97"/>
      <c r="U67" s="214"/>
      <c r="V67" s="99" t="e">
        <f t="shared" si="117"/>
        <v>#DIV/0!</v>
      </c>
      <c r="W67" s="214">
        <v>38</v>
      </c>
      <c r="X67" s="97">
        <f t="shared" si="301"/>
        <v>38</v>
      </c>
      <c r="Y67" s="214">
        <v>102</v>
      </c>
      <c r="Z67" s="99">
        <f t="shared" si="45"/>
        <v>268.42105263157896</v>
      </c>
      <c r="AA67" s="210">
        <f t="shared" si="46"/>
        <v>38</v>
      </c>
      <c r="AB67" s="210">
        <f t="shared" si="13"/>
        <v>38</v>
      </c>
      <c r="AC67" s="210">
        <f t="shared" si="13"/>
        <v>102</v>
      </c>
      <c r="AD67" s="210">
        <f t="shared" si="47"/>
        <v>268.42105263157896</v>
      </c>
      <c r="AE67" s="214"/>
      <c r="AF67" s="97"/>
      <c r="AG67" s="214"/>
      <c r="AH67" s="99" t="e">
        <f t="shared" si="118"/>
        <v>#DIV/0!</v>
      </c>
      <c r="AI67" s="214"/>
      <c r="AJ67" s="97"/>
      <c r="AK67" s="214"/>
      <c r="AL67" s="99" t="e">
        <f t="shared" si="119"/>
        <v>#DIV/0!</v>
      </c>
      <c r="AM67" s="214"/>
      <c r="AN67" s="97"/>
      <c r="AO67" s="214"/>
      <c r="AP67" s="99" t="e">
        <f t="shared" si="120"/>
        <v>#DIV/0!</v>
      </c>
      <c r="AQ67" s="214">
        <v>280</v>
      </c>
      <c r="AR67" s="214">
        <v>280</v>
      </c>
      <c r="AS67" s="214">
        <v>65</v>
      </c>
      <c r="AT67" s="99">
        <f t="shared" si="49"/>
        <v>23.214285714285715</v>
      </c>
      <c r="AU67" s="210">
        <f t="shared" si="50"/>
        <v>280</v>
      </c>
      <c r="AV67" s="210">
        <f t="shared" si="51"/>
        <v>280</v>
      </c>
      <c r="AW67" s="210">
        <f t="shared" si="52"/>
        <v>65</v>
      </c>
      <c r="AX67" s="210">
        <f t="shared" si="53"/>
        <v>23.214285714285715</v>
      </c>
      <c r="AY67" s="214">
        <v>115</v>
      </c>
      <c r="AZ67" s="97">
        <f t="shared" si="306"/>
        <v>115</v>
      </c>
      <c r="BA67" s="214">
        <v>124</v>
      </c>
      <c r="BB67" s="99">
        <f t="shared" si="55"/>
        <v>107.82608695652173</v>
      </c>
      <c r="BC67" s="214">
        <v>117</v>
      </c>
      <c r="BD67" s="97">
        <f t="shared" si="307"/>
        <v>117</v>
      </c>
      <c r="BE67" s="214">
        <v>129</v>
      </c>
      <c r="BF67" s="99">
        <f t="shared" si="57"/>
        <v>110.25641025641026</v>
      </c>
      <c r="BG67" s="214">
        <v>219</v>
      </c>
      <c r="BH67" s="97">
        <f t="shared" si="308"/>
        <v>219</v>
      </c>
      <c r="BI67" s="214">
        <v>298</v>
      </c>
      <c r="BJ67" s="99">
        <f t="shared" si="59"/>
        <v>136.07305936073061</v>
      </c>
      <c r="BK67" s="236">
        <f t="shared" si="31"/>
        <v>336</v>
      </c>
      <c r="BL67" s="236">
        <f t="shared" si="32"/>
        <v>336</v>
      </c>
      <c r="BM67" s="236">
        <f t="shared" si="33"/>
        <v>427</v>
      </c>
      <c r="BN67" s="235">
        <f t="shared" si="60"/>
        <v>127.08333333333333</v>
      </c>
      <c r="BO67" s="235">
        <f t="shared" si="34"/>
        <v>843</v>
      </c>
      <c r="BP67" s="235">
        <f t="shared" si="35"/>
        <v>843</v>
      </c>
      <c r="BQ67" s="235">
        <f t="shared" si="36"/>
        <v>741</v>
      </c>
      <c r="BR67" s="235">
        <f t="shared" si="61"/>
        <v>87.90035587188612</v>
      </c>
    </row>
    <row r="68" spans="1:70" ht="31.5" x14ac:dyDescent="0.2">
      <c r="A68" s="183" t="s">
        <v>168</v>
      </c>
      <c r="B68" s="201" t="s">
        <v>339</v>
      </c>
      <c r="C68" s="214">
        <v>60</v>
      </c>
      <c r="D68" s="97">
        <f t="shared" si="304"/>
        <v>60</v>
      </c>
      <c r="E68" s="214">
        <v>9</v>
      </c>
      <c r="F68" s="99">
        <f t="shared" si="38"/>
        <v>15</v>
      </c>
      <c r="G68" s="214"/>
      <c r="H68" s="97">
        <f t="shared" si="305"/>
        <v>0</v>
      </c>
      <c r="I68" s="214"/>
      <c r="J68" s="99">
        <f t="shared" si="40"/>
        <v>0</v>
      </c>
      <c r="K68" s="210">
        <f t="shared" si="41"/>
        <v>60</v>
      </c>
      <c r="L68" s="210">
        <f t="shared" si="42"/>
        <v>60</v>
      </c>
      <c r="M68" s="210">
        <f t="shared" si="4"/>
        <v>9</v>
      </c>
      <c r="N68" s="158">
        <f t="shared" si="43"/>
        <v>15</v>
      </c>
      <c r="O68" s="214"/>
      <c r="P68" s="214"/>
      <c r="Q68" s="214"/>
      <c r="R68" s="99" t="e">
        <f t="shared" si="116"/>
        <v>#DIV/0!</v>
      </c>
      <c r="S68" s="214"/>
      <c r="T68" s="97"/>
      <c r="U68" s="214"/>
      <c r="V68" s="99" t="e">
        <f t="shared" si="117"/>
        <v>#DIV/0!</v>
      </c>
      <c r="W68" s="214">
        <v>88</v>
      </c>
      <c r="X68" s="97">
        <f t="shared" si="301"/>
        <v>88</v>
      </c>
      <c r="Y68" s="214">
        <v>102</v>
      </c>
      <c r="Z68" s="99">
        <f t="shared" si="45"/>
        <v>115.90909090909092</v>
      </c>
      <c r="AA68" s="210">
        <f t="shared" si="46"/>
        <v>88</v>
      </c>
      <c r="AB68" s="210">
        <f t="shared" si="13"/>
        <v>88</v>
      </c>
      <c r="AC68" s="210">
        <f t="shared" si="13"/>
        <v>102</v>
      </c>
      <c r="AD68" s="210">
        <f t="shared" si="47"/>
        <v>115.90909090909092</v>
      </c>
      <c r="AE68" s="214"/>
      <c r="AF68" s="97"/>
      <c r="AG68" s="214"/>
      <c r="AH68" s="99" t="e">
        <f t="shared" si="118"/>
        <v>#DIV/0!</v>
      </c>
      <c r="AI68" s="214"/>
      <c r="AJ68" s="97"/>
      <c r="AK68" s="214"/>
      <c r="AL68" s="99" t="e">
        <f t="shared" si="119"/>
        <v>#DIV/0!</v>
      </c>
      <c r="AM68" s="214"/>
      <c r="AN68" s="97"/>
      <c r="AO68" s="214"/>
      <c r="AP68" s="99" t="e">
        <f t="shared" si="120"/>
        <v>#DIV/0!</v>
      </c>
      <c r="AQ68" s="214">
        <v>282</v>
      </c>
      <c r="AR68" s="214">
        <v>282</v>
      </c>
      <c r="AS68" s="214">
        <v>177</v>
      </c>
      <c r="AT68" s="99">
        <f t="shared" si="49"/>
        <v>62.765957446808507</v>
      </c>
      <c r="AU68" s="210">
        <f t="shared" si="50"/>
        <v>282</v>
      </c>
      <c r="AV68" s="210">
        <f t="shared" si="51"/>
        <v>282</v>
      </c>
      <c r="AW68" s="210">
        <f t="shared" si="52"/>
        <v>177</v>
      </c>
      <c r="AX68" s="210">
        <f t="shared" si="53"/>
        <v>62.765957446808507</v>
      </c>
      <c r="AY68" s="214">
        <v>93</v>
      </c>
      <c r="AZ68" s="97">
        <f t="shared" si="306"/>
        <v>93</v>
      </c>
      <c r="BA68" s="214">
        <v>142</v>
      </c>
      <c r="BB68" s="99">
        <f t="shared" si="55"/>
        <v>152.68817204301075</v>
      </c>
      <c r="BC68" s="214"/>
      <c r="BD68" s="97">
        <f t="shared" si="307"/>
        <v>0</v>
      </c>
      <c r="BE68" s="214">
        <v>0</v>
      </c>
      <c r="BF68" s="99">
        <f t="shared" si="57"/>
        <v>0</v>
      </c>
      <c r="BG68" s="214">
        <v>208</v>
      </c>
      <c r="BH68" s="97">
        <f t="shared" si="308"/>
        <v>208</v>
      </c>
      <c r="BI68" s="214">
        <v>224</v>
      </c>
      <c r="BJ68" s="99">
        <f t="shared" si="59"/>
        <v>107.69230769230769</v>
      </c>
      <c r="BK68" s="236">
        <f t="shared" si="31"/>
        <v>208</v>
      </c>
      <c r="BL68" s="236">
        <f t="shared" si="32"/>
        <v>208</v>
      </c>
      <c r="BM68" s="236">
        <f t="shared" si="33"/>
        <v>224</v>
      </c>
      <c r="BN68" s="235">
        <f t="shared" si="60"/>
        <v>107.69230769230769</v>
      </c>
      <c r="BO68" s="235">
        <f t="shared" si="34"/>
        <v>731</v>
      </c>
      <c r="BP68" s="235">
        <f t="shared" si="35"/>
        <v>731</v>
      </c>
      <c r="BQ68" s="235">
        <f t="shared" si="36"/>
        <v>654</v>
      </c>
      <c r="BR68" s="235">
        <f t="shared" si="61"/>
        <v>89.466484268125853</v>
      </c>
    </row>
    <row r="69" spans="1:70" ht="31.5" x14ac:dyDescent="0.2">
      <c r="A69" s="183" t="s">
        <v>169</v>
      </c>
      <c r="B69" s="201" t="s">
        <v>339</v>
      </c>
      <c r="C69" s="214">
        <v>206</v>
      </c>
      <c r="D69" s="97">
        <f t="shared" si="304"/>
        <v>206</v>
      </c>
      <c r="E69" s="214">
        <v>42</v>
      </c>
      <c r="F69" s="99">
        <f t="shared" si="38"/>
        <v>20.388349514563107</v>
      </c>
      <c r="G69" s="214"/>
      <c r="H69" s="97">
        <f t="shared" si="305"/>
        <v>0</v>
      </c>
      <c r="I69" s="214"/>
      <c r="J69" s="99">
        <f t="shared" si="40"/>
        <v>0</v>
      </c>
      <c r="K69" s="210">
        <f t="shared" si="41"/>
        <v>206</v>
      </c>
      <c r="L69" s="210">
        <f t="shared" si="42"/>
        <v>206</v>
      </c>
      <c r="M69" s="210">
        <f t="shared" si="4"/>
        <v>42</v>
      </c>
      <c r="N69" s="158">
        <f t="shared" si="43"/>
        <v>20.388349514563107</v>
      </c>
      <c r="O69" s="214"/>
      <c r="P69" s="214"/>
      <c r="Q69" s="214"/>
      <c r="R69" s="99" t="e">
        <f t="shared" si="116"/>
        <v>#DIV/0!</v>
      </c>
      <c r="S69" s="214"/>
      <c r="T69" s="97"/>
      <c r="U69" s="214"/>
      <c r="V69" s="99" t="e">
        <f t="shared" si="117"/>
        <v>#DIV/0!</v>
      </c>
      <c r="W69" s="214">
        <v>197</v>
      </c>
      <c r="X69" s="97">
        <f t="shared" si="301"/>
        <v>197</v>
      </c>
      <c r="Y69" s="214">
        <v>493</v>
      </c>
      <c r="Z69" s="99">
        <f t="shared" si="45"/>
        <v>250.253807106599</v>
      </c>
      <c r="AA69" s="210">
        <f t="shared" si="46"/>
        <v>197</v>
      </c>
      <c r="AB69" s="210">
        <f t="shared" si="13"/>
        <v>197</v>
      </c>
      <c r="AC69" s="210">
        <f t="shared" si="13"/>
        <v>493</v>
      </c>
      <c r="AD69" s="210">
        <f t="shared" si="47"/>
        <v>250.253807106599</v>
      </c>
      <c r="AE69" s="214"/>
      <c r="AF69" s="97"/>
      <c r="AG69" s="214"/>
      <c r="AH69" s="99" t="e">
        <f t="shared" si="118"/>
        <v>#DIV/0!</v>
      </c>
      <c r="AI69" s="214"/>
      <c r="AJ69" s="97"/>
      <c r="AK69" s="214"/>
      <c r="AL69" s="99" t="e">
        <f t="shared" si="119"/>
        <v>#DIV/0!</v>
      </c>
      <c r="AM69" s="214"/>
      <c r="AN69" s="97"/>
      <c r="AO69" s="214"/>
      <c r="AP69" s="99" t="e">
        <f t="shared" si="120"/>
        <v>#DIV/0!</v>
      </c>
      <c r="AQ69" s="214">
        <v>748</v>
      </c>
      <c r="AR69" s="214">
        <v>748</v>
      </c>
      <c r="AS69" s="214">
        <v>329</v>
      </c>
      <c r="AT69" s="99">
        <f t="shared" si="49"/>
        <v>43.983957219251337</v>
      </c>
      <c r="AU69" s="210">
        <f t="shared" si="50"/>
        <v>748</v>
      </c>
      <c r="AV69" s="210">
        <f t="shared" si="51"/>
        <v>748</v>
      </c>
      <c r="AW69" s="210">
        <f t="shared" si="52"/>
        <v>329</v>
      </c>
      <c r="AX69" s="210">
        <f t="shared" si="53"/>
        <v>43.983957219251337</v>
      </c>
      <c r="AY69" s="214">
        <v>252</v>
      </c>
      <c r="AZ69" s="97">
        <f t="shared" si="306"/>
        <v>252</v>
      </c>
      <c r="BA69" s="214">
        <v>293</v>
      </c>
      <c r="BB69" s="99">
        <f t="shared" si="55"/>
        <v>116.26984126984128</v>
      </c>
      <c r="BC69" s="214"/>
      <c r="BD69" s="97">
        <f t="shared" si="307"/>
        <v>0</v>
      </c>
      <c r="BE69" s="214">
        <v>0</v>
      </c>
      <c r="BF69" s="99">
        <f t="shared" si="57"/>
        <v>0</v>
      </c>
      <c r="BG69" s="214">
        <v>411</v>
      </c>
      <c r="BH69" s="97">
        <f t="shared" si="308"/>
        <v>411</v>
      </c>
      <c r="BI69" s="214">
        <v>599</v>
      </c>
      <c r="BJ69" s="99">
        <f t="shared" si="59"/>
        <v>145.74209245742094</v>
      </c>
      <c r="BK69" s="236">
        <f t="shared" si="31"/>
        <v>411</v>
      </c>
      <c r="BL69" s="236">
        <f t="shared" si="32"/>
        <v>411</v>
      </c>
      <c r="BM69" s="236">
        <f t="shared" si="33"/>
        <v>599</v>
      </c>
      <c r="BN69" s="235">
        <f t="shared" si="60"/>
        <v>145.74209245742094</v>
      </c>
      <c r="BO69" s="235">
        <f t="shared" si="34"/>
        <v>1814</v>
      </c>
      <c r="BP69" s="235">
        <f t="shared" si="35"/>
        <v>1814</v>
      </c>
      <c r="BQ69" s="235">
        <f t="shared" si="36"/>
        <v>1756</v>
      </c>
      <c r="BR69" s="235">
        <f t="shared" si="61"/>
        <v>96.802646085997793</v>
      </c>
    </row>
    <row r="70" spans="1:70" ht="31.5" x14ac:dyDescent="0.2">
      <c r="A70" s="176" t="s">
        <v>170</v>
      </c>
      <c r="B70" s="197" t="s">
        <v>3</v>
      </c>
      <c r="C70" s="218">
        <f t="shared" ref="C70:D70" si="309">C71*7+C72*8+C73*8</f>
        <v>3917</v>
      </c>
      <c r="D70" s="218">
        <f t="shared" si="309"/>
        <v>3917</v>
      </c>
      <c r="E70" s="218">
        <f t="shared" ref="E70" si="310">E71*7+E72*8+E73*8</f>
        <v>126</v>
      </c>
      <c r="F70" s="179">
        <f t="shared" si="38"/>
        <v>3.2167475108501402</v>
      </c>
      <c r="G70" s="218">
        <f t="shared" ref="G70" si="311">G71*7+G72*8+G73*8</f>
        <v>0</v>
      </c>
      <c r="H70" s="184">
        <f t="shared" si="305"/>
        <v>0</v>
      </c>
      <c r="I70" s="218">
        <f t="shared" ref="I70" si="312">I71*7+I72*8+I73*8</f>
        <v>0</v>
      </c>
      <c r="J70" s="179">
        <f t="shared" si="40"/>
        <v>0</v>
      </c>
      <c r="K70" s="210">
        <f t="shared" si="41"/>
        <v>3917</v>
      </c>
      <c r="L70" s="210">
        <f t="shared" si="42"/>
        <v>3917</v>
      </c>
      <c r="M70" s="210">
        <f t="shared" si="4"/>
        <v>126</v>
      </c>
      <c r="N70" s="158">
        <f t="shared" si="43"/>
        <v>3.2167475108501402</v>
      </c>
      <c r="O70" s="218">
        <f t="shared" ref="O70" si="313">O71*7+O72*8+O73*8</f>
        <v>0</v>
      </c>
      <c r="P70" s="184"/>
      <c r="Q70" s="218">
        <f t="shared" ref="Q70" si="314">Q71*7+Q72*8+Q73*8</f>
        <v>0</v>
      </c>
      <c r="R70" s="179" t="e">
        <f t="shared" si="116"/>
        <v>#DIV/0!</v>
      </c>
      <c r="S70" s="218">
        <f t="shared" ref="S70" si="315">S71*7+S72*8+S73*8</f>
        <v>0</v>
      </c>
      <c r="T70" s="184"/>
      <c r="U70" s="218">
        <f t="shared" ref="U70" si="316">U71*7+U72*8+U73*8</f>
        <v>0</v>
      </c>
      <c r="V70" s="179" t="e">
        <f t="shared" si="117"/>
        <v>#DIV/0!</v>
      </c>
      <c r="W70" s="218">
        <f t="shared" ref="W70:X70" si="317">W71*7+W72*8+W73*8</f>
        <v>0</v>
      </c>
      <c r="X70" s="218">
        <f t="shared" si="317"/>
        <v>0</v>
      </c>
      <c r="Y70" s="218">
        <f t="shared" ref="Y70" si="318">Y71*7+Y72*8+Y73*8</f>
        <v>0</v>
      </c>
      <c r="Z70" s="179">
        <f t="shared" si="45"/>
        <v>0</v>
      </c>
      <c r="AA70" s="210">
        <f t="shared" si="46"/>
        <v>0</v>
      </c>
      <c r="AB70" s="210">
        <f t="shared" si="13"/>
        <v>0</v>
      </c>
      <c r="AC70" s="210">
        <f t="shared" si="13"/>
        <v>0</v>
      </c>
      <c r="AD70" s="210">
        <f t="shared" si="47"/>
        <v>0</v>
      </c>
      <c r="AE70" s="218">
        <f t="shared" ref="AE70" si="319">AE71*7+AE72*8+AE73*8</f>
        <v>0</v>
      </c>
      <c r="AF70" s="184"/>
      <c r="AG70" s="218">
        <f t="shared" ref="AG70" si="320">AG71*7+AG72*8+AG73*8</f>
        <v>0</v>
      </c>
      <c r="AH70" s="179" t="e">
        <f t="shared" si="118"/>
        <v>#DIV/0!</v>
      </c>
      <c r="AI70" s="218">
        <f t="shared" ref="AI70" si="321">AI71*7+AI72*8+AI73*8</f>
        <v>0</v>
      </c>
      <c r="AJ70" s="184"/>
      <c r="AK70" s="218">
        <f t="shared" ref="AK70" si="322">AK71*7+AK72*8+AK73*8</f>
        <v>0</v>
      </c>
      <c r="AL70" s="179" t="e">
        <f t="shared" si="119"/>
        <v>#DIV/0!</v>
      </c>
      <c r="AM70" s="218">
        <f t="shared" ref="AM70" si="323">AM71*7+AM72*8+AM73*8</f>
        <v>0</v>
      </c>
      <c r="AN70" s="184"/>
      <c r="AO70" s="218">
        <f t="shared" ref="AO70" si="324">AO71*7+AO72*8+AO73*8</f>
        <v>0</v>
      </c>
      <c r="AP70" s="179" t="e">
        <f t="shared" si="120"/>
        <v>#DIV/0!</v>
      </c>
      <c r="AQ70" s="218">
        <f t="shared" ref="AQ70:AR70" si="325">AQ71*7+AQ72*8+AQ73*8</f>
        <v>13865</v>
      </c>
      <c r="AR70" s="218">
        <f t="shared" si="325"/>
        <v>13865</v>
      </c>
      <c r="AS70" s="218">
        <f t="shared" ref="AS70" si="326">AS71*7+AS72*8+AS73*8</f>
        <v>7266</v>
      </c>
      <c r="AT70" s="179">
        <f t="shared" si="49"/>
        <v>52.40533717994952</v>
      </c>
      <c r="AU70" s="210">
        <f t="shared" si="50"/>
        <v>13865</v>
      </c>
      <c r="AV70" s="210">
        <f t="shared" si="51"/>
        <v>13865</v>
      </c>
      <c r="AW70" s="210">
        <f t="shared" si="52"/>
        <v>7266</v>
      </c>
      <c r="AX70" s="210">
        <f t="shared" si="53"/>
        <v>52.40533717994952</v>
      </c>
      <c r="AY70" s="218">
        <f t="shared" ref="AY70:AZ70" si="327">AY71*7+AY72*8+AY73*8</f>
        <v>3510</v>
      </c>
      <c r="AZ70" s="218">
        <f t="shared" si="327"/>
        <v>3510</v>
      </c>
      <c r="BA70" s="218">
        <f t="shared" ref="BA70" si="328">BA71*7+BA72*8+BA73*8</f>
        <v>2746</v>
      </c>
      <c r="BB70" s="179">
        <f t="shared" si="55"/>
        <v>78.23361823361823</v>
      </c>
      <c r="BC70" s="218">
        <f t="shared" ref="BC70:BD70" si="329">BC71*7+BC72*8+BC73*8</f>
        <v>2056</v>
      </c>
      <c r="BD70" s="218">
        <f t="shared" si="329"/>
        <v>2056</v>
      </c>
      <c r="BE70" s="218">
        <f t="shared" ref="BE70" si="330">BE71*7+BE72*8+BE73*8</f>
        <v>1574</v>
      </c>
      <c r="BF70" s="179">
        <f t="shared" si="57"/>
        <v>76.556420233463029</v>
      </c>
      <c r="BG70" s="218">
        <f t="shared" ref="BG70:BH70" si="331">BG71*7+BG72*8+BG73*8</f>
        <v>5480</v>
      </c>
      <c r="BH70" s="218">
        <f t="shared" si="331"/>
        <v>5480</v>
      </c>
      <c r="BI70" s="218">
        <f t="shared" ref="BI70" si="332">BI71*7+BI72*8+BI73*8</f>
        <v>1998</v>
      </c>
      <c r="BJ70" s="179">
        <f t="shared" si="59"/>
        <v>36.459854014598541</v>
      </c>
      <c r="BK70" s="236">
        <f t="shared" si="31"/>
        <v>7536</v>
      </c>
      <c r="BL70" s="236">
        <f t="shared" si="32"/>
        <v>7536</v>
      </c>
      <c r="BM70" s="236">
        <f t="shared" si="33"/>
        <v>3572</v>
      </c>
      <c r="BN70" s="235">
        <f t="shared" si="60"/>
        <v>47.399150743099788</v>
      </c>
      <c r="BO70" s="235">
        <f t="shared" si="34"/>
        <v>28828</v>
      </c>
      <c r="BP70" s="235">
        <f t="shared" si="35"/>
        <v>28828</v>
      </c>
      <c r="BQ70" s="235">
        <f t="shared" si="36"/>
        <v>13710</v>
      </c>
      <c r="BR70" s="235">
        <f t="shared" si="61"/>
        <v>47.557929790481481</v>
      </c>
    </row>
    <row r="71" spans="1:70" ht="31.5" x14ac:dyDescent="0.2">
      <c r="A71" s="185" t="s">
        <v>171</v>
      </c>
      <c r="B71" s="201" t="s">
        <v>339</v>
      </c>
      <c r="C71" s="214">
        <v>163</v>
      </c>
      <c r="D71" s="97">
        <f t="shared" si="304"/>
        <v>163</v>
      </c>
      <c r="E71" s="214">
        <v>10</v>
      </c>
      <c r="F71" s="99">
        <f t="shared" si="38"/>
        <v>6.1349693251533743</v>
      </c>
      <c r="G71" s="214"/>
      <c r="H71" s="97">
        <f t="shared" si="305"/>
        <v>0</v>
      </c>
      <c r="I71" s="214"/>
      <c r="J71" s="99">
        <f t="shared" si="40"/>
        <v>0</v>
      </c>
      <c r="K71" s="210">
        <f t="shared" si="41"/>
        <v>163</v>
      </c>
      <c r="L71" s="210">
        <f t="shared" si="42"/>
        <v>163</v>
      </c>
      <c r="M71" s="210">
        <f t="shared" si="4"/>
        <v>10</v>
      </c>
      <c r="N71" s="158">
        <f t="shared" si="43"/>
        <v>6.1349693251533743</v>
      </c>
      <c r="O71" s="214"/>
      <c r="P71" s="97"/>
      <c r="Q71" s="214"/>
      <c r="R71" s="99" t="e">
        <f t="shared" si="116"/>
        <v>#DIV/0!</v>
      </c>
      <c r="S71" s="214"/>
      <c r="T71" s="97"/>
      <c r="U71" s="214"/>
      <c r="V71" s="99" t="e">
        <f t="shared" si="117"/>
        <v>#DIV/0!</v>
      </c>
      <c r="W71" s="214"/>
      <c r="X71" s="304">
        <f t="shared" ref="X71:X86" si="333">(W71/11*2)+S71+O71</f>
        <v>0</v>
      </c>
      <c r="Y71" s="214">
        <v>0</v>
      </c>
      <c r="Z71" s="99">
        <f t="shared" si="45"/>
        <v>0</v>
      </c>
      <c r="AA71" s="210">
        <f t="shared" si="46"/>
        <v>0</v>
      </c>
      <c r="AB71" s="210">
        <f t="shared" si="13"/>
        <v>0</v>
      </c>
      <c r="AC71" s="210">
        <f t="shared" si="13"/>
        <v>0</v>
      </c>
      <c r="AD71" s="210">
        <f t="shared" si="47"/>
        <v>0</v>
      </c>
      <c r="AE71" s="214"/>
      <c r="AF71" s="97"/>
      <c r="AG71" s="214"/>
      <c r="AH71" s="99" t="e">
        <f t="shared" si="118"/>
        <v>#DIV/0!</v>
      </c>
      <c r="AI71" s="214"/>
      <c r="AJ71" s="97"/>
      <c r="AK71" s="214"/>
      <c r="AL71" s="99" t="e">
        <f t="shared" si="119"/>
        <v>#DIV/0!</v>
      </c>
      <c r="AM71" s="214"/>
      <c r="AN71" s="97"/>
      <c r="AO71" s="214"/>
      <c r="AP71" s="99" t="e">
        <f t="shared" si="120"/>
        <v>#DIV/0!</v>
      </c>
      <c r="AQ71" s="214">
        <v>591</v>
      </c>
      <c r="AR71" s="214">
        <v>591</v>
      </c>
      <c r="AS71" s="214">
        <v>294</v>
      </c>
      <c r="AT71" s="99">
        <f t="shared" si="49"/>
        <v>49.746192893401016</v>
      </c>
      <c r="AU71" s="210">
        <f t="shared" si="50"/>
        <v>591</v>
      </c>
      <c r="AV71" s="210">
        <f t="shared" si="51"/>
        <v>591</v>
      </c>
      <c r="AW71" s="210">
        <f t="shared" si="52"/>
        <v>294</v>
      </c>
      <c r="AX71" s="210">
        <f t="shared" si="53"/>
        <v>49.746192893401016</v>
      </c>
      <c r="AY71" s="214">
        <v>90</v>
      </c>
      <c r="AZ71" s="97">
        <f t="shared" si="306"/>
        <v>90</v>
      </c>
      <c r="BA71" s="214">
        <v>150</v>
      </c>
      <c r="BB71" s="99">
        <f t="shared" si="55"/>
        <v>166.66666666666669</v>
      </c>
      <c r="BC71" s="214">
        <v>56</v>
      </c>
      <c r="BD71" s="97">
        <f t="shared" si="307"/>
        <v>56</v>
      </c>
      <c r="BE71" s="214">
        <v>82</v>
      </c>
      <c r="BF71" s="99">
        <f t="shared" si="57"/>
        <v>146.42857142857142</v>
      </c>
      <c r="BG71" s="214">
        <v>200</v>
      </c>
      <c r="BH71" s="97">
        <f t="shared" si="308"/>
        <v>200</v>
      </c>
      <c r="BI71" s="214">
        <v>154</v>
      </c>
      <c r="BJ71" s="99">
        <f t="shared" si="59"/>
        <v>77</v>
      </c>
      <c r="BK71" s="236">
        <f t="shared" si="31"/>
        <v>256</v>
      </c>
      <c r="BL71" s="236">
        <f t="shared" si="32"/>
        <v>256</v>
      </c>
      <c r="BM71" s="236">
        <f t="shared" si="33"/>
        <v>236</v>
      </c>
      <c r="BN71" s="235">
        <f t="shared" si="60"/>
        <v>92.1875</v>
      </c>
      <c r="BO71" s="235">
        <f t="shared" si="34"/>
        <v>1100</v>
      </c>
      <c r="BP71" s="235">
        <f t="shared" si="35"/>
        <v>1100</v>
      </c>
      <c r="BQ71" s="235">
        <f t="shared" si="36"/>
        <v>690</v>
      </c>
      <c r="BR71" s="235">
        <f t="shared" si="61"/>
        <v>62.727272727272734</v>
      </c>
    </row>
    <row r="72" spans="1:70" ht="47.25" x14ac:dyDescent="0.2">
      <c r="A72" s="185" t="s">
        <v>172</v>
      </c>
      <c r="B72" s="201" t="s">
        <v>339</v>
      </c>
      <c r="C72" s="214">
        <v>240</v>
      </c>
      <c r="D72" s="97">
        <f t="shared" si="304"/>
        <v>240</v>
      </c>
      <c r="E72" s="214">
        <v>7</v>
      </c>
      <c r="F72" s="99">
        <f t="shared" si="38"/>
        <v>2.9166666666666665</v>
      </c>
      <c r="G72" s="214"/>
      <c r="H72" s="97">
        <f t="shared" si="305"/>
        <v>0</v>
      </c>
      <c r="I72" s="214"/>
      <c r="J72" s="99">
        <f t="shared" si="40"/>
        <v>0</v>
      </c>
      <c r="K72" s="210">
        <f t="shared" si="41"/>
        <v>240</v>
      </c>
      <c r="L72" s="210">
        <f t="shared" si="42"/>
        <v>240</v>
      </c>
      <c r="M72" s="210">
        <f t="shared" si="4"/>
        <v>7</v>
      </c>
      <c r="N72" s="158">
        <f t="shared" si="43"/>
        <v>2.9166666666666665</v>
      </c>
      <c r="O72" s="214"/>
      <c r="P72" s="97"/>
      <c r="Q72" s="214"/>
      <c r="R72" s="99" t="e">
        <f t="shared" si="116"/>
        <v>#DIV/0!</v>
      </c>
      <c r="S72" s="214"/>
      <c r="T72" s="97"/>
      <c r="U72" s="214"/>
      <c r="V72" s="99" t="e">
        <f t="shared" si="117"/>
        <v>#DIV/0!</v>
      </c>
      <c r="W72" s="214"/>
      <c r="X72" s="304">
        <f t="shared" si="333"/>
        <v>0</v>
      </c>
      <c r="Y72" s="214">
        <v>0</v>
      </c>
      <c r="Z72" s="99">
        <f t="shared" si="45"/>
        <v>0</v>
      </c>
      <c r="AA72" s="210">
        <f t="shared" si="46"/>
        <v>0</v>
      </c>
      <c r="AB72" s="210">
        <f t="shared" si="13"/>
        <v>0</v>
      </c>
      <c r="AC72" s="210">
        <f t="shared" si="13"/>
        <v>0</v>
      </c>
      <c r="AD72" s="210">
        <f t="shared" si="47"/>
        <v>0</v>
      </c>
      <c r="AE72" s="214"/>
      <c r="AF72" s="97"/>
      <c r="AG72" s="214"/>
      <c r="AH72" s="99" t="e">
        <f t="shared" si="118"/>
        <v>#DIV/0!</v>
      </c>
      <c r="AI72" s="214"/>
      <c r="AJ72" s="97"/>
      <c r="AK72" s="214"/>
      <c r="AL72" s="99" t="e">
        <f t="shared" si="119"/>
        <v>#DIV/0!</v>
      </c>
      <c r="AM72" s="214"/>
      <c r="AN72" s="97"/>
      <c r="AO72" s="214"/>
      <c r="AP72" s="99" t="e">
        <f t="shared" si="120"/>
        <v>#DIV/0!</v>
      </c>
      <c r="AQ72" s="214">
        <v>555</v>
      </c>
      <c r="AR72" s="214">
        <v>555</v>
      </c>
      <c r="AS72" s="214">
        <v>647</v>
      </c>
      <c r="AT72" s="99">
        <f t="shared" si="49"/>
        <v>116.57657657657658</v>
      </c>
      <c r="AU72" s="210">
        <f t="shared" si="50"/>
        <v>555</v>
      </c>
      <c r="AV72" s="210">
        <f t="shared" si="51"/>
        <v>555</v>
      </c>
      <c r="AW72" s="210">
        <f t="shared" si="52"/>
        <v>647</v>
      </c>
      <c r="AX72" s="210">
        <f t="shared" si="53"/>
        <v>116.57657657657658</v>
      </c>
      <c r="AY72" s="214">
        <v>360</v>
      </c>
      <c r="AZ72" s="97">
        <f t="shared" si="306"/>
        <v>360</v>
      </c>
      <c r="BA72" s="214">
        <v>211</v>
      </c>
      <c r="BB72" s="99">
        <f t="shared" si="55"/>
        <v>58.611111111111114</v>
      </c>
      <c r="BC72" s="214">
        <v>120</v>
      </c>
      <c r="BD72" s="97">
        <f t="shared" si="307"/>
        <v>120</v>
      </c>
      <c r="BE72" s="214">
        <v>125</v>
      </c>
      <c r="BF72" s="99">
        <f t="shared" si="57"/>
        <v>104.16666666666667</v>
      </c>
      <c r="BG72" s="214">
        <v>310</v>
      </c>
      <c r="BH72" s="97">
        <f t="shared" si="308"/>
        <v>310</v>
      </c>
      <c r="BI72" s="214">
        <v>115</v>
      </c>
      <c r="BJ72" s="99">
        <f t="shared" si="59"/>
        <v>37.096774193548384</v>
      </c>
      <c r="BK72" s="236">
        <f t="shared" si="31"/>
        <v>430</v>
      </c>
      <c r="BL72" s="236">
        <f t="shared" si="32"/>
        <v>430</v>
      </c>
      <c r="BM72" s="236">
        <f t="shared" si="33"/>
        <v>240</v>
      </c>
      <c r="BN72" s="235">
        <f t="shared" si="60"/>
        <v>55.813953488372093</v>
      </c>
      <c r="BO72" s="235">
        <f t="shared" si="34"/>
        <v>1585</v>
      </c>
      <c r="BP72" s="235">
        <f t="shared" si="35"/>
        <v>1585</v>
      </c>
      <c r="BQ72" s="235">
        <f t="shared" si="36"/>
        <v>1105</v>
      </c>
      <c r="BR72" s="235">
        <f t="shared" si="61"/>
        <v>69.716088328075713</v>
      </c>
    </row>
    <row r="73" spans="1:70" ht="94.5" x14ac:dyDescent="0.2">
      <c r="A73" s="185" t="s">
        <v>173</v>
      </c>
      <c r="B73" s="201" t="s">
        <v>339</v>
      </c>
      <c r="C73" s="214">
        <v>107</v>
      </c>
      <c r="D73" s="97">
        <f t="shared" si="304"/>
        <v>107</v>
      </c>
      <c r="E73" s="214">
        <v>0</v>
      </c>
      <c r="F73" s="99">
        <f t="shared" si="38"/>
        <v>0</v>
      </c>
      <c r="G73" s="214"/>
      <c r="H73" s="97">
        <f t="shared" si="305"/>
        <v>0</v>
      </c>
      <c r="I73" s="214"/>
      <c r="J73" s="99">
        <f t="shared" si="40"/>
        <v>0</v>
      </c>
      <c r="K73" s="210">
        <f t="shared" si="41"/>
        <v>107</v>
      </c>
      <c r="L73" s="210">
        <f t="shared" si="42"/>
        <v>107</v>
      </c>
      <c r="M73" s="210">
        <f t="shared" si="4"/>
        <v>0</v>
      </c>
      <c r="N73" s="158">
        <f t="shared" si="43"/>
        <v>0</v>
      </c>
      <c r="O73" s="214"/>
      <c r="P73" s="97"/>
      <c r="Q73" s="214"/>
      <c r="R73" s="99" t="e">
        <f t="shared" si="116"/>
        <v>#DIV/0!</v>
      </c>
      <c r="S73" s="214"/>
      <c r="T73" s="97"/>
      <c r="U73" s="214"/>
      <c r="V73" s="99" t="e">
        <f t="shared" si="117"/>
        <v>#DIV/0!</v>
      </c>
      <c r="W73" s="214"/>
      <c r="X73" s="304">
        <f t="shared" si="333"/>
        <v>0</v>
      </c>
      <c r="Y73" s="214">
        <v>0</v>
      </c>
      <c r="Z73" s="99">
        <f t="shared" si="45"/>
        <v>0</v>
      </c>
      <c r="AA73" s="210">
        <f t="shared" si="46"/>
        <v>0</v>
      </c>
      <c r="AB73" s="210">
        <f t="shared" si="13"/>
        <v>0</v>
      </c>
      <c r="AC73" s="210">
        <f t="shared" si="13"/>
        <v>0</v>
      </c>
      <c r="AD73" s="210">
        <f t="shared" si="47"/>
        <v>0</v>
      </c>
      <c r="AE73" s="214"/>
      <c r="AF73" s="97"/>
      <c r="AG73" s="214"/>
      <c r="AH73" s="99" t="e">
        <f t="shared" si="118"/>
        <v>#DIV/0!</v>
      </c>
      <c r="AI73" s="214"/>
      <c r="AJ73" s="97"/>
      <c r="AK73" s="214"/>
      <c r="AL73" s="99" t="e">
        <f t="shared" si="119"/>
        <v>#DIV/0!</v>
      </c>
      <c r="AM73" s="214"/>
      <c r="AN73" s="97"/>
      <c r="AO73" s="214"/>
      <c r="AP73" s="99" t="e">
        <f t="shared" si="120"/>
        <v>#DIV/0!</v>
      </c>
      <c r="AQ73" s="214">
        <v>661</v>
      </c>
      <c r="AR73" s="214">
        <v>661</v>
      </c>
      <c r="AS73" s="214">
        <v>4</v>
      </c>
      <c r="AT73" s="99">
        <f t="shared" si="49"/>
        <v>0.60514372163388808</v>
      </c>
      <c r="AU73" s="210">
        <f t="shared" si="50"/>
        <v>661</v>
      </c>
      <c r="AV73" s="210">
        <f t="shared" si="51"/>
        <v>661</v>
      </c>
      <c r="AW73" s="210">
        <f t="shared" si="52"/>
        <v>4</v>
      </c>
      <c r="AX73" s="210">
        <f t="shared" si="53"/>
        <v>0.60514372163388808</v>
      </c>
      <c r="AY73" s="214"/>
      <c r="AZ73" s="97">
        <f t="shared" si="306"/>
        <v>0</v>
      </c>
      <c r="BA73" s="214">
        <v>1</v>
      </c>
      <c r="BB73" s="99">
        <f t="shared" si="55"/>
        <v>0</v>
      </c>
      <c r="BC73" s="214">
        <v>88</v>
      </c>
      <c r="BD73" s="97">
        <f t="shared" si="307"/>
        <v>88</v>
      </c>
      <c r="BE73" s="214">
        <v>0</v>
      </c>
      <c r="BF73" s="99">
        <f t="shared" si="57"/>
        <v>0</v>
      </c>
      <c r="BG73" s="214">
        <v>200</v>
      </c>
      <c r="BH73" s="97">
        <f t="shared" si="308"/>
        <v>200</v>
      </c>
      <c r="BI73" s="214">
        <v>0</v>
      </c>
      <c r="BJ73" s="99">
        <f t="shared" si="59"/>
        <v>0</v>
      </c>
      <c r="BK73" s="236">
        <f t="shared" si="31"/>
        <v>288</v>
      </c>
      <c r="BL73" s="236">
        <f t="shared" si="32"/>
        <v>288</v>
      </c>
      <c r="BM73" s="236">
        <f t="shared" si="33"/>
        <v>0</v>
      </c>
      <c r="BN73" s="235">
        <f t="shared" si="60"/>
        <v>0</v>
      </c>
      <c r="BO73" s="235">
        <f t="shared" si="34"/>
        <v>1056</v>
      </c>
      <c r="BP73" s="235">
        <f t="shared" si="35"/>
        <v>1056</v>
      </c>
      <c r="BQ73" s="235">
        <f t="shared" si="36"/>
        <v>5</v>
      </c>
      <c r="BR73" s="235">
        <f t="shared" si="61"/>
        <v>0.47348484848484851</v>
      </c>
    </row>
    <row r="74" spans="1:70" ht="31.5" x14ac:dyDescent="0.2">
      <c r="A74" s="176" t="s">
        <v>174</v>
      </c>
      <c r="B74" s="197" t="s">
        <v>3</v>
      </c>
      <c r="C74" s="218">
        <f t="shared" ref="C74:D74" si="334">C75+C76+C77</f>
        <v>749</v>
      </c>
      <c r="D74" s="218">
        <f t="shared" si="334"/>
        <v>749</v>
      </c>
      <c r="E74" s="218">
        <f t="shared" ref="E74" si="335">E75+E76+E77</f>
        <v>62</v>
      </c>
      <c r="F74" s="179">
        <f t="shared" si="38"/>
        <v>8.2777036048064083</v>
      </c>
      <c r="G74" s="218">
        <f t="shared" ref="G74" si="336">G75+G76+G77</f>
        <v>0</v>
      </c>
      <c r="H74" s="184">
        <f t="shared" si="305"/>
        <v>0</v>
      </c>
      <c r="I74" s="218">
        <f t="shared" ref="I74" si="337">I75+I76+I77</f>
        <v>0</v>
      </c>
      <c r="J74" s="179">
        <f t="shared" si="40"/>
        <v>0</v>
      </c>
      <c r="K74" s="210">
        <f t="shared" si="41"/>
        <v>749</v>
      </c>
      <c r="L74" s="210">
        <f t="shared" si="42"/>
        <v>749</v>
      </c>
      <c r="M74" s="210">
        <f t="shared" si="4"/>
        <v>62</v>
      </c>
      <c r="N74" s="158">
        <f t="shared" si="43"/>
        <v>8.2777036048064083</v>
      </c>
      <c r="O74" s="218">
        <f t="shared" ref="O74" si="338">O75+O76+O77</f>
        <v>0</v>
      </c>
      <c r="P74" s="184"/>
      <c r="Q74" s="218">
        <f t="shared" ref="Q74" si="339">Q75+Q76+Q77</f>
        <v>0</v>
      </c>
      <c r="R74" s="179" t="e">
        <f t="shared" si="116"/>
        <v>#DIV/0!</v>
      </c>
      <c r="S74" s="218">
        <f t="shared" ref="S74" si="340">S75+S76+S77</f>
        <v>0</v>
      </c>
      <c r="T74" s="184"/>
      <c r="U74" s="218">
        <f t="shared" ref="U74" si="341">U75+U76+U77</f>
        <v>0</v>
      </c>
      <c r="V74" s="179" t="e">
        <f t="shared" si="117"/>
        <v>#DIV/0!</v>
      </c>
      <c r="W74" s="218">
        <f t="shared" ref="W74:X74" si="342">W75+W76+W77</f>
        <v>296</v>
      </c>
      <c r="X74" s="218">
        <f t="shared" si="342"/>
        <v>296</v>
      </c>
      <c r="Y74" s="218">
        <f t="shared" ref="Y74" si="343">Y75+Y76+Y77</f>
        <v>609</v>
      </c>
      <c r="Z74" s="179">
        <f t="shared" si="45"/>
        <v>205.74324324324326</v>
      </c>
      <c r="AA74" s="210">
        <f t="shared" si="46"/>
        <v>296</v>
      </c>
      <c r="AB74" s="210">
        <f t="shared" si="13"/>
        <v>296</v>
      </c>
      <c r="AC74" s="210">
        <f t="shared" si="13"/>
        <v>609</v>
      </c>
      <c r="AD74" s="210">
        <f t="shared" si="47"/>
        <v>205.74324324324326</v>
      </c>
      <c r="AE74" s="218">
        <f t="shared" ref="AE74" si="344">AE75+AE76+AE77</f>
        <v>0</v>
      </c>
      <c r="AF74" s="184"/>
      <c r="AG74" s="218">
        <f t="shared" ref="AG74" si="345">AG75+AG76+AG77</f>
        <v>0</v>
      </c>
      <c r="AH74" s="179" t="e">
        <f t="shared" si="118"/>
        <v>#DIV/0!</v>
      </c>
      <c r="AI74" s="218">
        <f t="shared" ref="AI74" si="346">AI75+AI76+AI77</f>
        <v>0</v>
      </c>
      <c r="AJ74" s="184"/>
      <c r="AK74" s="218">
        <f t="shared" ref="AK74" si="347">AK75+AK76+AK77</f>
        <v>0</v>
      </c>
      <c r="AL74" s="179" t="e">
        <f t="shared" si="119"/>
        <v>#DIV/0!</v>
      </c>
      <c r="AM74" s="218">
        <f t="shared" ref="AM74" si="348">AM75+AM76+AM77</f>
        <v>0</v>
      </c>
      <c r="AN74" s="184"/>
      <c r="AO74" s="218">
        <f t="shared" ref="AO74" si="349">AO75+AO76+AO77</f>
        <v>0</v>
      </c>
      <c r="AP74" s="179" t="e">
        <f t="shared" si="120"/>
        <v>#DIV/0!</v>
      </c>
      <c r="AQ74" s="218">
        <f t="shared" ref="AQ74:AR74" si="350">AQ75+AQ76+AQ77</f>
        <v>114</v>
      </c>
      <c r="AR74" s="218">
        <f t="shared" si="350"/>
        <v>114</v>
      </c>
      <c r="AS74" s="218">
        <f t="shared" ref="AS74" si="351">AS75+AS76+AS77</f>
        <v>2966</v>
      </c>
      <c r="AT74" s="179">
        <f t="shared" si="49"/>
        <v>2601.7543859649122</v>
      </c>
      <c r="AU74" s="210">
        <f t="shared" si="50"/>
        <v>114</v>
      </c>
      <c r="AV74" s="210">
        <f t="shared" si="51"/>
        <v>114</v>
      </c>
      <c r="AW74" s="210">
        <f t="shared" si="52"/>
        <v>2966</v>
      </c>
      <c r="AX74" s="210">
        <f t="shared" si="53"/>
        <v>2601.7543859649122</v>
      </c>
      <c r="AY74" s="218">
        <f t="shared" ref="AY74:AZ74" si="352">AY75+AY76+AY77</f>
        <v>545</v>
      </c>
      <c r="AZ74" s="218">
        <f t="shared" si="352"/>
        <v>545</v>
      </c>
      <c r="BA74" s="218">
        <f t="shared" ref="BA74" si="353">BA75+BA76+BA77</f>
        <v>577</v>
      </c>
      <c r="BB74" s="179">
        <f t="shared" si="55"/>
        <v>105.87155963302752</v>
      </c>
      <c r="BC74" s="218">
        <f t="shared" ref="BC74:BD74" si="354">BC75+BC76+BC77</f>
        <v>473</v>
      </c>
      <c r="BD74" s="218">
        <f t="shared" si="354"/>
        <v>473</v>
      </c>
      <c r="BE74" s="218">
        <f t="shared" ref="BE74" si="355">BE75+BE76+BE77</f>
        <v>242</v>
      </c>
      <c r="BF74" s="179">
        <f t="shared" si="57"/>
        <v>51.162790697674424</v>
      </c>
      <c r="BG74" s="218">
        <f t="shared" ref="BG74" si="356">BG75+BG76+BG77</f>
        <v>0</v>
      </c>
      <c r="BH74" s="184">
        <f t="shared" si="308"/>
        <v>0</v>
      </c>
      <c r="BI74" s="218">
        <f t="shared" ref="BI74" si="357">BI75+BI76+BI77</f>
        <v>0</v>
      </c>
      <c r="BJ74" s="179">
        <f t="shared" si="59"/>
        <v>0</v>
      </c>
      <c r="BK74" s="236">
        <f t="shared" si="31"/>
        <v>473</v>
      </c>
      <c r="BL74" s="236">
        <f t="shared" si="32"/>
        <v>473</v>
      </c>
      <c r="BM74" s="236">
        <f t="shared" si="33"/>
        <v>242</v>
      </c>
      <c r="BN74" s="235">
        <f t="shared" si="60"/>
        <v>51.162790697674424</v>
      </c>
      <c r="BO74" s="235">
        <f t="shared" si="34"/>
        <v>2177</v>
      </c>
      <c r="BP74" s="235">
        <f t="shared" si="35"/>
        <v>2177</v>
      </c>
      <c r="BQ74" s="235">
        <f t="shared" si="36"/>
        <v>4456</v>
      </c>
      <c r="BR74" s="235">
        <f t="shared" si="61"/>
        <v>204.68534680753331</v>
      </c>
    </row>
    <row r="75" spans="1:70" ht="31.5" x14ac:dyDescent="0.2">
      <c r="A75" s="185" t="s">
        <v>175</v>
      </c>
      <c r="B75" s="201" t="s">
        <v>339</v>
      </c>
      <c r="C75" s="214">
        <v>204</v>
      </c>
      <c r="D75" s="97">
        <f t="shared" si="304"/>
        <v>204</v>
      </c>
      <c r="E75" s="214">
        <v>32</v>
      </c>
      <c r="F75" s="99">
        <f t="shared" si="38"/>
        <v>15.686274509803921</v>
      </c>
      <c r="G75" s="214"/>
      <c r="H75" s="97">
        <f t="shared" si="305"/>
        <v>0</v>
      </c>
      <c r="I75" s="214"/>
      <c r="J75" s="99">
        <f t="shared" si="40"/>
        <v>0</v>
      </c>
      <c r="K75" s="210">
        <f t="shared" si="41"/>
        <v>204</v>
      </c>
      <c r="L75" s="210">
        <f t="shared" si="42"/>
        <v>204</v>
      </c>
      <c r="M75" s="210">
        <f t="shared" si="4"/>
        <v>32</v>
      </c>
      <c r="N75" s="158">
        <f t="shared" si="43"/>
        <v>15.686274509803921</v>
      </c>
      <c r="O75" s="214"/>
      <c r="P75" s="97"/>
      <c r="Q75" s="214"/>
      <c r="R75" s="99" t="e">
        <f t="shared" si="116"/>
        <v>#DIV/0!</v>
      </c>
      <c r="S75" s="214"/>
      <c r="T75" s="97"/>
      <c r="U75" s="214"/>
      <c r="V75" s="99" t="e">
        <f t="shared" si="117"/>
        <v>#DIV/0!</v>
      </c>
      <c r="W75" s="214">
        <v>120</v>
      </c>
      <c r="X75" s="97">
        <f t="shared" ref="X75:X80" si="358">ROUND(W75/12*$A$7,0)</f>
        <v>120</v>
      </c>
      <c r="Y75" s="214">
        <v>484</v>
      </c>
      <c r="Z75" s="99">
        <f t="shared" si="45"/>
        <v>403.33333333333331</v>
      </c>
      <c r="AA75" s="210">
        <f t="shared" si="46"/>
        <v>120</v>
      </c>
      <c r="AB75" s="210">
        <f t="shared" si="13"/>
        <v>120</v>
      </c>
      <c r="AC75" s="210">
        <f t="shared" si="13"/>
        <v>484</v>
      </c>
      <c r="AD75" s="210">
        <f t="shared" si="47"/>
        <v>403.33333333333331</v>
      </c>
      <c r="AE75" s="214"/>
      <c r="AF75" s="97"/>
      <c r="AG75" s="214"/>
      <c r="AH75" s="99" t="e">
        <f t="shared" si="118"/>
        <v>#DIV/0!</v>
      </c>
      <c r="AI75" s="214"/>
      <c r="AJ75" s="97"/>
      <c r="AK75" s="214"/>
      <c r="AL75" s="99" t="e">
        <f t="shared" si="119"/>
        <v>#DIV/0!</v>
      </c>
      <c r="AM75" s="214"/>
      <c r="AN75" s="97"/>
      <c r="AO75" s="214"/>
      <c r="AP75" s="99" t="e">
        <f t="shared" si="120"/>
        <v>#DIV/0!</v>
      </c>
      <c r="AQ75" s="214">
        <v>71</v>
      </c>
      <c r="AR75" s="214">
        <v>71</v>
      </c>
      <c r="AS75" s="214">
        <v>1022</v>
      </c>
      <c r="AT75" s="99">
        <f t="shared" si="49"/>
        <v>1439.4366197183099</v>
      </c>
      <c r="AU75" s="210">
        <f t="shared" si="50"/>
        <v>71</v>
      </c>
      <c r="AV75" s="210">
        <f t="shared" si="51"/>
        <v>71</v>
      </c>
      <c r="AW75" s="210">
        <f t="shared" si="52"/>
        <v>1022</v>
      </c>
      <c r="AX75" s="210">
        <f t="shared" si="53"/>
        <v>1439.4366197183099</v>
      </c>
      <c r="AY75" s="214">
        <v>90</v>
      </c>
      <c r="AZ75" s="97">
        <f t="shared" si="306"/>
        <v>90</v>
      </c>
      <c r="BA75" s="214">
        <v>73</v>
      </c>
      <c r="BB75" s="99">
        <f t="shared" si="55"/>
        <v>81.111111111111114</v>
      </c>
      <c r="BC75" s="214">
        <v>168</v>
      </c>
      <c r="BD75" s="97">
        <f t="shared" si="307"/>
        <v>168</v>
      </c>
      <c r="BE75" s="214">
        <v>125</v>
      </c>
      <c r="BF75" s="99">
        <f t="shared" si="57"/>
        <v>74.404761904761912</v>
      </c>
      <c r="BG75" s="214"/>
      <c r="BH75" s="97">
        <f t="shared" si="308"/>
        <v>0</v>
      </c>
      <c r="BI75" s="214"/>
      <c r="BJ75" s="99">
        <f t="shared" si="59"/>
        <v>0</v>
      </c>
      <c r="BK75" s="236">
        <f t="shared" si="31"/>
        <v>168</v>
      </c>
      <c r="BL75" s="236">
        <f t="shared" si="32"/>
        <v>168</v>
      </c>
      <c r="BM75" s="236">
        <f t="shared" si="33"/>
        <v>125</v>
      </c>
      <c r="BN75" s="235">
        <f t="shared" si="60"/>
        <v>74.404761904761912</v>
      </c>
      <c r="BO75" s="235">
        <f t="shared" si="34"/>
        <v>653</v>
      </c>
      <c r="BP75" s="235">
        <f t="shared" si="35"/>
        <v>653</v>
      </c>
      <c r="BQ75" s="235">
        <f t="shared" si="36"/>
        <v>1736</v>
      </c>
      <c r="BR75" s="235">
        <f t="shared" si="61"/>
        <v>265.84992343032161</v>
      </c>
    </row>
    <row r="76" spans="1:70" ht="47.25" x14ac:dyDescent="0.2">
      <c r="A76" s="185" t="s">
        <v>176</v>
      </c>
      <c r="B76" s="201" t="s">
        <v>339</v>
      </c>
      <c r="C76" s="214">
        <v>545</v>
      </c>
      <c r="D76" s="97">
        <f t="shared" si="304"/>
        <v>545</v>
      </c>
      <c r="E76" s="214">
        <v>30</v>
      </c>
      <c r="F76" s="99">
        <f t="shared" si="38"/>
        <v>5.5045871559633035</v>
      </c>
      <c r="G76" s="214"/>
      <c r="H76" s="97">
        <f t="shared" si="305"/>
        <v>0</v>
      </c>
      <c r="I76" s="214"/>
      <c r="J76" s="99">
        <f t="shared" si="40"/>
        <v>0</v>
      </c>
      <c r="K76" s="210">
        <f t="shared" si="41"/>
        <v>545</v>
      </c>
      <c r="L76" s="210">
        <f t="shared" si="42"/>
        <v>545</v>
      </c>
      <c r="M76" s="210">
        <f t="shared" si="4"/>
        <v>30</v>
      </c>
      <c r="N76" s="158">
        <f t="shared" si="43"/>
        <v>5.5045871559633035</v>
      </c>
      <c r="O76" s="214"/>
      <c r="P76" s="97"/>
      <c r="Q76" s="214"/>
      <c r="R76" s="99" t="e">
        <f t="shared" si="116"/>
        <v>#DIV/0!</v>
      </c>
      <c r="S76" s="214"/>
      <c r="T76" s="97"/>
      <c r="U76" s="214"/>
      <c r="V76" s="99" t="e">
        <f t="shared" si="117"/>
        <v>#DIV/0!</v>
      </c>
      <c r="W76" s="214">
        <v>151</v>
      </c>
      <c r="X76" s="97">
        <f t="shared" si="358"/>
        <v>151</v>
      </c>
      <c r="Y76" s="214">
        <v>125</v>
      </c>
      <c r="Z76" s="99">
        <f t="shared" si="45"/>
        <v>82.78145695364239</v>
      </c>
      <c r="AA76" s="210">
        <f t="shared" si="46"/>
        <v>151</v>
      </c>
      <c r="AB76" s="210">
        <f t="shared" si="13"/>
        <v>151</v>
      </c>
      <c r="AC76" s="210">
        <f t="shared" si="13"/>
        <v>125</v>
      </c>
      <c r="AD76" s="210">
        <f t="shared" si="47"/>
        <v>82.78145695364239</v>
      </c>
      <c r="AE76" s="214"/>
      <c r="AF76" s="97"/>
      <c r="AG76" s="214"/>
      <c r="AH76" s="99" t="e">
        <f t="shared" si="118"/>
        <v>#DIV/0!</v>
      </c>
      <c r="AI76" s="214"/>
      <c r="AJ76" s="97"/>
      <c r="AK76" s="214"/>
      <c r="AL76" s="99" t="e">
        <f t="shared" si="119"/>
        <v>#DIV/0!</v>
      </c>
      <c r="AM76" s="214"/>
      <c r="AN76" s="97"/>
      <c r="AO76" s="214"/>
      <c r="AP76" s="99" t="e">
        <f t="shared" si="120"/>
        <v>#DIV/0!</v>
      </c>
      <c r="AQ76" s="214">
        <v>22</v>
      </c>
      <c r="AR76" s="214">
        <v>22</v>
      </c>
      <c r="AS76" s="214">
        <v>1942</v>
      </c>
      <c r="AT76" s="99">
        <f t="shared" si="49"/>
        <v>8827.2727272727261</v>
      </c>
      <c r="AU76" s="210">
        <f t="shared" si="50"/>
        <v>22</v>
      </c>
      <c r="AV76" s="210">
        <f t="shared" si="51"/>
        <v>22</v>
      </c>
      <c r="AW76" s="210">
        <f t="shared" si="52"/>
        <v>1942</v>
      </c>
      <c r="AX76" s="210">
        <f t="shared" si="53"/>
        <v>8827.2727272727261</v>
      </c>
      <c r="AY76" s="214">
        <v>455</v>
      </c>
      <c r="AZ76" s="97">
        <f t="shared" si="306"/>
        <v>455</v>
      </c>
      <c r="BA76" s="214">
        <v>489</v>
      </c>
      <c r="BB76" s="99">
        <f t="shared" si="55"/>
        <v>107.47252747252747</v>
      </c>
      <c r="BC76" s="214">
        <v>305</v>
      </c>
      <c r="BD76" s="97">
        <f t="shared" si="307"/>
        <v>305</v>
      </c>
      <c r="BE76" s="214">
        <v>117</v>
      </c>
      <c r="BF76" s="99">
        <f t="shared" si="57"/>
        <v>38.360655737704917</v>
      </c>
      <c r="BG76" s="214"/>
      <c r="BH76" s="97">
        <f t="shared" si="308"/>
        <v>0</v>
      </c>
      <c r="BI76" s="214"/>
      <c r="BJ76" s="99">
        <f t="shared" si="59"/>
        <v>0</v>
      </c>
      <c r="BK76" s="236">
        <f t="shared" si="31"/>
        <v>305</v>
      </c>
      <c r="BL76" s="236">
        <f t="shared" si="32"/>
        <v>305</v>
      </c>
      <c r="BM76" s="236">
        <f t="shared" si="33"/>
        <v>117</v>
      </c>
      <c r="BN76" s="235">
        <f t="shared" si="60"/>
        <v>38.360655737704917</v>
      </c>
      <c r="BO76" s="235">
        <f t="shared" si="34"/>
        <v>1478</v>
      </c>
      <c r="BP76" s="235">
        <f t="shared" si="35"/>
        <v>1478</v>
      </c>
      <c r="BQ76" s="235">
        <f t="shared" si="36"/>
        <v>2703</v>
      </c>
      <c r="BR76" s="235">
        <f t="shared" si="61"/>
        <v>182.88227334235455</v>
      </c>
    </row>
    <row r="77" spans="1:70" ht="94.5" x14ac:dyDescent="0.2">
      <c r="A77" s="185" t="s">
        <v>177</v>
      </c>
      <c r="B77" s="201" t="s">
        <v>339</v>
      </c>
      <c r="C77" s="214"/>
      <c r="D77" s="97">
        <f t="shared" si="304"/>
        <v>0</v>
      </c>
      <c r="E77" s="214">
        <v>0</v>
      </c>
      <c r="F77" s="99">
        <f t="shared" si="38"/>
        <v>0</v>
      </c>
      <c r="G77" s="214"/>
      <c r="H77" s="97">
        <f t="shared" si="305"/>
        <v>0</v>
      </c>
      <c r="I77" s="214"/>
      <c r="J77" s="99">
        <f t="shared" si="40"/>
        <v>0</v>
      </c>
      <c r="K77" s="210">
        <f t="shared" si="41"/>
        <v>0</v>
      </c>
      <c r="L77" s="210">
        <f t="shared" si="42"/>
        <v>0</v>
      </c>
      <c r="M77" s="210">
        <f t="shared" si="4"/>
        <v>0</v>
      </c>
      <c r="N77" s="158">
        <f t="shared" si="43"/>
        <v>0</v>
      </c>
      <c r="O77" s="214"/>
      <c r="P77" s="97"/>
      <c r="Q77" s="214"/>
      <c r="R77" s="99" t="e">
        <f t="shared" si="116"/>
        <v>#DIV/0!</v>
      </c>
      <c r="S77" s="214"/>
      <c r="T77" s="97"/>
      <c r="U77" s="214"/>
      <c r="V77" s="99" t="e">
        <f t="shared" si="117"/>
        <v>#DIV/0!</v>
      </c>
      <c r="W77" s="214">
        <v>25</v>
      </c>
      <c r="X77" s="97">
        <f t="shared" si="358"/>
        <v>25</v>
      </c>
      <c r="Y77" s="214">
        <v>0</v>
      </c>
      <c r="Z77" s="99">
        <f t="shared" si="45"/>
        <v>0</v>
      </c>
      <c r="AA77" s="210">
        <f t="shared" si="46"/>
        <v>25</v>
      </c>
      <c r="AB77" s="210">
        <f t="shared" si="13"/>
        <v>25</v>
      </c>
      <c r="AC77" s="210">
        <f t="shared" si="13"/>
        <v>0</v>
      </c>
      <c r="AD77" s="210">
        <f t="shared" si="47"/>
        <v>0</v>
      </c>
      <c r="AE77" s="214"/>
      <c r="AF77" s="97"/>
      <c r="AG77" s="214"/>
      <c r="AH77" s="99" t="e">
        <f t="shared" si="118"/>
        <v>#DIV/0!</v>
      </c>
      <c r="AI77" s="214"/>
      <c r="AJ77" s="97"/>
      <c r="AK77" s="214"/>
      <c r="AL77" s="99" t="e">
        <f t="shared" si="119"/>
        <v>#DIV/0!</v>
      </c>
      <c r="AM77" s="214"/>
      <c r="AN77" s="97"/>
      <c r="AO77" s="214"/>
      <c r="AP77" s="99" t="e">
        <f t="shared" si="120"/>
        <v>#DIV/0!</v>
      </c>
      <c r="AQ77" s="214">
        <v>21</v>
      </c>
      <c r="AR77" s="214">
        <v>21</v>
      </c>
      <c r="AS77" s="214">
        <v>2</v>
      </c>
      <c r="AT77" s="99">
        <f t="shared" si="49"/>
        <v>9.5238095238095237</v>
      </c>
      <c r="AU77" s="210">
        <f t="shared" si="50"/>
        <v>21</v>
      </c>
      <c r="AV77" s="210">
        <f t="shared" si="51"/>
        <v>21</v>
      </c>
      <c r="AW77" s="210">
        <f t="shared" si="52"/>
        <v>2</v>
      </c>
      <c r="AX77" s="210">
        <f t="shared" si="53"/>
        <v>9.5238095238095237</v>
      </c>
      <c r="AY77" s="214"/>
      <c r="AZ77" s="97">
        <f t="shared" si="306"/>
        <v>0</v>
      </c>
      <c r="BA77" s="214">
        <v>15</v>
      </c>
      <c r="BB77" s="99">
        <f t="shared" si="55"/>
        <v>0</v>
      </c>
      <c r="BC77" s="214"/>
      <c r="BD77" s="97">
        <f t="shared" si="307"/>
        <v>0</v>
      </c>
      <c r="BE77" s="214">
        <v>0</v>
      </c>
      <c r="BF77" s="99">
        <f t="shared" si="57"/>
        <v>0</v>
      </c>
      <c r="BG77" s="214"/>
      <c r="BH77" s="97">
        <f t="shared" si="308"/>
        <v>0</v>
      </c>
      <c r="BI77" s="214"/>
      <c r="BJ77" s="99">
        <f t="shared" si="59"/>
        <v>0</v>
      </c>
      <c r="BK77" s="236">
        <f t="shared" si="31"/>
        <v>0</v>
      </c>
      <c r="BL77" s="236">
        <f t="shared" si="32"/>
        <v>0</v>
      </c>
      <c r="BM77" s="236">
        <f t="shared" si="33"/>
        <v>0</v>
      </c>
      <c r="BN77" s="235">
        <f t="shared" si="60"/>
        <v>0</v>
      </c>
      <c r="BO77" s="235">
        <f t="shared" si="34"/>
        <v>46</v>
      </c>
      <c r="BP77" s="235">
        <f t="shared" si="35"/>
        <v>46</v>
      </c>
      <c r="BQ77" s="235">
        <f t="shared" si="36"/>
        <v>17</v>
      </c>
      <c r="BR77" s="235">
        <f t="shared" si="61"/>
        <v>36.95652173913043</v>
      </c>
    </row>
    <row r="78" spans="1:70" ht="15.75" x14ac:dyDescent="0.25">
      <c r="A78" s="173" t="s">
        <v>178</v>
      </c>
      <c r="B78" s="201" t="s">
        <v>339</v>
      </c>
      <c r="C78" s="214"/>
      <c r="D78" s="97">
        <f t="shared" ref="D78:D88" si="359">ROUND(C78/12*$A$7,0)</f>
        <v>0</v>
      </c>
      <c r="E78" s="214"/>
      <c r="F78" s="99">
        <f t="shared" si="38"/>
        <v>0</v>
      </c>
      <c r="G78" s="214"/>
      <c r="H78" s="97">
        <f t="shared" ref="H78:H88" si="360">ROUND(G78/12*$A$7,0)</f>
        <v>0</v>
      </c>
      <c r="I78" s="214"/>
      <c r="J78" s="99">
        <f t="shared" si="40"/>
        <v>0</v>
      </c>
      <c r="K78" s="210">
        <f t="shared" si="41"/>
        <v>0</v>
      </c>
      <c r="L78" s="210">
        <f t="shared" si="42"/>
        <v>0</v>
      </c>
      <c r="M78" s="210">
        <f t="shared" ref="M78:M89" si="361">I78+E78</f>
        <v>0</v>
      </c>
      <c r="N78" s="158">
        <f t="shared" si="43"/>
        <v>0</v>
      </c>
      <c r="O78" s="214"/>
      <c r="P78" s="97"/>
      <c r="Q78" s="214"/>
      <c r="R78" s="99" t="e">
        <f t="shared" si="116"/>
        <v>#DIV/0!</v>
      </c>
      <c r="S78" s="214"/>
      <c r="T78" s="97"/>
      <c r="U78" s="214"/>
      <c r="V78" s="99" t="e">
        <f t="shared" si="117"/>
        <v>#DIV/0!</v>
      </c>
      <c r="W78" s="214"/>
      <c r="X78" s="97">
        <f t="shared" si="358"/>
        <v>0</v>
      </c>
      <c r="Y78" s="214"/>
      <c r="Z78" s="99">
        <f t="shared" si="45"/>
        <v>0</v>
      </c>
      <c r="AA78" s="210">
        <f t="shared" si="46"/>
        <v>0</v>
      </c>
      <c r="AB78" s="210">
        <f t="shared" ref="AB78:AC89" si="362">T78+P78+X78</f>
        <v>0</v>
      </c>
      <c r="AC78" s="210">
        <f t="shared" si="362"/>
        <v>0</v>
      </c>
      <c r="AD78" s="210">
        <f t="shared" si="47"/>
        <v>0</v>
      </c>
      <c r="AE78" s="214"/>
      <c r="AF78" s="97"/>
      <c r="AG78" s="214"/>
      <c r="AH78" s="99" t="e">
        <f t="shared" si="118"/>
        <v>#DIV/0!</v>
      </c>
      <c r="AI78" s="214"/>
      <c r="AJ78" s="97"/>
      <c r="AK78" s="214"/>
      <c r="AL78" s="99" t="e">
        <f t="shared" si="119"/>
        <v>#DIV/0!</v>
      </c>
      <c r="AM78" s="214"/>
      <c r="AN78" s="97"/>
      <c r="AO78" s="214"/>
      <c r="AP78" s="99" t="e">
        <f t="shared" si="120"/>
        <v>#DIV/0!</v>
      </c>
      <c r="AQ78" s="214"/>
      <c r="AR78" s="228">
        <f t="shared" ref="AR78:AR88" si="363">(AQ78/11*2)+AM78+AI78+AE78</f>
        <v>0</v>
      </c>
      <c r="AS78" s="214"/>
      <c r="AT78" s="99">
        <f t="shared" si="49"/>
        <v>0</v>
      </c>
      <c r="AU78" s="210">
        <f t="shared" si="50"/>
        <v>0</v>
      </c>
      <c r="AV78" s="210">
        <f t="shared" si="51"/>
        <v>0</v>
      </c>
      <c r="AW78" s="210">
        <f t="shared" si="52"/>
        <v>0</v>
      </c>
      <c r="AX78" s="210">
        <f t="shared" si="53"/>
        <v>0</v>
      </c>
      <c r="AY78" s="214"/>
      <c r="AZ78" s="97">
        <f t="shared" ref="AZ78:AZ88" si="364">ROUND(AY78/12*$A$7,0)</f>
        <v>0</v>
      </c>
      <c r="BA78" s="214"/>
      <c r="BB78" s="99">
        <f t="shared" si="55"/>
        <v>0</v>
      </c>
      <c r="BC78" s="214"/>
      <c r="BD78" s="97">
        <f t="shared" ref="BD78:BD88" si="365">ROUND(BC78/12*$A$7,0)</f>
        <v>0</v>
      </c>
      <c r="BE78" s="214"/>
      <c r="BF78" s="99">
        <f t="shared" si="57"/>
        <v>0</v>
      </c>
      <c r="BG78" s="214"/>
      <c r="BH78" s="97">
        <f t="shared" ref="BH78:BH88" si="366">ROUND(BG78/12*$A$7,0)</f>
        <v>0</v>
      </c>
      <c r="BI78" s="214"/>
      <c r="BJ78" s="99">
        <f t="shared" si="59"/>
        <v>0</v>
      </c>
      <c r="BK78" s="236">
        <f t="shared" ref="BK78:BM89" si="367">BG78+BC78</f>
        <v>0</v>
      </c>
      <c r="BL78" s="236">
        <f t="shared" si="367"/>
        <v>0</v>
      </c>
      <c r="BM78" s="236">
        <f t="shared" si="367"/>
        <v>0</v>
      </c>
      <c r="BN78" s="235">
        <f t="shared" si="60"/>
        <v>0</v>
      </c>
      <c r="BO78" s="235">
        <f t="shared" ref="BO78:BQ89" si="368">SUM(BK78,AY78,AU78,AA78,K78)</f>
        <v>0</v>
      </c>
      <c r="BP78" s="235">
        <f t="shared" si="368"/>
        <v>0</v>
      </c>
      <c r="BQ78" s="235">
        <f t="shared" si="368"/>
        <v>0</v>
      </c>
      <c r="BR78" s="235">
        <f t="shared" si="61"/>
        <v>0</v>
      </c>
    </row>
    <row r="79" spans="1:70" ht="15.75" x14ac:dyDescent="0.25">
      <c r="A79" s="174" t="s">
        <v>131</v>
      </c>
      <c r="B79" s="202"/>
      <c r="C79" s="216"/>
      <c r="D79" s="162">
        <f t="shared" si="359"/>
        <v>0</v>
      </c>
      <c r="E79" s="216"/>
      <c r="F79" s="163">
        <f t="shared" ref="F79:F89" si="369">IF(D79=0,0,E79/D79*100)</f>
        <v>0</v>
      </c>
      <c r="G79" s="216"/>
      <c r="H79" s="162">
        <f t="shared" si="360"/>
        <v>0</v>
      </c>
      <c r="I79" s="216"/>
      <c r="J79" s="163">
        <f t="shared" ref="J79:J89" si="370">IF(H79=0,0,I79/H79*100)</f>
        <v>0</v>
      </c>
      <c r="K79" s="210">
        <f t="shared" ref="K79:K89" si="371">G79+C79</f>
        <v>0</v>
      </c>
      <c r="L79" s="210">
        <f t="shared" ref="L79:L89" si="372">H79+D79</f>
        <v>0</v>
      </c>
      <c r="M79" s="210">
        <f t="shared" si="361"/>
        <v>0</v>
      </c>
      <c r="N79" s="158">
        <f t="shared" ref="N79:N89" si="373">IF(L79=0,0,M79/L79*100)</f>
        <v>0</v>
      </c>
      <c r="O79" s="216"/>
      <c r="P79" s="162"/>
      <c r="Q79" s="216"/>
      <c r="R79" s="163" t="e">
        <f t="shared" si="116"/>
        <v>#DIV/0!</v>
      </c>
      <c r="S79" s="216"/>
      <c r="T79" s="162"/>
      <c r="U79" s="216"/>
      <c r="V79" s="163" t="e">
        <f t="shared" si="117"/>
        <v>#DIV/0!</v>
      </c>
      <c r="W79" s="216"/>
      <c r="X79" s="97">
        <f t="shared" si="358"/>
        <v>0</v>
      </c>
      <c r="Y79" s="216"/>
      <c r="Z79" s="163">
        <f t="shared" ref="Z79:Z89" si="374">IF(X79=0,0,Y79/X79*100)</f>
        <v>0</v>
      </c>
      <c r="AA79" s="210">
        <f t="shared" ref="AA79:AA89" si="375">S79+O79+W79</f>
        <v>0</v>
      </c>
      <c r="AB79" s="210">
        <f t="shared" si="362"/>
        <v>0</v>
      </c>
      <c r="AC79" s="210">
        <f t="shared" si="362"/>
        <v>0</v>
      </c>
      <c r="AD79" s="210">
        <f t="shared" ref="AD79:AD89" si="376">IF(AB79=0,0,AC79/AB79*100)</f>
        <v>0</v>
      </c>
      <c r="AE79" s="216"/>
      <c r="AF79" s="162"/>
      <c r="AG79" s="216"/>
      <c r="AH79" s="163" t="e">
        <f t="shared" si="118"/>
        <v>#DIV/0!</v>
      </c>
      <c r="AI79" s="216"/>
      <c r="AJ79" s="162"/>
      <c r="AK79" s="216"/>
      <c r="AL79" s="163" t="e">
        <f t="shared" si="119"/>
        <v>#DIV/0!</v>
      </c>
      <c r="AM79" s="216"/>
      <c r="AN79" s="162"/>
      <c r="AO79" s="216"/>
      <c r="AP79" s="163" t="e">
        <f t="shared" si="120"/>
        <v>#DIV/0!</v>
      </c>
      <c r="AQ79" s="216"/>
      <c r="AR79" s="228">
        <f t="shared" si="363"/>
        <v>0</v>
      </c>
      <c r="AS79" s="216"/>
      <c r="AT79" s="163">
        <f t="shared" ref="AT79:AT89" si="377">IF(AR79=0,0,AS79/AR79*100)</f>
        <v>0</v>
      </c>
      <c r="AU79" s="210">
        <f t="shared" ref="AU79:AU89" si="378">SUM(AM79,AI79,AE79)+AQ79</f>
        <v>0</v>
      </c>
      <c r="AV79" s="210">
        <f t="shared" ref="AV79:AV89" si="379">SUM(AN79,AJ79,AF79)+AR79</f>
        <v>0</v>
      </c>
      <c r="AW79" s="210">
        <f t="shared" ref="AW79:AW89" si="380">SUM(AO79,AK79,AG79)+AS79</f>
        <v>0</v>
      </c>
      <c r="AX79" s="210">
        <f t="shared" ref="AX79:AX89" si="381">IF(AV79=0,0,AW79/AV79*100)</f>
        <v>0</v>
      </c>
      <c r="AY79" s="216"/>
      <c r="AZ79" s="162">
        <f t="shared" si="364"/>
        <v>0</v>
      </c>
      <c r="BA79" s="216"/>
      <c r="BB79" s="163">
        <f t="shared" ref="BB79:BB89" si="382">IF(AZ79=0,0,BA79/AZ79*100)</f>
        <v>0</v>
      </c>
      <c r="BC79" s="216"/>
      <c r="BD79" s="162">
        <f t="shared" si="365"/>
        <v>0</v>
      </c>
      <c r="BE79" s="216"/>
      <c r="BF79" s="163">
        <f t="shared" ref="BF79:BF89" si="383">IF(BD79=0,0,BE79/BD79*100)</f>
        <v>0</v>
      </c>
      <c r="BG79" s="216"/>
      <c r="BH79" s="162">
        <f t="shared" si="366"/>
        <v>0</v>
      </c>
      <c r="BI79" s="216"/>
      <c r="BJ79" s="163">
        <f t="shared" ref="BJ79:BJ89" si="384">IF(BH79=0,0,BI79/BH79*100)</f>
        <v>0</v>
      </c>
      <c r="BK79" s="236">
        <f t="shared" si="367"/>
        <v>0</v>
      </c>
      <c r="BL79" s="236">
        <f t="shared" si="367"/>
        <v>0</v>
      </c>
      <c r="BM79" s="236">
        <f t="shared" si="367"/>
        <v>0</v>
      </c>
      <c r="BN79" s="235">
        <f t="shared" ref="BN79:BN89" si="385">IF(BL79=0,0,BM79/BL79*100)</f>
        <v>0</v>
      </c>
      <c r="BO79" s="235">
        <f t="shared" si="368"/>
        <v>0</v>
      </c>
      <c r="BP79" s="235">
        <f t="shared" si="368"/>
        <v>0</v>
      </c>
      <c r="BQ79" s="235">
        <f t="shared" si="368"/>
        <v>0</v>
      </c>
      <c r="BR79" s="235">
        <f t="shared" ref="BR79:BR89" si="386">IF(BP79=0,0,BQ79/BP79*100)</f>
        <v>0</v>
      </c>
    </row>
    <row r="80" spans="1:70" ht="31.5" x14ac:dyDescent="0.25">
      <c r="A80" s="174" t="s">
        <v>134</v>
      </c>
      <c r="B80" s="197" t="s">
        <v>3</v>
      </c>
      <c r="C80" s="216"/>
      <c r="D80" s="162">
        <f t="shared" si="359"/>
        <v>0</v>
      </c>
      <c r="E80" s="216"/>
      <c r="F80" s="163">
        <f t="shared" si="369"/>
        <v>0</v>
      </c>
      <c r="G80" s="216"/>
      <c r="H80" s="162">
        <f t="shared" si="360"/>
        <v>0</v>
      </c>
      <c r="I80" s="216"/>
      <c r="J80" s="163">
        <f t="shared" si="370"/>
        <v>0</v>
      </c>
      <c r="K80" s="210">
        <f t="shared" si="371"/>
        <v>0</v>
      </c>
      <c r="L80" s="210">
        <f t="shared" si="372"/>
        <v>0</v>
      </c>
      <c r="M80" s="210">
        <f t="shared" si="361"/>
        <v>0</v>
      </c>
      <c r="N80" s="158">
        <f t="shared" si="373"/>
        <v>0</v>
      </c>
      <c r="O80" s="216"/>
      <c r="P80" s="162"/>
      <c r="Q80" s="216"/>
      <c r="R80" s="163" t="e">
        <f t="shared" si="116"/>
        <v>#DIV/0!</v>
      </c>
      <c r="S80" s="216"/>
      <c r="T80" s="162"/>
      <c r="U80" s="216"/>
      <c r="V80" s="163" t="e">
        <f t="shared" si="117"/>
        <v>#DIV/0!</v>
      </c>
      <c r="W80" s="216"/>
      <c r="X80" s="97">
        <f t="shared" si="358"/>
        <v>0</v>
      </c>
      <c r="Y80" s="216"/>
      <c r="Z80" s="163">
        <f t="shared" si="374"/>
        <v>0</v>
      </c>
      <c r="AA80" s="210">
        <f t="shared" si="375"/>
        <v>0</v>
      </c>
      <c r="AB80" s="210">
        <f t="shared" si="362"/>
        <v>0</v>
      </c>
      <c r="AC80" s="210">
        <f t="shared" si="362"/>
        <v>0</v>
      </c>
      <c r="AD80" s="210">
        <f t="shared" si="376"/>
        <v>0</v>
      </c>
      <c r="AE80" s="216"/>
      <c r="AF80" s="162"/>
      <c r="AG80" s="216"/>
      <c r="AH80" s="163" t="e">
        <f t="shared" si="118"/>
        <v>#DIV/0!</v>
      </c>
      <c r="AI80" s="216"/>
      <c r="AJ80" s="162"/>
      <c r="AK80" s="216"/>
      <c r="AL80" s="163" t="e">
        <f t="shared" si="119"/>
        <v>#DIV/0!</v>
      </c>
      <c r="AM80" s="216"/>
      <c r="AN80" s="162"/>
      <c r="AO80" s="216"/>
      <c r="AP80" s="163" t="e">
        <f t="shared" si="120"/>
        <v>#DIV/0!</v>
      </c>
      <c r="AQ80" s="216"/>
      <c r="AR80" s="228">
        <f t="shared" si="363"/>
        <v>0</v>
      </c>
      <c r="AS80" s="216"/>
      <c r="AT80" s="163">
        <f t="shared" si="377"/>
        <v>0</v>
      </c>
      <c r="AU80" s="210">
        <f t="shared" si="378"/>
        <v>0</v>
      </c>
      <c r="AV80" s="210">
        <f t="shared" si="379"/>
        <v>0</v>
      </c>
      <c r="AW80" s="210">
        <f t="shared" si="380"/>
        <v>0</v>
      </c>
      <c r="AX80" s="210">
        <f t="shared" si="381"/>
        <v>0</v>
      </c>
      <c r="AY80" s="216"/>
      <c r="AZ80" s="162">
        <f t="shared" si="364"/>
        <v>0</v>
      </c>
      <c r="BA80" s="216"/>
      <c r="BB80" s="163">
        <f t="shared" si="382"/>
        <v>0</v>
      </c>
      <c r="BC80" s="216"/>
      <c r="BD80" s="162">
        <f t="shared" si="365"/>
        <v>0</v>
      </c>
      <c r="BE80" s="216"/>
      <c r="BF80" s="163">
        <f t="shared" si="383"/>
        <v>0</v>
      </c>
      <c r="BG80" s="216"/>
      <c r="BH80" s="162">
        <f t="shared" si="366"/>
        <v>0</v>
      </c>
      <c r="BI80" s="216"/>
      <c r="BJ80" s="163">
        <f t="shared" si="384"/>
        <v>0</v>
      </c>
      <c r="BK80" s="236">
        <f t="shared" si="367"/>
        <v>0</v>
      </c>
      <c r="BL80" s="236">
        <f t="shared" si="367"/>
        <v>0</v>
      </c>
      <c r="BM80" s="236">
        <f t="shared" si="367"/>
        <v>0</v>
      </c>
      <c r="BN80" s="235">
        <f t="shared" si="385"/>
        <v>0</v>
      </c>
      <c r="BO80" s="235">
        <f t="shared" si="368"/>
        <v>0</v>
      </c>
      <c r="BP80" s="235">
        <f t="shared" si="368"/>
        <v>0</v>
      </c>
      <c r="BQ80" s="235">
        <f t="shared" si="368"/>
        <v>0</v>
      </c>
      <c r="BR80" s="235">
        <f t="shared" si="386"/>
        <v>0</v>
      </c>
    </row>
    <row r="81" spans="1:70" ht="15.75" x14ac:dyDescent="0.25">
      <c r="A81" s="188" t="s">
        <v>135</v>
      </c>
      <c r="B81" s="203"/>
      <c r="C81" s="214"/>
      <c r="D81" s="97">
        <f t="shared" si="359"/>
        <v>0</v>
      </c>
      <c r="E81" s="214"/>
      <c r="F81" s="99">
        <f t="shared" si="369"/>
        <v>0</v>
      </c>
      <c r="G81" s="214"/>
      <c r="H81" s="97">
        <f t="shared" si="360"/>
        <v>0</v>
      </c>
      <c r="I81" s="214"/>
      <c r="J81" s="99">
        <f t="shared" si="370"/>
        <v>0</v>
      </c>
      <c r="K81" s="210">
        <f t="shared" si="371"/>
        <v>0</v>
      </c>
      <c r="L81" s="210">
        <f t="shared" si="372"/>
        <v>0</v>
      </c>
      <c r="M81" s="210">
        <f t="shared" si="361"/>
        <v>0</v>
      </c>
      <c r="N81" s="158">
        <f t="shared" si="373"/>
        <v>0</v>
      </c>
      <c r="O81" s="214"/>
      <c r="P81" s="97"/>
      <c r="Q81" s="214"/>
      <c r="R81" s="99" t="e">
        <f t="shared" si="116"/>
        <v>#DIV/0!</v>
      </c>
      <c r="S81" s="214"/>
      <c r="T81" s="97"/>
      <c r="U81" s="214"/>
      <c r="V81" s="99" t="e">
        <f t="shared" si="117"/>
        <v>#DIV/0!</v>
      </c>
      <c r="W81" s="214"/>
      <c r="X81" s="304">
        <f t="shared" si="333"/>
        <v>0</v>
      </c>
      <c r="Y81" s="214"/>
      <c r="Z81" s="99">
        <f t="shared" si="374"/>
        <v>0</v>
      </c>
      <c r="AA81" s="210">
        <f t="shared" si="375"/>
        <v>0</v>
      </c>
      <c r="AB81" s="210">
        <f t="shared" si="362"/>
        <v>0</v>
      </c>
      <c r="AC81" s="210">
        <f t="shared" si="362"/>
        <v>0</v>
      </c>
      <c r="AD81" s="210">
        <f t="shared" si="376"/>
        <v>0</v>
      </c>
      <c r="AE81" s="214"/>
      <c r="AF81" s="97"/>
      <c r="AG81" s="214"/>
      <c r="AH81" s="99" t="e">
        <f t="shared" si="118"/>
        <v>#DIV/0!</v>
      </c>
      <c r="AI81" s="214"/>
      <c r="AJ81" s="97"/>
      <c r="AK81" s="214"/>
      <c r="AL81" s="99" t="e">
        <f t="shared" si="119"/>
        <v>#DIV/0!</v>
      </c>
      <c r="AM81" s="214"/>
      <c r="AN81" s="97"/>
      <c r="AO81" s="214"/>
      <c r="AP81" s="99" t="e">
        <f t="shared" si="120"/>
        <v>#DIV/0!</v>
      </c>
      <c r="AQ81" s="214"/>
      <c r="AR81" s="228">
        <f t="shared" si="363"/>
        <v>0</v>
      </c>
      <c r="AS81" s="214"/>
      <c r="AT81" s="99">
        <f t="shared" si="377"/>
        <v>0</v>
      </c>
      <c r="AU81" s="210">
        <f t="shared" si="378"/>
        <v>0</v>
      </c>
      <c r="AV81" s="210">
        <f t="shared" si="379"/>
        <v>0</v>
      </c>
      <c r="AW81" s="210">
        <f t="shared" si="380"/>
        <v>0</v>
      </c>
      <c r="AX81" s="210">
        <f t="shared" si="381"/>
        <v>0</v>
      </c>
      <c r="AY81" s="214"/>
      <c r="AZ81" s="97">
        <f t="shared" si="364"/>
        <v>0</v>
      </c>
      <c r="BA81" s="214"/>
      <c r="BB81" s="99">
        <f t="shared" si="382"/>
        <v>0</v>
      </c>
      <c r="BC81" s="214"/>
      <c r="BD81" s="97">
        <f t="shared" si="365"/>
        <v>0</v>
      </c>
      <c r="BE81" s="214"/>
      <c r="BF81" s="99">
        <f t="shared" si="383"/>
        <v>0</v>
      </c>
      <c r="BG81" s="214"/>
      <c r="BH81" s="97">
        <f t="shared" si="366"/>
        <v>0</v>
      </c>
      <c r="BI81" s="214"/>
      <c r="BJ81" s="99">
        <f t="shared" si="384"/>
        <v>0</v>
      </c>
      <c r="BK81" s="236">
        <f t="shared" si="367"/>
        <v>0</v>
      </c>
      <c r="BL81" s="236">
        <f t="shared" si="367"/>
        <v>0</v>
      </c>
      <c r="BM81" s="236">
        <f t="shared" si="367"/>
        <v>0</v>
      </c>
      <c r="BN81" s="235">
        <f t="shared" si="385"/>
        <v>0</v>
      </c>
      <c r="BO81" s="235">
        <f t="shared" si="368"/>
        <v>0</v>
      </c>
      <c r="BP81" s="235">
        <f t="shared" si="368"/>
        <v>0</v>
      </c>
      <c r="BQ81" s="235">
        <f t="shared" si="368"/>
        <v>0</v>
      </c>
      <c r="BR81" s="235">
        <f t="shared" si="386"/>
        <v>0</v>
      </c>
    </row>
    <row r="82" spans="1:70" ht="15.75" x14ac:dyDescent="0.25">
      <c r="A82" s="188"/>
      <c r="B82" s="203"/>
      <c r="C82" s="214"/>
      <c r="D82" s="97"/>
      <c r="E82" s="214"/>
      <c r="F82" s="99">
        <f t="shared" si="369"/>
        <v>0</v>
      </c>
      <c r="G82" s="214"/>
      <c r="H82" s="97"/>
      <c r="I82" s="214"/>
      <c r="J82" s="99">
        <f t="shared" si="370"/>
        <v>0</v>
      </c>
      <c r="K82" s="210"/>
      <c r="L82" s="210"/>
      <c r="M82" s="210"/>
      <c r="N82" s="158">
        <f t="shared" si="373"/>
        <v>0</v>
      </c>
      <c r="O82" s="214"/>
      <c r="P82" s="97"/>
      <c r="Q82" s="214"/>
      <c r="R82" s="99"/>
      <c r="S82" s="214"/>
      <c r="T82" s="97"/>
      <c r="U82" s="214"/>
      <c r="V82" s="99"/>
      <c r="W82" s="214"/>
      <c r="X82" s="304">
        <f t="shared" si="333"/>
        <v>0</v>
      </c>
      <c r="Y82" s="214"/>
      <c r="Z82" s="99">
        <f t="shared" si="374"/>
        <v>0</v>
      </c>
      <c r="AA82" s="210"/>
      <c r="AB82" s="210"/>
      <c r="AC82" s="210"/>
      <c r="AD82" s="210">
        <f t="shared" si="376"/>
        <v>0</v>
      </c>
      <c r="AE82" s="214"/>
      <c r="AF82" s="97"/>
      <c r="AG82" s="214"/>
      <c r="AH82" s="99"/>
      <c r="AI82" s="214"/>
      <c r="AJ82" s="97"/>
      <c r="AK82" s="214"/>
      <c r="AL82" s="99"/>
      <c r="AM82" s="214"/>
      <c r="AN82" s="97"/>
      <c r="AO82" s="214"/>
      <c r="AP82" s="99"/>
      <c r="AQ82" s="214"/>
      <c r="AR82" s="228">
        <f t="shared" si="363"/>
        <v>0</v>
      </c>
      <c r="AS82" s="214"/>
      <c r="AT82" s="99">
        <f t="shared" si="377"/>
        <v>0</v>
      </c>
      <c r="AU82" s="210"/>
      <c r="AV82" s="210"/>
      <c r="AW82" s="210"/>
      <c r="AX82" s="210">
        <f t="shared" si="381"/>
        <v>0</v>
      </c>
      <c r="AY82" s="214"/>
      <c r="AZ82" s="97"/>
      <c r="BA82" s="214"/>
      <c r="BB82" s="99">
        <f t="shared" si="382"/>
        <v>0</v>
      </c>
      <c r="BC82" s="214"/>
      <c r="BD82" s="97"/>
      <c r="BE82" s="214"/>
      <c r="BF82" s="99">
        <f t="shared" si="383"/>
        <v>0</v>
      </c>
      <c r="BG82" s="214"/>
      <c r="BH82" s="97"/>
      <c r="BI82" s="214"/>
      <c r="BJ82" s="99">
        <f t="shared" si="384"/>
        <v>0</v>
      </c>
      <c r="BK82" s="236"/>
      <c r="BL82" s="236"/>
      <c r="BM82" s="236">
        <f t="shared" si="367"/>
        <v>0</v>
      </c>
      <c r="BN82" s="235">
        <f t="shared" si="385"/>
        <v>0</v>
      </c>
      <c r="BO82" s="235"/>
      <c r="BP82" s="235"/>
      <c r="BQ82" s="235"/>
      <c r="BR82" s="235">
        <f t="shared" si="386"/>
        <v>0</v>
      </c>
    </row>
    <row r="83" spans="1:70" ht="15.75" x14ac:dyDescent="0.25">
      <c r="A83" s="94" t="s">
        <v>187</v>
      </c>
      <c r="B83" s="203"/>
      <c r="C83" s="214">
        <f t="shared" ref="C83:D83" si="387">SUM(C25+C79*3.2+C80)</f>
        <v>15908</v>
      </c>
      <c r="D83" s="214">
        <f t="shared" si="387"/>
        <v>15908</v>
      </c>
      <c r="E83" s="214">
        <f t="shared" ref="E83" si="388">SUM(E25+E79*3.2+E80)</f>
        <v>7798</v>
      </c>
      <c r="F83" s="99">
        <f t="shared" si="369"/>
        <v>49.019361327633895</v>
      </c>
      <c r="G83" s="214">
        <f t="shared" ref="G83:H83" si="389">SUM(G25+G79*3.2+G80)</f>
        <v>15</v>
      </c>
      <c r="H83" s="214">
        <f t="shared" si="389"/>
        <v>15</v>
      </c>
      <c r="I83" s="214">
        <f t="shared" ref="I83" si="390">SUM(I25+I79*3.2+I80)</f>
        <v>15</v>
      </c>
      <c r="J83" s="99">
        <f t="shared" si="370"/>
        <v>100</v>
      </c>
      <c r="K83" s="210">
        <f t="shared" si="371"/>
        <v>15923</v>
      </c>
      <c r="L83" s="210">
        <f t="shared" si="372"/>
        <v>15923</v>
      </c>
      <c r="M83" s="210">
        <f t="shared" si="361"/>
        <v>7813</v>
      </c>
      <c r="N83" s="158">
        <f t="shared" si="373"/>
        <v>49.067386798970041</v>
      </c>
      <c r="O83" s="214">
        <f t="shared" ref="O83" si="391">SUM(O25+O79*3.2+O80)</f>
        <v>0</v>
      </c>
      <c r="P83" s="97"/>
      <c r="Q83" s="214">
        <f t="shared" ref="Q83" si="392">SUM(Q25+Q79*3.2+Q80)</f>
        <v>0</v>
      </c>
      <c r="R83" s="99" t="e">
        <f t="shared" si="116"/>
        <v>#DIV/0!</v>
      </c>
      <c r="S83" s="214">
        <f t="shared" ref="S83" si="393">SUM(S25+S79*3.2+S80)</f>
        <v>0</v>
      </c>
      <c r="T83" s="97"/>
      <c r="U83" s="214">
        <f t="shared" ref="U83" si="394">SUM(U25+U79*3.2+U80)</f>
        <v>0</v>
      </c>
      <c r="V83" s="99" t="e">
        <f t="shared" si="117"/>
        <v>#DIV/0!</v>
      </c>
      <c r="W83" s="214">
        <f t="shared" ref="W83" si="395">SUM(W25+W79*3.2+W80)</f>
        <v>12745</v>
      </c>
      <c r="X83" s="214">
        <f>SUM(X25+X79*3.2+X80)</f>
        <v>12745</v>
      </c>
      <c r="Y83" s="214">
        <f t="shared" ref="Y83" si="396">SUM(Y25+Y79*3.2+Y80)</f>
        <v>14059</v>
      </c>
      <c r="Z83" s="99">
        <f t="shared" si="374"/>
        <v>110.30992546096508</v>
      </c>
      <c r="AA83" s="210">
        <f t="shared" si="375"/>
        <v>12745</v>
      </c>
      <c r="AB83" s="210">
        <f t="shared" si="362"/>
        <v>12745</v>
      </c>
      <c r="AC83" s="210">
        <f t="shared" si="362"/>
        <v>14059</v>
      </c>
      <c r="AD83" s="210">
        <f t="shared" si="376"/>
        <v>110.30992546096508</v>
      </c>
      <c r="AE83" s="214">
        <f t="shared" ref="AE83" si="397">SUM(AE25+AE79*3.2+AE80)</f>
        <v>0</v>
      </c>
      <c r="AF83" s="97"/>
      <c r="AG83" s="214">
        <f t="shared" ref="AG83" si="398">SUM(AG25+AG79*3.2+AG80)</f>
        <v>0</v>
      </c>
      <c r="AH83" s="99" t="e">
        <f t="shared" si="118"/>
        <v>#DIV/0!</v>
      </c>
      <c r="AI83" s="214">
        <f t="shared" ref="AI83" si="399">SUM(AI25+AI79*3.2+AI80)</f>
        <v>0</v>
      </c>
      <c r="AJ83" s="97"/>
      <c r="AK83" s="214">
        <f t="shared" ref="AK83" si="400">SUM(AK25+AK79*3.2+AK80)</f>
        <v>0</v>
      </c>
      <c r="AL83" s="99" t="e">
        <f t="shared" si="119"/>
        <v>#DIV/0!</v>
      </c>
      <c r="AM83" s="214">
        <f t="shared" ref="AM83" si="401">SUM(AM25+AM79*3.2+AM80)</f>
        <v>0</v>
      </c>
      <c r="AN83" s="97"/>
      <c r="AO83" s="214">
        <f t="shared" ref="AO83" si="402">SUM(AO25+AO79*3.2+AO80)</f>
        <v>0</v>
      </c>
      <c r="AP83" s="99" t="e">
        <f t="shared" si="120"/>
        <v>#DIV/0!</v>
      </c>
      <c r="AQ83" s="214">
        <f t="shared" ref="AQ83:AR83" si="403">SUM(AQ25+AQ79*3.2+AQ80)</f>
        <v>57907</v>
      </c>
      <c r="AR83" s="214">
        <f t="shared" si="403"/>
        <v>57907</v>
      </c>
      <c r="AS83" s="214">
        <f t="shared" ref="AS83" si="404">SUM(AS25+AS79*3.2+AS80)</f>
        <v>32968</v>
      </c>
      <c r="AT83" s="99">
        <f t="shared" si="377"/>
        <v>56.932667898526944</v>
      </c>
      <c r="AU83" s="210">
        <f t="shared" si="378"/>
        <v>57907</v>
      </c>
      <c r="AV83" s="210">
        <f t="shared" si="379"/>
        <v>57907</v>
      </c>
      <c r="AW83" s="210">
        <f t="shared" si="380"/>
        <v>32968</v>
      </c>
      <c r="AX83" s="210">
        <f t="shared" si="381"/>
        <v>56.932667898526944</v>
      </c>
      <c r="AY83" s="214">
        <f t="shared" ref="AY83:AZ83" si="405">SUM(AY25+AY79*3.2+AY80)</f>
        <v>21421.97</v>
      </c>
      <c r="AZ83" s="214">
        <f t="shared" si="405"/>
        <v>21421.97</v>
      </c>
      <c r="BA83" s="214">
        <f t="shared" ref="BA83" si="406">SUM(BA25+BA79*3.2+BA80)</f>
        <v>17971</v>
      </c>
      <c r="BB83" s="99">
        <f t="shared" si="382"/>
        <v>83.890510536612638</v>
      </c>
      <c r="BC83" s="214">
        <f t="shared" ref="BC83:BD83" si="407">SUM(BC25+BC79*3.2+BC80)</f>
        <v>9733.7943999999989</v>
      </c>
      <c r="BD83" s="214">
        <f t="shared" si="407"/>
        <v>9733.7943999999989</v>
      </c>
      <c r="BE83" s="214">
        <f t="shared" ref="BE83" si="408">SUM(BE25+BE79*3.2+BE80)</f>
        <v>8510</v>
      </c>
      <c r="BF83" s="99">
        <f t="shared" si="383"/>
        <v>87.427365426991159</v>
      </c>
      <c r="BG83" s="214">
        <f t="shared" ref="BG83" si="409">SUM(BG25+BG79*3.2+BG80)</f>
        <v>39283.11</v>
      </c>
      <c r="BH83" s="214">
        <f>SUM(BH25+BH79*3.2+BH80)</f>
        <v>39283.11</v>
      </c>
      <c r="BI83" s="214">
        <f t="shared" ref="BI83" si="410">SUM(BI25+BI79*3.2+BI80)</f>
        <v>34322</v>
      </c>
      <c r="BJ83" s="99">
        <f t="shared" si="384"/>
        <v>87.370882804340084</v>
      </c>
      <c r="BK83" s="236">
        <f t="shared" si="367"/>
        <v>49016.904399999999</v>
      </c>
      <c r="BL83" s="236">
        <f t="shared" si="367"/>
        <v>49016.904399999999</v>
      </c>
      <c r="BM83" s="236">
        <f t="shared" si="367"/>
        <v>42832</v>
      </c>
      <c r="BN83" s="235">
        <f t="shared" si="385"/>
        <v>87.382099143739481</v>
      </c>
      <c r="BO83" s="235">
        <f t="shared" si="368"/>
        <v>157013.8744</v>
      </c>
      <c r="BP83" s="235">
        <f t="shared" si="368"/>
        <v>157013.8744</v>
      </c>
      <c r="BQ83" s="235">
        <f t="shared" si="368"/>
        <v>115643</v>
      </c>
      <c r="BR83" s="235">
        <f t="shared" si="386"/>
        <v>73.651453059106217</v>
      </c>
    </row>
    <row r="84" spans="1:70" ht="15.75" x14ac:dyDescent="0.25">
      <c r="A84" s="94" t="s">
        <v>184</v>
      </c>
      <c r="B84" s="204"/>
      <c r="C84" s="214"/>
      <c r="D84" s="97">
        <f t="shared" si="359"/>
        <v>0</v>
      </c>
      <c r="E84" s="214"/>
      <c r="F84" s="99">
        <f t="shared" si="369"/>
        <v>0</v>
      </c>
      <c r="G84" s="214"/>
      <c r="H84" s="97">
        <f t="shared" si="360"/>
        <v>0</v>
      </c>
      <c r="I84" s="214"/>
      <c r="J84" s="99">
        <f t="shared" si="370"/>
        <v>0</v>
      </c>
      <c r="K84" s="210">
        <f t="shared" si="371"/>
        <v>0</v>
      </c>
      <c r="L84" s="210">
        <f t="shared" si="372"/>
        <v>0</v>
      </c>
      <c r="M84" s="210">
        <f t="shared" si="361"/>
        <v>0</v>
      </c>
      <c r="N84" s="158">
        <f t="shared" si="373"/>
        <v>0</v>
      </c>
      <c r="O84" s="214"/>
      <c r="P84" s="97"/>
      <c r="Q84" s="214"/>
      <c r="R84" s="99" t="e">
        <f t="shared" si="116"/>
        <v>#DIV/0!</v>
      </c>
      <c r="S84" s="214"/>
      <c r="T84" s="97"/>
      <c r="U84" s="214"/>
      <c r="V84" s="99" t="e">
        <f t="shared" si="117"/>
        <v>#DIV/0!</v>
      </c>
      <c r="W84" s="214"/>
      <c r="X84" s="304">
        <f t="shared" si="333"/>
        <v>0</v>
      </c>
      <c r="Y84" s="214"/>
      <c r="Z84" s="99">
        <f t="shared" si="374"/>
        <v>0</v>
      </c>
      <c r="AA84" s="210">
        <f t="shared" si="375"/>
        <v>0</v>
      </c>
      <c r="AB84" s="210">
        <f t="shared" si="362"/>
        <v>0</v>
      </c>
      <c r="AC84" s="210">
        <f t="shared" si="362"/>
        <v>0</v>
      </c>
      <c r="AD84" s="210">
        <f t="shared" si="376"/>
        <v>0</v>
      </c>
      <c r="AE84" s="214"/>
      <c r="AF84" s="97"/>
      <c r="AG84" s="214"/>
      <c r="AH84" s="99" t="e">
        <f t="shared" si="118"/>
        <v>#DIV/0!</v>
      </c>
      <c r="AI84" s="214"/>
      <c r="AJ84" s="97"/>
      <c r="AK84" s="214"/>
      <c r="AL84" s="99" t="e">
        <f t="shared" si="119"/>
        <v>#DIV/0!</v>
      </c>
      <c r="AM84" s="214"/>
      <c r="AN84" s="97"/>
      <c r="AO84" s="214"/>
      <c r="AP84" s="99" t="e">
        <f t="shared" si="120"/>
        <v>#DIV/0!</v>
      </c>
      <c r="AQ84" s="214"/>
      <c r="AR84" s="228">
        <f t="shared" si="363"/>
        <v>0</v>
      </c>
      <c r="AS84" s="214"/>
      <c r="AT84" s="99">
        <f t="shared" si="377"/>
        <v>0</v>
      </c>
      <c r="AU84" s="210">
        <f t="shared" si="378"/>
        <v>0</v>
      </c>
      <c r="AV84" s="210">
        <f t="shared" si="379"/>
        <v>0</v>
      </c>
      <c r="AW84" s="210">
        <f t="shared" si="380"/>
        <v>0</v>
      </c>
      <c r="AX84" s="210">
        <f t="shared" si="381"/>
        <v>0</v>
      </c>
      <c r="AY84" s="214"/>
      <c r="AZ84" s="97">
        <f t="shared" si="364"/>
        <v>0</v>
      </c>
      <c r="BA84" s="214"/>
      <c r="BB84" s="99">
        <f t="shared" si="382"/>
        <v>0</v>
      </c>
      <c r="BC84" s="214"/>
      <c r="BD84" s="97">
        <f t="shared" si="365"/>
        <v>0</v>
      </c>
      <c r="BE84" s="214"/>
      <c r="BF84" s="99">
        <f t="shared" si="383"/>
        <v>0</v>
      </c>
      <c r="BG84" s="214"/>
      <c r="BH84" s="97">
        <f t="shared" si="366"/>
        <v>0</v>
      </c>
      <c r="BI84" s="214"/>
      <c r="BJ84" s="99">
        <f t="shared" si="384"/>
        <v>0</v>
      </c>
      <c r="BK84" s="236">
        <f t="shared" si="367"/>
        <v>0</v>
      </c>
      <c r="BL84" s="236">
        <f t="shared" si="367"/>
        <v>0</v>
      </c>
      <c r="BM84" s="236">
        <f t="shared" si="367"/>
        <v>0</v>
      </c>
      <c r="BN84" s="235">
        <f t="shared" si="385"/>
        <v>0</v>
      </c>
      <c r="BO84" s="235">
        <f t="shared" si="368"/>
        <v>0</v>
      </c>
      <c r="BP84" s="235">
        <f t="shared" si="368"/>
        <v>0</v>
      </c>
      <c r="BQ84" s="235">
        <f t="shared" si="368"/>
        <v>0</v>
      </c>
      <c r="BR84" s="235">
        <f t="shared" si="386"/>
        <v>0</v>
      </c>
    </row>
    <row r="85" spans="1:70" s="17" customFormat="1" ht="15.75" x14ac:dyDescent="0.25">
      <c r="A85" s="306" t="s">
        <v>186</v>
      </c>
      <c r="B85" s="326"/>
      <c r="C85" s="310"/>
      <c r="D85" s="304">
        <f t="shared" si="359"/>
        <v>0</v>
      </c>
      <c r="E85" s="310"/>
      <c r="F85" s="213">
        <f t="shared" si="369"/>
        <v>0</v>
      </c>
      <c r="G85" s="310"/>
      <c r="H85" s="304">
        <f t="shared" si="360"/>
        <v>0</v>
      </c>
      <c r="I85" s="310"/>
      <c r="J85" s="213">
        <f t="shared" si="370"/>
        <v>0</v>
      </c>
      <c r="K85" s="309">
        <f t="shared" si="371"/>
        <v>0</v>
      </c>
      <c r="L85" s="309">
        <f t="shared" si="372"/>
        <v>0</v>
      </c>
      <c r="M85" s="309">
        <f t="shared" si="361"/>
        <v>0</v>
      </c>
      <c r="N85" s="309">
        <f t="shared" si="373"/>
        <v>0</v>
      </c>
      <c r="O85" s="310"/>
      <c r="P85" s="304"/>
      <c r="Q85" s="310"/>
      <c r="R85" s="213" t="e">
        <f t="shared" si="116"/>
        <v>#DIV/0!</v>
      </c>
      <c r="S85" s="310"/>
      <c r="T85" s="304"/>
      <c r="U85" s="310"/>
      <c r="V85" s="213" t="e">
        <f t="shared" si="117"/>
        <v>#DIV/0!</v>
      </c>
      <c r="W85" s="310"/>
      <c r="X85" s="304">
        <f t="shared" si="333"/>
        <v>0</v>
      </c>
      <c r="Y85" s="310"/>
      <c r="Z85" s="213">
        <f t="shared" si="374"/>
        <v>0</v>
      </c>
      <c r="AA85" s="309">
        <f t="shared" si="375"/>
        <v>0</v>
      </c>
      <c r="AB85" s="309">
        <f t="shared" si="362"/>
        <v>0</v>
      </c>
      <c r="AC85" s="309">
        <f t="shared" si="362"/>
        <v>0</v>
      </c>
      <c r="AD85" s="309">
        <f t="shared" si="376"/>
        <v>0</v>
      </c>
      <c r="AE85" s="310"/>
      <c r="AF85" s="304"/>
      <c r="AG85" s="310"/>
      <c r="AH85" s="213" t="e">
        <f t="shared" si="118"/>
        <v>#DIV/0!</v>
      </c>
      <c r="AI85" s="310"/>
      <c r="AJ85" s="304"/>
      <c r="AK85" s="310"/>
      <c r="AL85" s="213" t="e">
        <f t="shared" si="119"/>
        <v>#DIV/0!</v>
      </c>
      <c r="AM85" s="310"/>
      <c r="AN85" s="304"/>
      <c r="AO85" s="310"/>
      <c r="AP85" s="213" t="e">
        <f t="shared" si="120"/>
        <v>#DIV/0!</v>
      </c>
      <c r="AQ85" s="310"/>
      <c r="AR85" s="304">
        <f t="shared" si="363"/>
        <v>0</v>
      </c>
      <c r="AS85" s="310"/>
      <c r="AT85" s="213">
        <f t="shared" si="377"/>
        <v>0</v>
      </c>
      <c r="AU85" s="309">
        <f t="shared" si="378"/>
        <v>0</v>
      </c>
      <c r="AV85" s="309">
        <f t="shared" si="379"/>
        <v>0</v>
      </c>
      <c r="AW85" s="309">
        <f t="shared" si="380"/>
        <v>0</v>
      </c>
      <c r="AX85" s="309">
        <f t="shared" si="381"/>
        <v>0</v>
      </c>
      <c r="AY85" s="310"/>
      <c r="AZ85" s="304">
        <f t="shared" si="364"/>
        <v>0</v>
      </c>
      <c r="BA85" s="310"/>
      <c r="BB85" s="213">
        <f t="shared" si="382"/>
        <v>0</v>
      </c>
      <c r="BC85" s="310"/>
      <c r="BD85" s="304">
        <f t="shared" si="365"/>
        <v>0</v>
      </c>
      <c r="BE85" s="310"/>
      <c r="BF85" s="213">
        <f t="shared" si="383"/>
        <v>0</v>
      </c>
      <c r="BG85" s="310"/>
      <c r="BH85" s="304">
        <f t="shared" si="366"/>
        <v>0</v>
      </c>
      <c r="BI85" s="310"/>
      <c r="BJ85" s="213">
        <f t="shared" si="384"/>
        <v>0</v>
      </c>
      <c r="BK85" s="311">
        <f t="shared" si="367"/>
        <v>0</v>
      </c>
      <c r="BL85" s="311">
        <f t="shared" si="367"/>
        <v>0</v>
      </c>
      <c r="BM85" s="311">
        <f t="shared" si="367"/>
        <v>0</v>
      </c>
      <c r="BN85" s="305">
        <f t="shared" si="385"/>
        <v>0</v>
      </c>
      <c r="BO85" s="305">
        <f t="shared" si="368"/>
        <v>0</v>
      </c>
      <c r="BP85" s="305">
        <f t="shared" si="368"/>
        <v>0</v>
      </c>
      <c r="BQ85" s="305">
        <f t="shared" si="368"/>
        <v>0</v>
      </c>
      <c r="BR85" s="305">
        <f t="shared" si="386"/>
        <v>0</v>
      </c>
    </row>
    <row r="86" spans="1:70" ht="15.75" x14ac:dyDescent="0.25">
      <c r="A86" s="190" t="s">
        <v>185</v>
      </c>
      <c r="B86" s="204"/>
      <c r="C86" s="214">
        <f t="shared" ref="C86" si="411">C85/4</f>
        <v>0</v>
      </c>
      <c r="D86" s="97">
        <f t="shared" si="359"/>
        <v>0</v>
      </c>
      <c r="E86" s="214">
        <f t="shared" ref="E86" si="412">E85/4</f>
        <v>0</v>
      </c>
      <c r="F86" s="99">
        <f t="shared" si="369"/>
        <v>0</v>
      </c>
      <c r="G86" s="214">
        <f t="shared" ref="G86" si="413">G85/4</f>
        <v>0</v>
      </c>
      <c r="H86" s="97">
        <f t="shared" si="360"/>
        <v>0</v>
      </c>
      <c r="I86" s="214">
        <f t="shared" ref="I86" si="414">I85/4</f>
        <v>0</v>
      </c>
      <c r="J86" s="99">
        <f t="shared" si="370"/>
        <v>0</v>
      </c>
      <c r="K86" s="210">
        <f t="shared" si="371"/>
        <v>0</v>
      </c>
      <c r="L86" s="210">
        <f t="shared" si="372"/>
        <v>0</v>
      </c>
      <c r="M86" s="210">
        <f t="shared" si="361"/>
        <v>0</v>
      </c>
      <c r="N86" s="158">
        <f t="shared" si="373"/>
        <v>0</v>
      </c>
      <c r="O86" s="214">
        <f t="shared" ref="O86" si="415">O85/4</f>
        <v>0</v>
      </c>
      <c r="P86" s="97"/>
      <c r="Q86" s="214">
        <f t="shared" ref="Q86" si="416">Q85/4</f>
        <v>0</v>
      </c>
      <c r="R86" s="99" t="e">
        <f t="shared" si="116"/>
        <v>#DIV/0!</v>
      </c>
      <c r="S86" s="214">
        <f t="shared" ref="S86" si="417">S85/4</f>
        <v>0</v>
      </c>
      <c r="T86" s="97"/>
      <c r="U86" s="214">
        <f t="shared" ref="U86" si="418">U85/4</f>
        <v>0</v>
      </c>
      <c r="V86" s="99" t="e">
        <f t="shared" si="117"/>
        <v>#DIV/0!</v>
      </c>
      <c r="W86" s="214">
        <f t="shared" ref="W86" si="419">W85/4</f>
        <v>0</v>
      </c>
      <c r="X86" s="304">
        <f t="shared" si="333"/>
        <v>0</v>
      </c>
      <c r="Y86" s="214">
        <f t="shared" ref="Y86" si="420">Y85/4</f>
        <v>0</v>
      </c>
      <c r="Z86" s="99">
        <f t="shared" si="374"/>
        <v>0</v>
      </c>
      <c r="AA86" s="210">
        <f t="shared" si="375"/>
        <v>0</v>
      </c>
      <c r="AB86" s="210">
        <f t="shared" si="362"/>
        <v>0</v>
      </c>
      <c r="AC86" s="210">
        <f t="shared" si="362"/>
        <v>0</v>
      </c>
      <c r="AD86" s="210">
        <f t="shared" si="376"/>
        <v>0</v>
      </c>
      <c r="AE86" s="214">
        <f t="shared" ref="AE86" si="421">AE85/4</f>
        <v>0</v>
      </c>
      <c r="AF86" s="97"/>
      <c r="AG86" s="214">
        <f t="shared" ref="AG86" si="422">AG85/4</f>
        <v>0</v>
      </c>
      <c r="AH86" s="99" t="e">
        <f t="shared" si="118"/>
        <v>#DIV/0!</v>
      </c>
      <c r="AI86" s="214">
        <f t="shared" ref="AI86" si="423">AI85/4</f>
        <v>0</v>
      </c>
      <c r="AJ86" s="97"/>
      <c r="AK86" s="214">
        <f t="shared" ref="AK86" si="424">AK85/4</f>
        <v>0</v>
      </c>
      <c r="AL86" s="99" t="e">
        <f t="shared" si="119"/>
        <v>#DIV/0!</v>
      </c>
      <c r="AM86" s="214">
        <f t="shared" ref="AM86" si="425">AM85/4</f>
        <v>0</v>
      </c>
      <c r="AN86" s="97"/>
      <c r="AO86" s="214">
        <f t="shared" ref="AO86" si="426">AO85/4</f>
        <v>0</v>
      </c>
      <c r="AP86" s="99" t="e">
        <f t="shared" si="120"/>
        <v>#DIV/0!</v>
      </c>
      <c r="AQ86" s="214">
        <f t="shared" ref="AQ86" si="427">AQ85/4</f>
        <v>0</v>
      </c>
      <c r="AR86" s="228">
        <f t="shared" si="363"/>
        <v>0</v>
      </c>
      <c r="AS86" s="214">
        <f t="shared" ref="AS86" si="428">AS85/4</f>
        <v>0</v>
      </c>
      <c r="AT86" s="99">
        <f t="shared" si="377"/>
        <v>0</v>
      </c>
      <c r="AU86" s="210">
        <f t="shared" si="378"/>
        <v>0</v>
      </c>
      <c r="AV86" s="210">
        <f t="shared" si="379"/>
        <v>0</v>
      </c>
      <c r="AW86" s="210">
        <f t="shared" si="380"/>
        <v>0</v>
      </c>
      <c r="AX86" s="210">
        <f t="shared" si="381"/>
        <v>0</v>
      </c>
      <c r="AY86" s="214">
        <f t="shared" ref="AY86" si="429">AY85/4</f>
        <v>0</v>
      </c>
      <c r="AZ86" s="97">
        <f t="shared" si="364"/>
        <v>0</v>
      </c>
      <c r="BA86" s="214">
        <f t="shared" ref="BA86" si="430">BA85/4</f>
        <v>0</v>
      </c>
      <c r="BB86" s="99">
        <f t="shared" si="382"/>
        <v>0</v>
      </c>
      <c r="BC86" s="214">
        <f t="shared" ref="BC86" si="431">BC85/4</f>
        <v>0</v>
      </c>
      <c r="BD86" s="97">
        <f t="shared" si="365"/>
        <v>0</v>
      </c>
      <c r="BE86" s="214">
        <f t="shared" ref="BE86" si="432">BE85/4</f>
        <v>0</v>
      </c>
      <c r="BF86" s="99">
        <f t="shared" si="383"/>
        <v>0</v>
      </c>
      <c r="BG86" s="214">
        <f t="shared" ref="BG86" si="433">BG85/4</f>
        <v>0</v>
      </c>
      <c r="BH86" s="97">
        <f t="shared" si="366"/>
        <v>0</v>
      </c>
      <c r="BI86" s="214">
        <f t="shared" ref="BI86" si="434">BI85/4</f>
        <v>0</v>
      </c>
      <c r="BJ86" s="99">
        <f t="shared" si="384"/>
        <v>0</v>
      </c>
      <c r="BK86" s="236">
        <f t="shared" si="367"/>
        <v>0</v>
      </c>
      <c r="BL86" s="236">
        <f t="shared" si="367"/>
        <v>0</v>
      </c>
      <c r="BM86" s="236">
        <f t="shared" si="367"/>
        <v>0</v>
      </c>
      <c r="BN86" s="235">
        <f t="shared" si="385"/>
        <v>0</v>
      </c>
      <c r="BO86" s="235">
        <f t="shared" si="368"/>
        <v>0</v>
      </c>
      <c r="BP86" s="235">
        <f t="shared" si="368"/>
        <v>0</v>
      </c>
      <c r="BQ86" s="235">
        <f t="shared" si="368"/>
        <v>0</v>
      </c>
      <c r="BR86" s="235">
        <f t="shared" si="386"/>
        <v>0</v>
      </c>
    </row>
    <row r="87" spans="1:70" ht="15.75" x14ac:dyDescent="0.25">
      <c r="A87" s="94" t="s">
        <v>179</v>
      </c>
      <c r="B87" s="204"/>
      <c r="C87" s="214">
        <f t="shared" ref="C87:D87" si="435">SUM(C86,C83)</f>
        <v>15908</v>
      </c>
      <c r="D87" s="214">
        <f t="shared" si="435"/>
        <v>15908</v>
      </c>
      <c r="E87" s="214">
        <f t="shared" ref="E87" si="436">SUM(E86,E83)</f>
        <v>7798</v>
      </c>
      <c r="F87" s="99">
        <f t="shared" si="369"/>
        <v>49.019361327633895</v>
      </c>
      <c r="G87" s="214">
        <f t="shared" ref="G87:H87" si="437">SUM(G86,G83)</f>
        <v>15</v>
      </c>
      <c r="H87" s="214">
        <f t="shared" si="437"/>
        <v>15</v>
      </c>
      <c r="I87" s="214">
        <f t="shared" ref="I87" si="438">SUM(I86,I83)</f>
        <v>15</v>
      </c>
      <c r="J87" s="99">
        <f t="shared" si="370"/>
        <v>100</v>
      </c>
      <c r="K87" s="210">
        <f t="shared" si="371"/>
        <v>15923</v>
      </c>
      <c r="L87" s="210">
        <f t="shared" si="372"/>
        <v>15923</v>
      </c>
      <c r="M87" s="210">
        <f t="shared" si="361"/>
        <v>7813</v>
      </c>
      <c r="N87" s="158">
        <f t="shared" si="373"/>
        <v>49.067386798970041</v>
      </c>
      <c r="O87" s="214">
        <f t="shared" ref="O87" si="439">SUM(O86,O83)</f>
        <v>0</v>
      </c>
      <c r="P87" s="97"/>
      <c r="Q87" s="214">
        <f t="shared" ref="Q87" si="440">SUM(Q86,Q83)</f>
        <v>0</v>
      </c>
      <c r="R87" s="99" t="e">
        <f t="shared" si="116"/>
        <v>#DIV/0!</v>
      </c>
      <c r="S87" s="214">
        <f t="shared" ref="S87" si="441">SUM(S86,S83)</f>
        <v>0</v>
      </c>
      <c r="T87" s="97"/>
      <c r="U87" s="214">
        <f t="shared" ref="U87" si="442">SUM(U86,U83)</f>
        <v>0</v>
      </c>
      <c r="V87" s="99" t="e">
        <f t="shared" si="117"/>
        <v>#DIV/0!</v>
      </c>
      <c r="W87" s="214">
        <f t="shared" ref="W87:X87" si="443">SUM(W86,W83)</f>
        <v>12745</v>
      </c>
      <c r="X87" s="214">
        <f t="shared" si="443"/>
        <v>12745</v>
      </c>
      <c r="Y87" s="214">
        <f t="shared" ref="Y87" si="444">SUM(Y86,Y83)</f>
        <v>14059</v>
      </c>
      <c r="Z87" s="99">
        <f t="shared" si="374"/>
        <v>110.30992546096508</v>
      </c>
      <c r="AA87" s="210">
        <f t="shared" si="375"/>
        <v>12745</v>
      </c>
      <c r="AB87" s="210">
        <f t="shared" si="362"/>
        <v>12745</v>
      </c>
      <c r="AC87" s="210">
        <f t="shared" si="362"/>
        <v>14059</v>
      </c>
      <c r="AD87" s="210">
        <f t="shared" si="376"/>
        <v>110.30992546096508</v>
      </c>
      <c r="AE87" s="214">
        <f t="shared" ref="AE87" si="445">SUM(AE86,AE83)</f>
        <v>0</v>
      </c>
      <c r="AF87" s="97"/>
      <c r="AG87" s="214">
        <f t="shared" ref="AG87" si="446">SUM(AG86,AG83)</f>
        <v>0</v>
      </c>
      <c r="AH87" s="99" t="e">
        <f t="shared" si="118"/>
        <v>#DIV/0!</v>
      </c>
      <c r="AI87" s="214">
        <f t="shared" ref="AI87" si="447">SUM(AI86,AI83)</f>
        <v>0</v>
      </c>
      <c r="AJ87" s="97"/>
      <c r="AK87" s="214">
        <f t="shared" ref="AK87" si="448">SUM(AK86,AK83)</f>
        <v>0</v>
      </c>
      <c r="AL87" s="99" t="e">
        <f t="shared" si="119"/>
        <v>#DIV/0!</v>
      </c>
      <c r="AM87" s="214">
        <f t="shared" ref="AM87" si="449">SUM(AM86,AM83)</f>
        <v>0</v>
      </c>
      <c r="AN87" s="97"/>
      <c r="AO87" s="214">
        <f t="shared" ref="AO87" si="450">SUM(AO86,AO83)</f>
        <v>0</v>
      </c>
      <c r="AP87" s="99" t="e">
        <f t="shared" si="120"/>
        <v>#DIV/0!</v>
      </c>
      <c r="AQ87" s="214">
        <f t="shared" ref="AQ87:AR87" si="451">SUM(AQ86,AQ83)</f>
        <v>57907</v>
      </c>
      <c r="AR87" s="214">
        <f t="shared" si="451"/>
        <v>57907</v>
      </c>
      <c r="AS87" s="214">
        <f t="shared" ref="AS87" si="452">SUM(AS86,AS83)</f>
        <v>32968</v>
      </c>
      <c r="AT87" s="99">
        <f t="shared" si="377"/>
        <v>56.932667898526944</v>
      </c>
      <c r="AU87" s="210">
        <f t="shared" si="378"/>
        <v>57907</v>
      </c>
      <c r="AV87" s="210">
        <f t="shared" si="379"/>
        <v>57907</v>
      </c>
      <c r="AW87" s="210">
        <f t="shared" si="380"/>
        <v>32968</v>
      </c>
      <c r="AX87" s="210">
        <f t="shared" si="381"/>
        <v>56.932667898526944</v>
      </c>
      <c r="AY87" s="214">
        <f t="shared" ref="AY87:AZ87" si="453">SUM(AY86,AY83)</f>
        <v>21421.97</v>
      </c>
      <c r="AZ87" s="214">
        <f t="shared" si="453"/>
        <v>21421.97</v>
      </c>
      <c r="BA87" s="214">
        <f t="shared" ref="BA87" si="454">SUM(BA86,BA83)</f>
        <v>17971</v>
      </c>
      <c r="BB87" s="99">
        <f t="shared" si="382"/>
        <v>83.890510536612638</v>
      </c>
      <c r="BC87" s="214">
        <f t="shared" ref="BC87:BD87" si="455">SUM(BC86,BC83)</f>
        <v>9733.7943999999989</v>
      </c>
      <c r="BD87" s="214">
        <f t="shared" si="455"/>
        <v>9733.7943999999989</v>
      </c>
      <c r="BE87" s="214">
        <f t="shared" ref="BE87" si="456">SUM(BE86,BE83)</f>
        <v>8510</v>
      </c>
      <c r="BF87" s="99">
        <f t="shared" si="383"/>
        <v>87.427365426991159</v>
      </c>
      <c r="BG87" s="214">
        <f t="shared" ref="BG87:BH87" si="457">SUM(BG86,BG83)</f>
        <v>39283.11</v>
      </c>
      <c r="BH87" s="214">
        <f t="shared" si="457"/>
        <v>39283.11</v>
      </c>
      <c r="BI87" s="214">
        <f t="shared" ref="BI87" si="458">SUM(BI86,BI83)</f>
        <v>34322</v>
      </c>
      <c r="BJ87" s="99">
        <f t="shared" si="384"/>
        <v>87.370882804340084</v>
      </c>
      <c r="BK87" s="236">
        <f t="shared" si="367"/>
        <v>49016.904399999999</v>
      </c>
      <c r="BL87" s="236">
        <f t="shared" si="367"/>
        <v>49016.904399999999</v>
      </c>
      <c r="BM87" s="236">
        <f t="shared" si="367"/>
        <v>42832</v>
      </c>
      <c r="BN87" s="235">
        <f t="shared" si="385"/>
        <v>87.382099143739481</v>
      </c>
      <c r="BO87" s="235">
        <f t="shared" si="368"/>
        <v>157013.8744</v>
      </c>
      <c r="BP87" s="235">
        <f t="shared" si="368"/>
        <v>157013.8744</v>
      </c>
      <c r="BQ87" s="235">
        <f t="shared" si="368"/>
        <v>115643</v>
      </c>
      <c r="BR87" s="235">
        <f t="shared" si="386"/>
        <v>73.651453059106217</v>
      </c>
    </row>
    <row r="88" spans="1:70" ht="15.75" x14ac:dyDescent="0.25">
      <c r="A88" s="94"/>
      <c r="B88" s="203"/>
      <c r="C88" s="214"/>
      <c r="D88" s="97">
        <f t="shared" si="359"/>
        <v>0</v>
      </c>
      <c r="E88" s="214"/>
      <c r="F88" s="99">
        <f t="shared" si="369"/>
        <v>0</v>
      </c>
      <c r="G88" s="214"/>
      <c r="H88" s="97">
        <f t="shared" si="360"/>
        <v>0</v>
      </c>
      <c r="I88" s="214"/>
      <c r="J88" s="99">
        <f t="shared" si="370"/>
        <v>0</v>
      </c>
      <c r="K88" s="210">
        <f t="shared" si="371"/>
        <v>0</v>
      </c>
      <c r="L88" s="210">
        <f t="shared" si="372"/>
        <v>0</v>
      </c>
      <c r="M88" s="210">
        <f t="shared" si="361"/>
        <v>0</v>
      </c>
      <c r="N88" s="158">
        <f t="shared" si="373"/>
        <v>0</v>
      </c>
      <c r="O88" s="214"/>
      <c r="P88" s="97"/>
      <c r="Q88" s="214"/>
      <c r="R88" s="99" t="e">
        <f t="shared" si="116"/>
        <v>#DIV/0!</v>
      </c>
      <c r="S88" s="214"/>
      <c r="T88" s="97"/>
      <c r="U88" s="214"/>
      <c r="V88" s="99" t="e">
        <f t="shared" si="117"/>
        <v>#DIV/0!</v>
      </c>
      <c r="W88" s="214"/>
      <c r="X88" s="228">
        <f t="shared" ref="X88" si="459">(W88/11)+S88+O88</f>
        <v>0</v>
      </c>
      <c r="Y88" s="214"/>
      <c r="Z88" s="99">
        <f t="shared" si="374"/>
        <v>0</v>
      </c>
      <c r="AA88" s="210">
        <f t="shared" si="375"/>
        <v>0</v>
      </c>
      <c r="AB88" s="210">
        <f t="shared" si="362"/>
        <v>0</v>
      </c>
      <c r="AC88" s="210">
        <f t="shared" si="362"/>
        <v>0</v>
      </c>
      <c r="AD88" s="210">
        <f t="shared" si="376"/>
        <v>0</v>
      </c>
      <c r="AE88" s="214"/>
      <c r="AF88" s="97"/>
      <c r="AG88" s="214"/>
      <c r="AH88" s="99" t="e">
        <f t="shared" si="118"/>
        <v>#DIV/0!</v>
      </c>
      <c r="AI88" s="214"/>
      <c r="AJ88" s="97"/>
      <c r="AK88" s="214"/>
      <c r="AL88" s="99" t="e">
        <f t="shared" si="119"/>
        <v>#DIV/0!</v>
      </c>
      <c r="AM88" s="214"/>
      <c r="AN88" s="97"/>
      <c r="AO88" s="214"/>
      <c r="AP88" s="99" t="e">
        <f t="shared" si="120"/>
        <v>#DIV/0!</v>
      </c>
      <c r="AQ88" s="214"/>
      <c r="AR88" s="228">
        <f t="shared" si="363"/>
        <v>0</v>
      </c>
      <c r="AS88" s="214"/>
      <c r="AT88" s="99">
        <f t="shared" si="377"/>
        <v>0</v>
      </c>
      <c r="AU88" s="210">
        <f t="shared" si="378"/>
        <v>0</v>
      </c>
      <c r="AV88" s="210">
        <f t="shared" si="379"/>
        <v>0</v>
      </c>
      <c r="AW88" s="210">
        <f t="shared" si="380"/>
        <v>0</v>
      </c>
      <c r="AX88" s="210">
        <f t="shared" si="381"/>
        <v>0</v>
      </c>
      <c r="AY88" s="214"/>
      <c r="AZ88" s="97">
        <f t="shared" si="364"/>
        <v>0</v>
      </c>
      <c r="BA88" s="214"/>
      <c r="BB88" s="99">
        <f t="shared" si="382"/>
        <v>0</v>
      </c>
      <c r="BC88" s="214"/>
      <c r="BD88" s="97">
        <f t="shared" si="365"/>
        <v>0</v>
      </c>
      <c r="BE88" s="214"/>
      <c r="BF88" s="99">
        <f t="shared" si="383"/>
        <v>0</v>
      </c>
      <c r="BG88" s="214"/>
      <c r="BH88" s="97">
        <f t="shared" si="366"/>
        <v>0</v>
      </c>
      <c r="BI88" s="214"/>
      <c r="BJ88" s="99">
        <f t="shared" si="384"/>
        <v>0</v>
      </c>
      <c r="BK88" s="236">
        <f t="shared" si="367"/>
        <v>0</v>
      </c>
      <c r="BL88" s="236">
        <f t="shared" si="367"/>
        <v>0</v>
      </c>
      <c r="BM88" s="236">
        <f t="shared" si="367"/>
        <v>0</v>
      </c>
      <c r="BN88" s="235">
        <f t="shared" si="385"/>
        <v>0</v>
      </c>
      <c r="BO88" s="235">
        <f t="shared" si="368"/>
        <v>0</v>
      </c>
      <c r="BP88" s="235">
        <f t="shared" si="368"/>
        <v>0</v>
      </c>
      <c r="BQ88" s="235">
        <f t="shared" si="368"/>
        <v>0</v>
      </c>
      <c r="BR88" s="235">
        <f t="shared" si="386"/>
        <v>0</v>
      </c>
    </row>
    <row r="89" spans="1:70" s="221" customFormat="1" ht="15.75" x14ac:dyDescent="0.25">
      <c r="A89" s="87" t="s">
        <v>180</v>
      </c>
      <c r="B89" s="205"/>
      <c r="C89" s="109">
        <f t="shared" ref="C89:E89" si="460">SUM(C87,C23)</f>
        <v>133773</v>
      </c>
      <c r="D89" s="109">
        <f t="shared" si="460"/>
        <v>133773</v>
      </c>
      <c r="E89" s="109">
        <f t="shared" si="460"/>
        <v>120780.4375</v>
      </c>
      <c r="F89" s="110">
        <f t="shared" si="369"/>
        <v>90.287604748342346</v>
      </c>
      <c r="G89" s="109">
        <f t="shared" ref="G89:I89" si="461">SUM(G87,G23)</f>
        <v>2611.1999999999998</v>
      </c>
      <c r="H89" s="109">
        <f t="shared" si="461"/>
        <v>2611.1999999999998</v>
      </c>
      <c r="I89" s="109">
        <f t="shared" si="461"/>
        <v>2611.1999999999998</v>
      </c>
      <c r="J89" s="110">
        <f t="shared" si="370"/>
        <v>100</v>
      </c>
      <c r="K89" s="220">
        <f t="shared" si="371"/>
        <v>136384.20000000001</v>
      </c>
      <c r="L89" s="220">
        <f t="shared" si="372"/>
        <v>136384.20000000001</v>
      </c>
      <c r="M89" s="220">
        <f t="shared" si="361"/>
        <v>123391.6375</v>
      </c>
      <c r="N89" s="158">
        <f t="shared" si="373"/>
        <v>90.473557420874258</v>
      </c>
      <c r="O89" s="109">
        <f t="shared" ref="O89:Q89" si="462">SUM(O87,O23)</f>
        <v>0</v>
      </c>
      <c r="P89" s="109"/>
      <c r="Q89" s="109">
        <f t="shared" si="462"/>
        <v>0</v>
      </c>
      <c r="R89" s="110" t="e">
        <f t="shared" si="116"/>
        <v>#DIV/0!</v>
      </c>
      <c r="S89" s="109">
        <f t="shared" ref="S89:U89" si="463">SUM(S87,S23)</f>
        <v>0</v>
      </c>
      <c r="T89" s="109"/>
      <c r="U89" s="109">
        <f t="shared" si="463"/>
        <v>0</v>
      </c>
      <c r="V89" s="110" t="e">
        <f t="shared" si="117"/>
        <v>#DIV/0!</v>
      </c>
      <c r="W89" s="109">
        <f>SUM(W87,W23)</f>
        <v>167778.8</v>
      </c>
      <c r="X89" s="109">
        <f t="shared" ref="X89:Y89" si="464">SUM(X87,X23)</f>
        <v>167778.8</v>
      </c>
      <c r="Y89" s="109">
        <f t="shared" si="464"/>
        <v>153414.71250000002</v>
      </c>
      <c r="Z89" s="110">
        <f t="shared" si="374"/>
        <v>91.43867550608303</v>
      </c>
      <c r="AA89" s="220">
        <f t="shared" si="375"/>
        <v>167778.8</v>
      </c>
      <c r="AB89" s="220">
        <f t="shared" si="362"/>
        <v>167778.8</v>
      </c>
      <c r="AC89" s="220">
        <f t="shared" si="362"/>
        <v>153414.71250000002</v>
      </c>
      <c r="AD89" s="210">
        <f t="shared" si="376"/>
        <v>91.43867550608303</v>
      </c>
      <c r="AE89" s="109">
        <f t="shared" ref="AE89:AG89" si="465">SUM(AE87,AE23)</f>
        <v>0</v>
      </c>
      <c r="AF89" s="109"/>
      <c r="AG89" s="109">
        <f t="shared" si="465"/>
        <v>0</v>
      </c>
      <c r="AH89" s="110" t="e">
        <f t="shared" si="118"/>
        <v>#DIV/0!</v>
      </c>
      <c r="AI89" s="109">
        <f t="shared" ref="AI89:AK89" si="466">SUM(AI87,AI23)</f>
        <v>0</v>
      </c>
      <c r="AJ89" s="109"/>
      <c r="AK89" s="109">
        <f t="shared" si="466"/>
        <v>0</v>
      </c>
      <c r="AL89" s="110" t="e">
        <f t="shared" si="119"/>
        <v>#DIV/0!</v>
      </c>
      <c r="AM89" s="109">
        <f t="shared" ref="AM89:AO89" si="467">SUM(AM87,AM23)</f>
        <v>0</v>
      </c>
      <c r="AN89" s="109"/>
      <c r="AO89" s="109">
        <f t="shared" si="467"/>
        <v>0</v>
      </c>
      <c r="AP89" s="110" t="e">
        <f t="shared" si="120"/>
        <v>#DIV/0!</v>
      </c>
      <c r="AQ89" s="109">
        <f t="shared" ref="AQ89:AS89" si="468">SUM(AQ87,AQ23)</f>
        <v>460268.60000000003</v>
      </c>
      <c r="AR89" s="109">
        <f t="shared" si="468"/>
        <v>460268.60000000003</v>
      </c>
      <c r="AS89" s="109">
        <f t="shared" si="468"/>
        <v>372052.5625</v>
      </c>
      <c r="AT89" s="110">
        <f t="shared" si="377"/>
        <v>80.833791942357138</v>
      </c>
      <c r="AU89" s="220">
        <f t="shared" si="378"/>
        <v>460268.60000000003</v>
      </c>
      <c r="AV89" s="220">
        <f t="shared" si="379"/>
        <v>460268.60000000003</v>
      </c>
      <c r="AW89" s="220">
        <f t="shared" si="380"/>
        <v>372052.5625</v>
      </c>
      <c r="AX89" s="210">
        <f t="shared" si="381"/>
        <v>80.833791942357138</v>
      </c>
      <c r="AY89" s="109">
        <f t="shared" ref="AY89:BA89" si="469">SUM(AY87,AY23)</f>
        <v>99867.170000000013</v>
      </c>
      <c r="AZ89" s="109">
        <f t="shared" si="469"/>
        <v>99867.170000000013</v>
      </c>
      <c r="BA89" s="109">
        <f t="shared" si="469"/>
        <v>104989.16250000001</v>
      </c>
      <c r="BB89" s="110">
        <f t="shared" si="382"/>
        <v>105.12880509180344</v>
      </c>
      <c r="BC89" s="109">
        <f t="shared" ref="BC89:BE89" si="470">SUM(BC87,BC23)</f>
        <v>128616.7944</v>
      </c>
      <c r="BD89" s="109">
        <f t="shared" si="470"/>
        <v>128616.7944</v>
      </c>
      <c r="BE89" s="109">
        <f t="shared" si="470"/>
        <v>130031.40000000001</v>
      </c>
      <c r="BF89" s="110">
        <f t="shared" si="383"/>
        <v>101.0998607192779</v>
      </c>
      <c r="BG89" s="109">
        <f t="shared" ref="BG89:BI89" si="471">SUM(BG87,BG23)</f>
        <v>447099.71</v>
      </c>
      <c r="BH89" s="109">
        <f t="shared" si="471"/>
        <v>447099.71</v>
      </c>
      <c r="BI89" s="109">
        <f t="shared" si="471"/>
        <v>428113.6875</v>
      </c>
      <c r="BJ89" s="110">
        <f t="shared" si="384"/>
        <v>95.753514915051056</v>
      </c>
      <c r="BK89" s="285">
        <f t="shared" si="367"/>
        <v>575716.50439999998</v>
      </c>
      <c r="BL89" s="285">
        <f t="shared" si="367"/>
        <v>575716.50439999998</v>
      </c>
      <c r="BM89" s="285">
        <f t="shared" si="367"/>
        <v>558145.08750000002</v>
      </c>
      <c r="BN89" s="285">
        <f t="shared" si="385"/>
        <v>96.947904608308477</v>
      </c>
      <c r="BO89" s="285">
        <f t="shared" si="368"/>
        <v>1440015.2744</v>
      </c>
      <c r="BP89" s="285">
        <f t="shared" si="368"/>
        <v>1440015.2744</v>
      </c>
      <c r="BQ89" s="285">
        <f t="shared" si="368"/>
        <v>1311993.1624999999</v>
      </c>
      <c r="BR89" s="285">
        <f t="shared" si="386"/>
        <v>91.109669864207362</v>
      </c>
    </row>
    <row r="90" spans="1:70" ht="14.25" x14ac:dyDescent="0.2">
      <c r="BK90" s="281"/>
      <c r="BL90" s="281"/>
      <c r="BM90" s="281"/>
      <c r="BN90" s="282"/>
      <c r="BO90" s="282"/>
      <c r="BP90" s="282"/>
      <c r="BQ90" s="282"/>
      <c r="BR90" s="282"/>
    </row>
    <row r="91" spans="1:70" ht="25.5" x14ac:dyDescent="0.2">
      <c r="A91" s="253" t="s">
        <v>263</v>
      </c>
      <c r="B91" s="11"/>
      <c r="C91" s="11"/>
      <c r="D91" s="11"/>
      <c r="E91" s="11" t="s">
        <v>371</v>
      </c>
      <c r="F91" s="11"/>
      <c r="G91" s="11"/>
      <c r="H91" s="11"/>
      <c r="I91" s="11"/>
      <c r="J91" s="11"/>
      <c r="K91" s="276"/>
      <c r="L91" s="276"/>
      <c r="M91" s="276"/>
      <c r="N91" s="276"/>
      <c r="O91" s="11"/>
      <c r="P91" s="11"/>
      <c r="Q91" s="11"/>
      <c r="R91" s="11"/>
      <c r="S91" s="11"/>
      <c r="T91" s="11"/>
      <c r="U91" s="11"/>
      <c r="V91" s="11"/>
      <c r="W91" s="11"/>
      <c r="X91" s="277"/>
      <c r="Y91" s="11" t="s">
        <v>372</v>
      </c>
      <c r="Z91" s="11"/>
      <c r="AA91" s="11"/>
      <c r="AB91" s="210">
        <f>AB12+AB18*3.2+AB21</f>
        <v>155033.79999999999</v>
      </c>
      <c r="AC91" s="11"/>
      <c r="AD91" s="276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277"/>
      <c r="AS91" s="11" t="s">
        <v>373</v>
      </c>
      <c r="AT91" s="11"/>
      <c r="AU91" s="11"/>
      <c r="AV91" s="210">
        <f>AV12+AV18*3.2+AV21</f>
        <v>402361.60000000003</v>
      </c>
      <c r="AW91" s="11"/>
      <c r="AX91" s="276"/>
      <c r="AY91" s="11"/>
      <c r="AZ91" s="11"/>
      <c r="BA91" s="11" t="s">
        <v>374</v>
      </c>
      <c r="BB91" s="11"/>
      <c r="BC91" s="11"/>
      <c r="BD91" s="11"/>
      <c r="BE91" s="11" t="s">
        <v>375</v>
      </c>
      <c r="BF91" s="11"/>
      <c r="BG91" s="11"/>
      <c r="BH91" s="11"/>
      <c r="BI91" s="11" t="s">
        <v>376</v>
      </c>
      <c r="BJ91" s="11"/>
      <c r="BK91" s="283"/>
      <c r="BL91" s="283"/>
      <c r="BM91" s="283"/>
      <c r="BN91" s="284"/>
      <c r="BO91" s="284"/>
      <c r="BP91" s="284"/>
      <c r="BQ91" s="284"/>
      <c r="BR91" s="284"/>
    </row>
    <row r="92" spans="1:70" x14ac:dyDescent="0.2">
      <c r="AB92" s="147">
        <f>AB25+AB79*3.2+AB80</f>
        <v>12745</v>
      </c>
      <c r="AV92" s="127">
        <f>AV25+AV79*3.2+AV80</f>
        <v>57907</v>
      </c>
    </row>
    <row r="93" spans="1:70" x14ac:dyDescent="0.2">
      <c r="AB93" s="147"/>
    </row>
    <row r="94" spans="1:70" x14ac:dyDescent="0.2">
      <c r="AB94" s="147"/>
    </row>
  </sheetData>
  <customSheetViews>
    <customSheetView guid="{C4C3C6EA-4E99-4A9E-A26B-FFCC7AED73F2}">
      <pane xSplit="3" ySplit="10" topLeftCell="BC17" activePane="bottomRight" state="frozen"/>
      <selection pane="bottomRight" activeCell="BP29" sqref="BP29"/>
      <pageMargins left="0.7" right="0.7" top="0.75" bottom="0.75" header="0.3" footer="0.3"/>
    </customSheetView>
    <customSheetView guid="{7AB5B88D-359A-416D-9EE2-70D3717CE362}">
      <pane xSplit="3" ySplit="10" topLeftCell="CE11" activePane="bottomRight" state="frozen"/>
      <selection pane="bottomRight" activeCell="AW18" sqref="AW18"/>
      <pageMargins left="0.7" right="0.7" top="0.75" bottom="0.75" header="0.3" footer="0.3"/>
    </customSheetView>
    <customSheetView guid="{54C0345E-C30A-4773-9BED-454F3B675FBE}">
      <pane xSplit="2" ySplit="9" topLeftCell="BF11" activePane="bottomRight" state="frozen"/>
      <selection pane="bottomRight" activeCell="BQ21" sqref="BQ21"/>
      <pageMargins left="0.7" right="0.7" top="0.75" bottom="0.75" header="0.3" footer="0.3"/>
    </customSheetView>
  </customSheetViews>
  <mergeCells count="77">
    <mergeCell ref="A1:H2"/>
    <mergeCell ref="BC8:BF8"/>
    <mergeCell ref="BG8:BJ8"/>
    <mergeCell ref="BK8:BN8"/>
    <mergeCell ref="BO8:BR8"/>
    <mergeCell ref="W3:Z3"/>
    <mergeCell ref="W4:Z4"/>
    <mergeCell ref="W5:Z5"/>
    <mergeCell ref="W6:Z6"/>
    <mergeCell ref="W8:Z8"/>
    <mergeCell ref="AQ3:AT3"/>
    <mergeCell ref="AQ4:AT4"/>
    <mergeCell ref="AQ5:AT5"/>
    <mergeCell ref="AQ6:AT6"/>
    <mergeCell ref="AQ8:AT8"/>
    <mergeCell ref="AI3:AL3"/>
    <mergeCell ref="B8:B9"/>
    <mergeCell ref="G8:J8"/>
    <mergeCell ref="K8:N8"/>
    <mergeCell ref="O8:R8"/>
    <mergeCell ref="S8:V8"/>
    <mergeCell ref="C8:F8"/>
    <mergeCell ref="C6:F6"/>
    <mergeCell ref="G6:J6"/>
    <mergeCell ref="K6:N6"/>
    <mergeCell ref="O6:R6"/>
    <mergeCell ref="S6:V6"/>
    <mergeCell ref="C3:F3"/>
    <mergeCell ref="G3:J3"/>
    <mergeCell ref="K3:N5"/>
    <mergeCell ref="O3:R3"/>
    <mergeCell ref="AE3:AH3"/>
    <mergeCell ref="S3:V3"/>
    <mergeCell ref="AA3:AD5"/>
    <mergeCell ref="C5:F5"/>
    <mergeCell ref="G5:J5"/>
    <mergeCell ref="G4:J4"/>
    <mergeCell ref="O4:R4"/>
    <mergeCell ref="S4:V4"/>
    <mergeCell ref="C4:F4"/>
    <mergeCell ref="AA8:AD8"/>
    <mergeCell ref="AE8:AH8"/>
    <mergeCell ref="AI8:AL8"/>
    <mergeCell ref="AM8:AP8"/>
    <mergeCell ref="BG3:BJ3"/>
    <mergeCell ref="BC3:BF3"/>
    <mergeCell ref="AY5:BB5"/>
    <mergeCell ref="BC5:BF5"/>
    <mergeCell ref="BG5:BJ5"/>
    <mergeCell ref="BG4:BJ4"/>
    <mergeCell ref="AE4:AH4"/>
    <mergeCell ref="AI4:AL4"/>
    <mergeCell ref="AU8:AX8"/>
    <mergeCell ref="AY8:BB8"/>
    <mergeCell ref="AM3:AP3"/>
    <mergeCell ref="AA6:AD6"/>
    <mergeCell ref="BO6:BR6"/>
    <mergeCell ref="AY6:BB6"/>
    <mergeCell ref="BC6:BF6"/>
    <mergeCell ref="BG6:BJ6"/>
    <mergeCell ref="BK6:BN6"/>
    <mergeCell ref="BK3:BN5"/>
    <mergeCell ref="BO3:BR5"/>
    <mergeCell ref="AY3:BB3"/>
    <mergeCell ref="AU6:AX6"/>
    <mergeCell ref="O5:R5"/>
    <mergeCell ref="S5:V5"/>
    <mergeCell ref="AE5:AH5"/>
    <mergeCell ref="AI5:AL5"/>
    <mergeCell ref="AM5:AP5"/>
    <mergeCell ref="AU3:AX5"/>
    <mergeCell ref="AE6:AH6"/>
    <mergeCell ref="AI6:AL6"/>
    <mergeCell ref="AM6:AP6"/>
    <mergeCell ref="AM4:AP4"/>
    <mergeCell ref="AY4:BB4"/>
    <mergeCell ref="BC4:BF4"/>
  </mergeCells>
  <pageMargins left="0" right="0" top="0" bottom="0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1"/>
  <sheetViews>
    <sheetView zoomScaleNormal="100" workbookViewId="0">
      <pane xSplit="1" ySplit="9" topLeftCell="AU10" activePane="bottomRight" state="frozen"/>
      <selection pane="topRight" activeCell="C1" sqref="C1"/>
      <selection pane="bottomLeft" activeCell="A10" sqref="A10"/>
      <selection pane="bottomRight" activeCell="BA77" sqref="BA77"/>
    </sheetView>
  </sheetViews>
  <sheetFormatPr defaultRowHeight="12.75" x14ac:dyDescent="0.2"/>
  <cols>
    <col min="1" max="1" width="50.28515625" customWidth="1"/>
    <col min="2" max="2" width="11.7109375" customWidth="1"/>
    <col min="3" max="3" width="12.140625" customWidth="1"/>
    <col min="4" max="4" width="13.140625" hidden="1" customWidth="1"/>
    <col min="5" max="5" width="14.28515625" customWidth="1"/>
    <col min="6" max="6" width="17.28515625" customWidth="1"/>
    <col min="7" max="7" width="12.140625" customWidth="1"/>
    <col min="8" max="8" width="13.140625" hidden="1" customWidth="1"/>
    <col min="9" max="9" width="14.28515625" customWidth="1"/>
    <col min="10" max="10" width="15.42578125" customWidth="1"/>
    <col min="11" max="11" width="12.140625" customWidth="1"/>
    <col min="12" max="12" width="13.140625" hidden="1" customWidth="1"/>
    <col min="13" max="13" width="14.28515625" customWidth="1"/>
    <col min="14" max="14" width="15" customWidth="1"/>
    <col min="15" max="15" width="12.140625" customWidth="1"/>
    <col min="16" max="16" width="13.140625" hidden="1" customWidth="1"/>
    <col min="17" max="17" width="14.28515625" customWidth="1"/>
    <col min="18" max="18" width="15.28515625" customWidth="1"/>
    <col min="19" max="19" width="12.140625" customWidth="1"/>
    <col min="20" max="20" width="13.140625" hidden="1" customWidth="1"/>
    <col min="21" max="21" width="14.28515625" customWidth="1"/>
    <col min="22" max="22" width="15.42578125" customWidth="1"/>
    <col min="23" max="23" width="12.140625" customWidth="1"/>
    <col min="24" max="24" width="13.140625" hidden="1" customWidth="1"/>
    <col min="25" max="25" width="14.28515625" customWidth="1"/>
    <col min="26" max="26" width="17.42578125" customWidth="1"/>
    <col min="27" max="27" width="12.140625" customWidth="1"/>
    <col min="28" max="28" width="13.140625" hidden="1" customWidth="1"/>
    <col min="29" max="29" width="14.28515625" customWidth="1"/>
    <col min="30" max="30" width="14.85546875" customWidth="1"/>
    <col min="31" max="31" width="12.140625" customWidth="1"/>
    <col min="32" max="32" width="13.140625" hidden="1" customWidth="1"/>
    <col min="33" max="34" width="14.28515625" customWidth="1"/>
    <col min="35" max="35" width="12.140625" customWidth="1"/>
    <col min="36" max="36" width="13.140625" hidden="1" customWidth="1"/>
    <col min="37" max="37" width="14.28515625" customWidth="1"/>
    <col min="38" max="38" width="11.28515625" customWidth="1"/>
    <col min="39" max="39" width="12.140625" customWidth="1"/>
    <col min="40" max="40" width="13.140625" hidden="1" customWidth="1"/>
    <col min="41" max="41" width="14.28515625" customWidth="1"/>
    <col min="42" max="42" width="11.28515625" customWidth="1"/>
    <col min="43" max="43" width="12.140625" customWidth="1"/>
    <col min="44" max="44" width="13.140625" hidden="1" customWidth="1"/>
    <col min="45" max="45" width="14.28515625" customWidth="1"/>
    <col min="46" max="46" width="11.28515625" customWidth="1"/>
    <col min="47" max="47" width="12.140625" customWidth="1"/>
    <col min="48" max="48" width="13.140625" hidden="1" customWidth="1"/>
    <col min="49" max="49" width="14.28515625" customWidth="1"/>
    <col min="50" max="50" width="15.28515625" customWidth="1"/>
    <col min="51" max="51" width="12.140625" customWidth="1"/>
    <col min="52" max="52" width="13.140625" hidden="1" customWidth="1"/>
    <col min="53" max="53" width="14.28515625" customWidth="1"/>
    <col min="54" max="54" width="15.5703125" customWidth="1"/>
    <col min="55" max="55" width="12.140625" hidden="1" customWidth="1"/>
    <col min="56" max="56" width="13.140625" hidden="1" customWidth="1"/>
    <col min="57" max="57" width="14.28515625" hidden="1" customWidth="1"/>
    <col min="58" max="58" width="11.28515625" hidden="1" customWidth="1"/>
    <col min="59" max="59" width="12.140625" customWidth="1"/>
    <col min="60" max="60" width="13.140625" hidden="1" customWidth="1"/>
    <col min="61" max="61" width="14.28515625" customWidth="1"/>
    <col min="62" max="62" width="14.7109375" customWidth="1"/>
    <col min="63" max="63" width="12.140625" customWidth="1"/>
    <col min="64" max="64" width="13.140625" hidden="1" customWidth="1"/>
    <col min="65" max="65" width="14.28515625" customWidth="1"/>
    <col min="66" max="66" width="15.5703125" customWidth="1"/>
    <col min="67" max="67" width="12.140625" customWidth="1"/>
    <col min="68" max="68" width="13.140625" hidden="1" customWidth="1"/>
    <col min="69" max="69" width="14.28515625" customWidth="1"/>
    <col min="70" max="70" width="12.140625" style="127" customWidth="1"/>
  </cols>
  <sheetData>
    <row r="1" spans="1:70" ht="37.5" customHeight="1" x14ac:dyDescent="0.2">
      <c r="A1" s="404" t="s">
        <v>265</v>
      </c>
      <c r="B1" s="404"/>
      <c r="C1" s="404"/>
      <c r="D1" s="404"/>
      <c r="E1" s="404"/>
      <c r="F1" s="404"/>
      <c r="G1" s="404"/>
      <c r="H1" s="404"/>
    </row>
    <row r="2" spans="1:70" x14ac:dyDescent="0.2">
      <c r="A2" s="404"/>
      <c r="B2" s="404"/>
      <c r="C2" s="404"/>
      <c r="D2" s="404"/>
      <c r="E2" s="404"/>
      <c r="F2" s="404"/>
      <c r="G2" s="404"/>
      <c r="H2" s="404"/>
    </row>
    <row r="3" spans="1:70" x14ac:dyDescent="0.2">
      <c r="A3" s="48"/>
      <c r="B3" s="48"/>
      <c r="C3" s="48"/>
      <c r="D3" s="48"/>
      <c r="E3" s="48"/>
      <c r="F3" s="48"/>
    </row>
    <row r="4" spans="1:70" ht="18.600000000000001" customHeight="1" x14ac:dyDescent="0.2">
      <c r="A4" s="4" t="s">
        <v>113</v>
      </c>
      <c r="B4" s="9"/>
      <c r="C4" s="455">
        <v>31</v>
      </c>
      <c r="D4" s="455"/>
      <c r="E4" s="455"/>
      <c r="F4" s="455"/>
      <c r="G4" s="444">
        <v>32</v>
      </c>
      <c r="H4" s="444"/>
      <c r="I4" s="444"/>
      <c r="J4" s="444"/>
      <c r="K4" s="444">
        <v>33</v>
      </c>
      <c r="L4" s="444"/>
      <c r="M4" s="444"/>
      <c r="N4" s="444"/>
      <c r="O4" s="449">
        <v>34</v>
      </c>
      <c r="P4" s="449"/>
      <c r="Q4" s="449"/>
      <c r="R4" s="449"/>
      <c r="S4" s="449">
        <v>41</v>
      </c>
      <c r="T4" s="449"/>
      <c r="U4" s="449"/>
      <c r="V4" s="449"/>
      <c r="W4" s="444">
        <v>40</v>
      </c>
      <c r="X4" s="444"/>
      <c r="Y4" s="444"/>
      <c r="Z4" s="444"/>
      <c r="AA4" s="449">
        <v>42</v>
      </c>
      <c r="AB4" s="449"/>
      <c r="AC4" s="449"/>
      <c r="AD4" s="449"/>
      <c r="AE4" s="444">
        <v>44</v>
      </c>
      <c r="AF4" s="444"/>
      <c r="AG4" s="444"/>
      <c r="AH4" s="444"/>
      <c r="AI4" s="452">
        <v>39</v>
      </c>
      <c r="AJ4" s="452"/>
      <c r="AK4" s="452"/>
      <c r="AL4" s="452"/>
      <c r="AM4" s="449">
        <v>35</v>
      </c>
      <c r="AN4" s="449"/>
      <c r="AO4" s="449"/>
      <c r="AP4" s="449"/>
      <c r="AQ4" s="444">
        <v>36</v>
      </c>
      <c r="AR4" s="444"/>
      <c r="AS4" s="444"/>
      <c r="AT4" s="444"/>
      <c r="AU4" s="452">
        <v>38</v>
      </c>
      <c r="AV4" s="452"/>
      <c r="AW4" s="452"/>
      <c r="AX4" s="452"/>
      <c r="AY4" s="449">
        <v>37</v>
      </c>
      <c r="AZ4" s="449"/>
      <c r="BA4" s="449"/>
      <c r="BB4" s="449"/>
      <c r="BC4" s="449">
        <v>116</v>
      </c>
      <c r="BD4" s="449"/>
      <c r="BE4" s="449"/>
      <c r="BF4" s="449"/>
      <c r="BG4" s="444">
        <v>45</v>
      </c>
      <c r="BH4" s="444"/>
      <c r="BI4" s="444"/>
      <c r="BJ4" s="444"/>
      <c r="BK4" s="452">
        <v>43</v>
      </c>
      <c r="BL4" s="452"/>
      <c r="BM4" s="452"/>
      <c r="BN4" s="452"/>
      <c r="BO4" s="469" t="s">
        <v>62</v>
      </c>
      <c r="BP4" s="469"/>
      <c r="BQ4" s="469"/>
      <c r="BR4" s="469"/>
    </row>
    <row r="5" spans="1:70" ht="18" customHeight="1" x14ac:dyDescent="0.2">
      <c r="A5" s="5" t="s">
        <v>114</v>
      </c>
      <c r="B5" s="11"/>
      <c r="C5" s="470">
        <v>3141002</v>
      </c>
      <c r="D5" s="470"/>
      <c r="E5" s="470"/>
      <c r="F5" s="470"/>
      <c r="G5" s="449">
        <v>3141003</v>
      </c>
      <c r="H5" s="449"/>
      <c r="I5" s="449"/>
      <c r="J5" s="449"/>
      <c r="K5" s="471">
        <v>3141004</v>
      </c>
      <c r="L5" s="471"/>
      <c r="M5" s="471"/>
      <c r="N5" s="471"/>
      <c r="O5" s="452">
        <v>3141007</v>
      </c>
      <c r="P5" s="452"/>
      <c r="Q5" s="452"/>
      <c r="R5" s="452"/>
      <c r="S5" s="415" t="s">
        <v>262</v>
      </c>
      <c r="T5" s="415"/>
      <c r="U5" s="415"/>
      <c r="V5" s="415"/>
      <c r="W5" s="471">
        <v>3148002</v>
      </c>
      <c r="X5" s="471"/>
      <c r="Y5" s="471"/>
      <c r="Z5" s="471"/>
      <c r="AA5" s="452">
        <v>3151001</v>
      </c>
      <c r="AB5" s="452"/>
      <c r="AC5" s="452"/>
      <c r="AD5" s="452"/>
      <c r="AE5" s="449">
        <v>3241002</v>
      </c>
      <c r="AF5" s="449"/>
      <c r="AG5" s="449"/>
      <c r="AH5" s="449"/>
      <c r="AI5" s="444">
        <v>3207001</v>
      </c>
      <c r="AJ5" s="444"/>
      <c r="AK5" s="444"/>
      <c r="AL5" s="444"/>
      <c r="AM5" s="452">
        <v>3107001</v>
      </c>
      <c r="AN5" s="452"/>
      <c r="AO5" s="452"/>
      <c r="AP5" s="452"/>
      <c r="AQ5" s="449">
        <v>3107002</v>
      </c>
      <c r="AR5" s="449"/>
      <c r="AS5" s="449"/>
      <c r="AT5" s="449"/>
      <c r="AU5" s="444">
        <v>3241001</v>
      </c>
      <c r="AV5" s="444"/>
      <c r="AW5" s="444"/>
      <c r="AX5" s="444"/>
      <c r="AY5" s="473">
        <v>3101009</v>
      </c>
      <c r="AZ5" s="474"/>
      <c r="BA5" s="474"/>
      <c r="BB5" s="475"/>
      <c r="BC5" s="452">
        <v>3310001</v>
      </c>
      <c r="BD5" s="452"/>
      <c r="BE5" s="452"/>
      <c r="BF5" s="452"/>
      <c r="BG5" s="449">
        <v>3131001</v>
      </c>
      <c r="BH5" s="449"/>
      <c r="BI5" s="449"/>
      <c r="BJ5" s="449"/>
      <c r="BK5" s="444">
        <v>4346004</v>
      </c>
      <c r="BL5" s="444"/>
      <c r="BM5" s="444"/>
      <c r="BN5" s="444"/>
      <c r="BO5" s="469"/>
      <c r="BP5" s="469"/>
      <c r="BQ5" s="469"/>
      <c r="BR5" s="469"/>
    </row>
    <row r="6" spans="1:70" s="7" customFormat="1" ht="27" customHeight="1" x14ac:dyDescent="0.2">
      <c r="A6" s="5" t="s">
        <v>116</v>
      </c>
      <c r="B6" s="6"/>
      <c r="C6" s="447" t="s">
        <v>280</v>
      </c>
      <c r="D6" s="447"/>
      <c r="E6" s="447"/>
      <c r="F6" s="447"/>
      <c r="G6" s="447" t="s">
        <v>281</v>
      </c>
      <c r="H6" s="447"/>
      <c r="I6" s="447"/>
      <c r="J6" s="447"/>
      <c r="K6" s="455" t="s">
        <v>282</v>
      </c>
      <c r="L6" s="455"/>
      <c r="M6" s="455"/>
      <c r="N6" s="455"/>
      <c r="O6" s="472" t="s">
        <v>283</v>
      </c>
      <c r="P6" s="472"/>
      <c r="Q6" s="472"/>
      <c r="R6" s="472"/>
      <c r="S6" s="447" t="s">
        <v>331</v>
      </c>
      <c r="T6" s="447"/>
      <c r="U6" s="447"/>
      <c r="V6" s="447"/>
      <c r="W6" s="472" t="s">
        <v>332</v>
      </c>
      <c r="X6" s="472"/>
      <c r="Y6" s="472"/>
      <c r="Z6" s="472"/>
      <c r="AA6" s="447" t="s">
        <v>333</v>
      </c>
      <c r="AB6" s="447"/>
      <c r="AC6" s="447"/>
      <c r="AD6" s="447"/>
      <c r="AE6" s="477" t="s">
        <v>334</v>
      </c>
      <c r="AF6" s="477"/>
      <c r="AG6" s="477"/>
      <c r="AH6" s="477"/>
      <c r="AI6" s="478" t="s">
        <v>335</v>
      </c>
      <c r="AJ6" s="478"/>
      <c r="AK6" s="478"/>
      <c r="AL6" s="478"/>
      <c r="AM6" s="472" t="s">
        <v>336</v>
      </c>
      <c r="AN6" s="472"/>
      <c r="AO6" s="472"/>
      <c r="AP6" s="472"/>
      <c r="AQ6" s="476" t="s">
        <v>337</v>
      </c>
      <c r="AR6" s="476"/>
      <c r="AS6" s="476"/>
      <c r="AT6" s="476"/>
      <c r="AU6" s="468" t="s">
        <v>338</v>
      </c>
      <c r="AV6" s="468"/>
      <c r="AW6" s="468"/>
      <c r="AX6" s="468"/>
      <c r="AY6" s="447" t="s">
        <v>284</v>
      </c>
      <c r="AZ6" s="447"/>
      <c r="BA6" s="447"/>
      <c r="BB6" s="447"/>
      <c r="BC6" s="468" t="s">
        <v>61</v>
      </c>
      <c r="BD6" s="468"/>
      <c r="BE6" s="468"/>
      <c r="BF6" s="468"/>
      <c r="BG6" s="447" t="s">
        <v>286</v>
      </c>
      <c r="BH6" s="447"/>
      <c r="BI6" s="447"/>
      <c r="BJ6" s="447"/>
      <c r="BK6" s="447" t="s">
        <v>285</v>
      </c>
      <c r="BL6" s="447"/>
      <c r="BM6" s="447"/>
      <c r="BN6" s="447"/>
      <c r="BO6" s="469"/>
      <c r="BP6" s="469"/>
      <c r="BQ6" s="469"/>
      <c r="BR6" s="469"/>
    </row>
    <row r="7" spans="1:70" hidden="1" x14ac:dyDescent="0.2">
      <c r="A7" s="233">
        <v>12</v>
      </c>
      <c r="B7" s="3"/>
      <c r="C7" s="448" t="s">
        <v>19</v>
      </c>
      <c r="D7" s="448"/>
      <c r="E7" s="448"/>
      <c r="F7" s="448"/>
      <c r="G7" s="448" t="s">
        <v>49</v>
      </c>
      <c r="H7" s="448"/>
      <c r="I7" s="448"/>
      <c r="J7" s="448"/>
      <c r="K7" s="448" t="s">
        <v>50</v>
      </c>
      <c r="L7" s="448"/>
      <c r="M7" s="448"/>
      <c r="N7" s="448"/>
      <c r="O7" s="448" t="s">
        <v>51</v>
      </c>
      <c r="P7" s="448"/>
      <c r="Q7" s="448"/>
      <c r="R7" s="448"/>
      <c r="S7" s="448" t="s">
        <v>52</v>
      </c>
      <c r="T7" s="448"/>
      <c r="U7" s="448"/>
      <c r="V7" s="448"/>
      <c r="W7" s="448" t="s">
        <v>53</v>
      </c>
      <c r="X7" s="448"/>
      <c r="Y7" s="448"/>
      <c r="Z7" s="448"/>
      <c r="AA7" s="448" t="s">
        <v>54</v>
      </c>
      <c r="AB7" s="448"/>
      <c r="AC7" s="448"/>
      <c r="AD7" s="448"/>
      <c r="AE7" s="448" t="s">
        <v>55</v>
      </c>
      <c r="AF7" s="448"/>
      <c r="AG7" s="448"/>
      <c r="AH7" s="448"/>
      <c r="AI7" s="448" t="s">
        <v>56</v>
      </c>
      <c r="AJ7" s="448"/>
      <c r="AK7" s="448"/>
      <c r="AL7" s="448"/>
      <c r="AM7" s="448" t="s">
        <v>57</v>
      </c>
      <c r="AN7" s="448"/>
      <c r="AO7" s="448"/>
      <c r="AP7" s="448"/>
      <c r="AQ7" s="448" t="s">
        <v>58</v>
      </c>
      <c r="AR7" s="448"/>
      <c r="AS7" s="448"/>
      <c r="AT7" s="448"/>
      <c r="AU7" s="448" t="s">
        <v>59</v>
      </c>
      <c r="AV7" s="448"/>
      <c r="AW7" s="448"/>
      <c r="AX7" s="448"/>
      <c r="AY7" s="448" t="s">
        <v>60</v>
      </c>
      <c r="AZ7" s="448"/>
      <c r="BA7" s="448"/>
      <c r="BB7" s="448"/>
      <c r="BC7" s="448" t="s">
        <v>61</v>
      </c>
      <c r="BD7" s="448"/>
      <c r="BE7" s="448"/>
      <c r="BF7" s="448"/>
      <c r="BG7" s="448"/>
      <c r="BH7" s="448"/>
      <c r="BI7" s="448"/>
      <c r="BJ7" s="448"/>
      <c r="BK7" s="448"/>
      <c r="BL7" s="448"/>
      <c r="BM7" s="448"/>
      <c r="BN7" s="448"/>
      <c r="BO7" s="450" t="s">
        <v>62</v>
      </c>
      <c r="BP7" s="450"/>
      <c r="BQ7" s="450"/>
      <c r="BR7" s="450"/>
    </row>
    <row r="8" spans="1:70" s="40" customFormat="1" ht="62.25" customHeight="1" x14ac:dyDescent="0.2">
      <c r="A8" s="463" t="s">
        <v>0</v>
      </c>
      <c r="B8" s="479"/>
      <c r="C8" s="430" t="s">
        <v>2</v>
      </c>
      <c r="D8" s="431"/>
      <c r="E8" s="431"/>
      <c r="F8" s="432"/>
      <c r="G8" s="430" t="s">
        <v>2</v>
      </c>
      <c r="H8" s="431"/>
      <c r="I8" s="431"/>
      <c r="J8" s="432"/>
      <c r="K8" s="430" t="s">
        <v>2</v>
      </c>
      <c r="L8" s="431"/>
      <c r="M8" s="431"/>
      <c r="N8" s="432"/>
      <c r="O8" s="430" t="s">
        <v>2</v>
      </c>
      <c r="P8" s="431"/>
      <c r="Q8" s="431"/>
      <c r="R8" s="432"/>
      <c r="S8" s="430" t="s">
        <v>2</v>
      </c>
      <c r="T8" s="431"/>
      <c r="U8" s="431"/>
      <c r="V8" s="432"/>
      <c r="W8" s="430" t="s">
        <v>2</v>
      </c>
      <c r="X8" s="431"/>
      <c r="Y8" s="431"/>
      <c r="Z8" s="432"/>
      <c r="AA8" s="430" t="s">
        <v>2</v>
      </c>
      <c r="AB8" s="431"/>
      <c r="AC8" s="431"/>
      <c r="AD8" s="432"/>
      <c r="AE8" s="430" t="s">
        <v>2</v>
      </c>
      <c r="AF8" s="431"/>
      <c r="AG8" s="431"/>
      <c r="AH8" s="432"/>
      <c r="AI8" s="430" t="s">
        <v>2</v>
      </c>
      <c r="AJ8" s="431"/>
      <c r="AK8" s="431"/>
      <c r="AL8" s="432"/>
      <c r="AM8" s="430" t="s">
        <v>2</v>
      </c>
      <c r="AN8" s="431"/>
      <c r="AO8" s="431"/>
      <c r="AP8" s="432"/>
      <c r="AQ8" s="430" t="s">
        <v>2</v>
      </c>
      <c r="AR8" s="431"/>
      <c r="AS8" s="431"/>
      <c r="AT8" s="432"/>
      <c r="AU8" s="430" t="s">
        <v>2</v>
      </c>
      <c r="AV8" s="431"/>
      <c r="AW8" s="431"/>
      <c r="AX8" s="432"/>
      <c r="AY8" s="430" t="s">
        <v>2</v>
      </c>
      <c r="AZ8" s="431"/>
      <c r="BA8" s="431"/>
      <c r="BB8" s="432"/>
      <c r="BC8" s="430" t="s">
        <v>2</v>
      </c>
      <c r="BD8" s="431"/>
      <c r="BE8" s="431"/>
      <c r="BF8" s="432"/>
      <c r="BG8" s="430" t="s">
        <v>2</v>
      </c>
      <c r="BH8" s="431"/>
      <c r="BI8" s="431"/>
      <c r="BJ8" s="432"/>
      <c r="BK8" s="430" t="s">
        <v>2</v>
      </c>
      <c r="BL8" s="431"/>
      <c r="BM8" s="431"/>
      <c r="BN8" s="432"/>
      <c r="BO8" s="465" t="s">
        <v>2</v>
      </c>
      <c r="BP8" s="466"/>
      <c r="BQ8" s="466"/>
      <c r="BR8" s="467"/>
    </row>
    <row r="9" spans="1:70" s="40" customFormat="1" ht="31.5" x14ac:dyDescent="0.2">
      <c r="A9" s="464"/>
      <c r="B9" s="479"/>
      <c r="C9" s="146" t="s">
        <v>181</v>
      </c>
      <c r="D9" s="146" t="s">
        <v>353</v>
      </c>
      <c r="E9" s="146" t="s">
        <v>182</v>
      </c>
      <c r="F9" s="146" t="s">
        <v>183</v>
      </c>
      <c r="G9" s="146" t="s">
        <v>181</v>
      </c>
      <c r="H9" s="146" t="s">
        <v>353</v>
      </c>
      <c r="I9" s="146" t="s">
        <v>182</v>
      </c>
      <c r="J9" s="146" t="s">
        <v>183</v>
      </c>
      <c r="K9" s="146" t="s">
        <v>181</v>
      </c>
      <c r="L9" s="146" t="s">
        <v>353</v>
      </c>
      <c r="M9" s="146" t="s">
        <v>182</v>
      </c>
      <c r="N9" s="146" t="s">
        <v>183</v>
      </c>
      <c r="O9" s="146" t="s">
        <v>181</v>
      </c>
      <c r="P9" s="146" t="s">
        <v>353</v>
      </c>
      <c r="Q9" s="146" t="s">
        <v>182</v>
      </c>
      <c r="R9" s="146" t="s">
        <v>183</v>
      </c>
      <c r="S9" s="146" t="s">
        <v>181</v>
      </c>
      <c r="T9" s="146" t="s">
        <v>353</v>
      </c>
      <c r="U9" s="146" t="s">
        <v>182</v>
      </c>
      <c r="V9" s="146" t="s">
        <v>183</v>
      </c>
      <c r="W9" s="146" t="s">
        <v>181</v>
      </c>
      <c r="X9" s="146" t="s">
        <v>353</v>
      </c>
      <c r="Y9" s="146" t="s">
        <v>182</v>
      </c>
      <c r="Z9" s="146" t="s">
        <v>183</v>
      </c>
      <c r="AA9" s="146" t="s">
        <v>181</v>
      </c>
      <c r="AB9" s="146" t="s">
        <v>353</v>
      </c>
      <c r="AC9" s="146" t="s">
        <v>182</v>
      </c>
      <c r="AD9" s="146" t="s">
        <v>183</v>
      </c>
      <c r="AE9" s="146" t="s">
        <v>181</v>
      </c>
      <c r="AF9" s="146" t="s">
        <v>353</v>
      </c>
      <c r="AG9" s="146" t="s">
        <v>182</v>
      </c>
      <c r="AH9" s="146" t="s">
        <v>183</v>
      </c>
      <c r="AI9" s="146" t="s">
        <v>181</v>
      </c>
      <c r="AJ9" s="146" t="s">
        <v>353</v>
      </c>
      <c r="AK9" s="146" t="s">
        <v>182</v>
      </c>
      <c r="AL9" s="146" t="s">
        <v>183</v>
      </c>
      <c r="AM9" s="146" t="s">
        <v>181</v>
      </c>
      <c r="AN9" s="146" t="s">
        <v>353</v>
      </c>
      <c r="AO9" s="146" t="s">
        <v>182</v>
      </c>
      <c r="AP9" s="146" t="s">
        <v>183</v>
      </c>
      <c r="AQ9" s="146" t="s">
        <v>181</v>
      </c>
      <c r="AR9" s="146" t="s">
        <v>353</v>
      </c>
      <c r="AS9" s="146" t="s">
        <v>182</v>
      </c>
      <c r="AT9" s="146" t="s">
        <v>183</v>
      </c>
      <c r="AU9" s="146" t="s">
        <v>181</v>
      </c>
      <c r="AV9" s="146" t="s">
        <v>353</v>
      </c>
      <c r="AW9" s="146" t="s">
        <v>182</v>
      </c>
      <c r="AX9" s="146" t="s">
        <v>183</v>
      </c>
      <c r="AY9" s="146" t="s">
        <v>181</v>
      </c>
      <c r="AZ9" s="146" t="s">
        <v>353</v>
      </c>
      <c r="BA9" s="146" t="s">
        <v>182</v>
      </c>
      <c r="BB9" s="146" t="s">
        <v>183</v>
      </c>
      <c r="BC9" s="146" t="s">
        <v>181</v>
      </c>
      <c r="BD9" s="146" t="s">
        <v>353</v>
      </c>
      <c r="BE9" s="146" t="s">
        <v>182</v>
      </c>
      <c r="BF9" s="146" t="s">
        <v>183</v>
      </c>
      <c r="BG9" s="146" t="s">
        <v>181</v>
      </c>
      <c r="BH9" s="146" t="s">
        <v>353</v>
      </c>
      <c r="BI9" s="146" t="s">
        <v>182</v>
      </c>
      <c r="BJ9" s="146" t="s">
        <v>183</v>
      </c>
      <c r="BK9" s="146" t="s">
        <v>181</v>
      </c>
      <c r="BL9" s="146" t="s">
        <v>353</v>
      </c>
      <c r="BM9" s="146" t="s">
        <v>182</v>
      </c>
      <c r="BN9" s="146" t="s">
        <v>183</v>
      </c>
      <c r="BO9" s="232" t="s">
        <v>181</v>
      </c>
      <c r="BP9" s="232" t="s">
        <v>353</v>
      </c>
      <c r="BQ9" s="232" t="s">
        <v>182</v>
      </c>
      <c r="BR9" s="232" t="s">
        <v>183</v>
      </c>
    </row>
    <row r="10" spans="1:70" s="7" customFormat="1" x14ac:dyDescent="0.2">
      <c r="A10" s="231">
        <v>1</v>
      </c>
      <c r="B10" s="231">
        <v>3</v>
      </c>
      <c r="C10" s="231">
        <v>4</v>
      </c>
      <c r="D10" s="231">
        <v>5</v>
      </c>
      <c r="E10" s="231">
        <v>6</v>
      </c>
      <c r="F10" s="231">
        <v>7</v>
      </c>
      <c r="G10" s="231">
        <v>4</v>
      </c>
      <c r="H10" s="231">
        <v>5</v>
      </c>
      <c r="I10" s="231">
        <v>6</v>
      </c>
      <c r="J10" s="231">
        <v>7</v>
      </c>
      <c r="K10" s="231">
        <v>4</v>
      </c>
      <c r="L10" s="231">
        <v>5</v>
      </c>
      <c r="M10" s="231">
        <v>6</v>
      </c>
      <c r="N10" s="231">
        <v>7</v>
      </c>
      <c r="O10" s="231">
        <v>4</v>
      </c>
      <c r="P10" s="231">
        <v>5</v>
      </c>
      <c r="Q10" s="231">
        <v>6</v>
      </c>
      <c r="R10" s="231">
        <v>7</v>
      </c>
      <c r="S10" s="231">
        <v>4</v>
      </c>
      <c r="T10" s="231">
        <v>5</v>
      </c>
      <c r="U10" s="231">
        <v>6</v>
      </c>
      <c r="V10" s="231">
        <v>7</v>
      </c>
      <c r="W10" s="231">
        <v>4</v>
      </c>
      <c r="X10" s="231">
        <v>5</v>
      </c>
      <c r="Y10" s="231">
        <v>6</v>
      </c>
      <c r="Z10" s="231">
        <v>7</v>
      </c>
      <c r="AA10" s="231">
        <v>4</v>
      </c>
      <c r="AB10" s="231">
        <v>5</v>
      </c>
      <c r="AC10" s="231">
        <v>6</v>
      </c>
      <c r="AD10" s="231">
        <v>7</v>
      </c>
      <c r="AE10" s="231">
        <v>4</v>
      </c>
      <c r="AF10" s="231">
        <v>5</v>
      </c>
      <c r="AG10" s="231">
        <v>6</v>
      </c>
      <c r="AH10" s="231">
        <v>7</v>
      </c>
      <c r="AI10" s="231">
        <v>4</v>
      </c>
      <c r="AJ10" s="231">
        <v>5</v>
      </c>
      <c r="AK10" s="231">
        <v>6</v>
      </c>
      <c r="AL10" s="231">
        <v>7</v>
      </c>
      <c r="AM10" s="231">
        <v>4</v>
      </c>
      <c r="AN10" s="231">
        <v>5</v>
      </c>
      <c r="AO10" s="231">
        <v>6</v>
      </c>
      <c r="AP10" s="231">
        <v>7</v>
      </c>
      <c r="AQ10" s="231">
        <v>4</v>
      </c>
      <c r="AR10" s="231">
        <v>5</v>
      </c>
      <c r="AS10" s="231">
        <v>6</v>
      </c>
      <c r="AT10" s="231">
        <v>7</v>
      </c>
      <c r="AU10" s="231">
        <v>4</v>
      </c>
      <c r="AV10" s="231">
        <v>5</v>
      </c>
      <c r="AW10" s="231">
        <v>6</v>
      </c>
      <c r="AX10" s="231">
        <v>7</v>
      </c>
      <c r="AY10" s="231">
        <v>4</v>
      </c>
      <c r="AZ10" s="231">
        <v>5</v>
      </c>
      <c r="BA10" s="231">
        <v>6</v>
      </c>
      <c r="BB10" s="231">
        <v>7</v>
      </c>
      <c r="BC10" s="231">
        <v>4</v>
      </c>
      <c r="BD10" s="231">
        <v>5</v>
      </c>
      <c r="BE10" s="231">
        <v>6</v>
      </c>
      <c r="BF10" s="231">
        <v>7</v>
      </c>
      <c r="BG10" s="231">
        <v>4</v>
      </c>
      <c r="BH10" s="231">
        <v>5</v>
      </c>
      <c r="BI10" s="231">
        <v>6</v>
      </c>
      <c r="BJ10" s="231">
        <v>7</v>
      </c>
      <c r="BK10" s="231">
        <v>4</v>
      </c>
      <c r="BL10" s="231">
        <v>5</v>
      </c>
      <c r="BM10" s="231">
        <v>6</v>
      </c>
      <c r="BN10" s="231">
        <v>7</v>
      </c>
      <c r="BO10" s="231">
        <f>SUM(BK10,BG10,BC10,AY10,AU10,AQ10,AM10,AI10,AE10,AA10,W10,S10,O10,K10,G10,C10)/4</f>
        <v>16</v>
      </c>
      <c r="BP10" s="231">
        <v>5</v>
      </c>
      <c r="BQ10" s="231">
        <v>6</v>
      </c>
      <c r="BR10" s="280">
        <v>7</v>
      </c>
    </row>
    <row r="11" spans="1:70" s="22" customFormat="1" ht="14.1" customHeight="1" x14ac:dyDescent="0.2">
      <c r="A11" s="149" t="s">
        <v>124</v>
      </c>
      <c r="B11" s="19"/>
      <c r="C11" s="327"/>
      <c r="D11" s="327"/>
      <c r="E11" s="327"/>
      <c r="F11" s="499"/>
      <c r="G11" s="327"/>
      <c r="H11" s="327"/>
      <c r="I11" s="327"/>
      <c r="J11" s="499"/>
      <c r="K11" s="327"/>
      <c r="L11" s="327"/>
      <c r="M11" s="327"/>
      <c r="N11" s="499"/>
      <c r="O11" s="327"/>
      <c r="P11" s="327"/>
      <c r="Q11" s="327"/>
      <c r="R11" s="499"/>
      <c r="S11" s="327"/>
      <c r="T11" s="327"/>
      <c r="U11" s="327"/>
      <c r="V11" s="499"/>
      <c r="W11" s="327"/>
      <c r="X11" s="327"/>
      <c r="Y11" s="327"/>
      <c r="Z11" s="499"/>
      <c r="AA11" s="327"/>
      <c r="AB11" s="327"/>
      <c r="AC11" s="327"/>
      <c r="AD11" s="499"/>
      <c r="AE11" s="327"/>
      <c r="AF11" s="327"/>
      <c r="AG11" s="327"/>
      <c r="AH11" s="499"/>
      <c r="AI11" s="327"/>
      <c r="AJ11" s="327"/>
      <c r="AK11" s="327"/>
      <c r="AL11" s="499"/>
      <c r="AM11" s="327"/>
      <c r="AN11" s="327"/>
      <c r="AO11" s="327"/>
      <c r="AP11" s="499"/>
      <c r="AQ11" s="327"/>
      <c r="AR11" s="327"/>
      <c r="AS11" s="327"/>
      <c r="AT11" s="499"/>
      <c r="AU11" s="327"/>
      <c r="AV11" s="327"/>
      <c r="AW11" s="327"/>
      <c r="AX11" s="499"/>
      <c r="AY11" s="327"/>
      <c r="AZ11" s="327"/>
      <c r="BA11" s="327"/>
      <c r="BB11" s="499"/>
      <c r="BC11" s="327"/>
      <c r="BD11" s="327"/>
      <c r="BE11" s="327"/>
      <c r="BF11" s="499"/>
      <c r="BG11" s="327"/>
      <c r="BH11" s="327"/>
      <c r="BI11" s="327"/>
      <c r="BJ11" s="499"/>
      <c r="BK11" s="327"/>
      <c r="BL11" s="327"/>
      <c r="BM11" s="327"/>
      <c r="BN11" s="499"/>
      <c r="BO11" s="500"/>
      <c r="BP11" s="500"/>
      <c r="BQ11" s="500"/>
      <c r="BR11" s="501"/>
    </row>
    <row r="12" spans="1:70" s="22" customFormat="1" ht="14.1" customHeight="1" x14ac:dyDescent="0.2">
      <c r="A12" s="112" t="s">
        <v>125</v>
      </c>
      <c r="B12" s="196" t="s">
        <v>3</v>
      </c>
      <c r="C12" s="117">
        <f t="shared" ref="C12:BK12" si="0">C14+C15+C16+C17</f>
        <v>45237</v>
      </c>
      <c r="D12" s="117">
        <f t="shared" si="0"/>
        <v>45237</v>
      </c>
      <c r="E12" s="117">
        <f t="shared" ref="E12:BM12" si="1">E14+E15+E16+E17</f>
        <v>149536</v>
      </c>
      <c r="F12" s="117">
        <f>IF(D12=0,0,E12/D12*100)</f>
        <v>330.56126622012954</v>
      </c>
      <c r="G12" s="117">
        <f t="shared" si="0"/>
        <v>26632</v>
      </c>
      <c r="H12" s="117">
        <f t="shared" si="0"/>
        <v>26632</v>
      </c>
      <c r="I12" s="117">
        <f t="shared" si="1"/>
        <v>28580</v>
      </c>
      <c r="J12" s="117">
        <f>IF(H12=0,0,I12/H12*100)</f>
        <v>107.31450886151998</v>
      </c>
      <c r="K12" s="117">
        <f t="shared" si="0"/>
        <v>15109</v>
      </c>
      <c r="L12" s="117">
        <f t="shared" si="0"/>
        <v>15109</v>
      </c>
      <c r="M12" s="117">
        <f t="shared" si="1"/>
        <v>36752</v>
      </c>
      <c r="N12" s="117">
        <f>IF(L12=0,0,M12/L12*100)</f>
        <v>243.2457475676749</v>
      </c>
      <c r="O12" s="117">
        <f t="shared" si="0"/>
        <v>44039</v>
      </c>
      <c r="P12" s="117">
        <f t="shared" si="0"/>
        <v>44039</v>
      </c>
      <c r="Q12" s="117">
        <f t="shared" si="1"/>
        <v>41423</v>
      </c>
      <c r="R12" s="117">
        <f>IF(P12=0,0,Q12/P12*100)</f>
        <v>94.059810622402878</v>
      </c>
      <c r="S12" s="117">
        <f t="shared" si="0"/>
        <v>0</v>
      </c>
      <c r="T12" s="115">
        <f t="shared" ref="T12:AF27" si="2">ROUND(S12/12*$A$7,0)</f>
        <v>0</v>
      </c>
      <c r="U12" s="117">
        <f t="shared" si="1"/>
        <v>0</v>
      </c>
      <c r="V12" s="117">
        <f>IF(T12=0,0,U12/T12*100)</f>
        <v>0</v>
      </c>
      <c r="W12" s="117">
        <f t="shared" si="0"/>
        <v>0</v>
      </c>
      <c r="X12" s="115">
        <f t="shared" si="2"/>
        <v>0</v>
      </c>
      <c r="Y12" s="117">
        <f t="shared" si="1"/>
        <v>0</v>
      </c>
      <c r="Z12" s="117">
        <f>IF(X12=0,0,Y12/X12*100)</f>
        <v>0</v>
      </c>
      <c r="AA12" s="117">
        <f t="shared" si="0"/>
        <v>0</v>
      </c>
      <c r="AB12" s="115">
        <f t="shared" si="2"/>
        <v>0</v>
      </c>
      <c r="AC12" s="117">
        <f t="shared" si="1"/>
        <v>0</v>
      </c>
      <c r="AD12" s="117">
        <f>IF(AB12=0,0,AC12/AB12*100)</f>
        <v>0</v>
      </c>
      <c r="AE12" s="117">
        <f t="shared" si="0"/>
        <v>0</v>
      </c>
      <c r="AF12" s="115">
        <f t="shared" si="2"/>
        <v>0</v>
      </c>
      <c r="AG12" s="117">
        <f t="shared" si="1"/>
        <v>0</v>
      </c>
      <c r="AH12" s="117">
        <f>IF(AF12=0,0,AG12/AF12*100)</f>
        <v>0</v>
      </c>
      <c r="AI12" s="117">
        <f t="shared" si="0"/>
        <v>0</v>
      </c>
      <c r="AJ12" s="115">
        <f t="shared" ref="AJ12:AV27" si="3">ROUND(AI12/12*$A$7,0)</f>
        <v>0</v>
      </c>
      <c r="AK12" s="117">
        <f t="shared" si="1"/>
        <v>0</v>
      </c>
      <c r="AL12" s="117">
        <f>IF(AJ12=0,0,AK12/AJ12*100)</f>
        <v>0</v>
      </c>
      <c r="AM12" s="117">
        <f t="shared" si="0"/>
        <v>0</v>
      </c>
      <c r="AN12" s="115">
        <f t="shared" si="3"/>
        <v>0</v>
      </c>
      <c r="AO12" s="117">
        <f t="shared" si="1"/>
        <v>0</v>
      </c>
      <c r="AP12" s="117">
        <f>IF(AN12=0,0,AO12/AN12*100)</f>
        <v>0</v>
      </c>
      <c r="AQ12" s="117">
        <f t="shared" si="0"/>
        <v>0</v>
      </c>
      <c r="AR12" s="115">
        <f t="shared" si="3"/>
        <v>0</v>
      </c>
      <c r="AS12" s="117">
        <f t="shared" si="1"/>
        <v>0</v>
      </c>
      <c r="AT12" s="117">
        <f>IF(AR12=0,0,AS12/AR12*100)</f>
        <v>0</v>
      </c>
      <c r="AU12" s="117">
        <f t="shared" si="0"/>
        <v>79539</v>
      </c>
      <c r="AV12" s="117">
        <f t="shared" si="0"/>
        <v>79539</v>
      </c>
      <c r="AW12" s="117">
        <f t="shared" si="1"/>
        <v>141134</v>
      </c>
      <c r="AX12" s="117">
        <f>IF(AV12=0,0,AW12/AV12*100)</f>
        <v>177.43999798840818</v>
      </c>
      <c r="AY12" s="117">
        <f t="shared" si="0"/>
        <v>25912</v>
      </c>
      <c r="AZ12" s="117">
        <f t="shared" si="0"/>
        <v>25912</v>
      </c>
      <c r="BA12" s="117">
        <f t="shared" si="1"/>
        <v>25603</v>
      </c>
      <c r="BB12" s="117">
        <f>IF(AZ12=0,0,BA12/AZ12*100)</f>
        <v>98.80750231552949</v>
      </c>
      <c r="BC12" s="117">
        <f t="shared" si="0"/>
        <v>0</v>
      </c>
      <c r="BD12" s="115">
        <f t="shared" ref="AZ12:BL27" si="4">ROUND(BC12/12*$A$7,0)</f>
        <v>0</v>
      </c>
      <c r="BE12" s="117">
        <f t="shared" si="1"/>
        <v>0</v>
      </c>
      <c r="BF12" s="117" t="e">
        <f t="shared" ref="BF12:BF26" si="5">BE12/BD12*100</f>
        <v>#DIV/0!</v>
      </c>
      <c r="BG12" s="117">
        <f t="shared" si="0"/>
        <v>7750</v>
      </c>
      <c r="BH12" s="117">
        <f t="shared" si="0"/>
        <v>7750</v>
      </c>
      <c r="BI12" s="117">
        <f t="shared" si="1"/>
        <v>12579</v>
      </c>
      <c r="BJ12" s="117">
        <f>IF(BH12=0,0,BI12/BH12*100)</f>
        <v>162.30967741935484</v>
      </c>
      <c r="BK12" s="117">
        <f t="shared" si="0"/>
        <v>6732</v>
      </c>
      <c r="BL12" s="115">
        <f t="shared" si="4"/>
        <v>6732</v>
      </c>
      <c r="BM12" s="117">
        <f t="shared" si="1"/>
        <v>57179</v>
      </c>
      <c r="BN12" s="117">
        <f>IF(BL12=0,0,BM12/BL12*100)</f>
        <v>849.36125965537724</v>
      </c>
      <c r="BO12" s="235">
        <f>SUM(BK12,BG12,BC12,AY12,AU12,AQ12,AM12,AI12,AE12,AA12,W12,S12,O12,K12,G12,C12)</f>
        <v>250950</v>
      </c>
      <c r="BP12" s="235">
        <f>SUM(BL12,BH12,BD12,AZ12,AV12,AR12,AN12,AJ12,AF12,AB12,X12,T12,P12,L12,H12,D12)</f>
        <v>250950</v>
      </c>
      <c r="BQ12" s="235">
        <f>SUM(BM12,BI12,BE12,BA12,AW12,AS12,AO12,AK12,AG12,AC12,Y12,U12,Q12,M12,I12,E12)</f>
        <v>492786</v>
      </c>
      <c r="BR12" s="235">
        <f>IF(BP12=0,0,BQ12/BP12*100)</f>
        <v>196.36820083682008</v>
      </c>
    </row>
    <row r="13" spans="1:70" s="22" customFormat="1" ht="15" customHeight="1" x14ac:dyDescent="0.2">
      <c r="A13" s="154" t="s">
        <v>126</v>
      </c>
      <c r="B13" s="197" t="s">
        <v>3</v>
      </c>
      <c r="C13" s="99"/>
      <c r="D13" s="97">
        <f t="shared" ref="D13:P27" si="6">ROUND(C13/12*$A$7,0)</f>
        <v>0</v>
      </c>
      <c r="E13" s="99"/>
      <c r="F13" s="99">
        <f t="shared" ref="F13:F78" si="7">IF(D13=0,0,E13/D13*100)</f>
        <v>0</v>
      </c>
      <c r="G13" s="99"/>
      <c r="H13" s="97">
        <f t="shared" si="6"/>
        <v>0</v>
      </c>
      <c r="I13" s="99"/>
      <c r="J13" s="99">
        <f t="shared" ref="J13:J78" si="8">IF(H13=0,0,I13/H13*100)</f>
        <v>0</v>
      </c>
      <c r="K13" s="99"/>
      <c r="L13" s="97">
        <f t="shared" si="6"/>
        <v>0</v>
      </c>
      <c r="M13" s="99"/>
      <c r="N13" s="99">
        <f t="shared" ref="N13:N78" si="9">IF(L13=0,0,M13/L13*100)</f>
        <v>0</v>
      </c>
      <c r="O13" s="99"/>
      <c r="P13" s="97">
        <f t="shared" si="6"/>
        <v>0</v>
      </c>
      <c r="Q13" s="99"/>
      <c r="R13" s="99">
        <f t="shared" ref="R13:R78" si="10">IF(P13=0,0,Q13/P13*100)</f>
        <v>0</v>
      </c>
      <c r="S13" s="99"/>
      <c r="T13" s="97">
        <f t="shared" si="2"/>
        <v>0</v>
      </c>
      <c r="U13" s="99"/>
      <c r="V13" s="99">
        <f t="shared" ref="V13:V78" si="11">IF(T13=0,0,U13/T13*100)</f>
        <v>0</v>
      </c>
      <c r="W13" s="99"/>
      <c r="X13" s="97">
        <f t="shared" si="2"/>
        <v>0</v>
      </c>
      <c r="Y13" s="99"/>
      <c r="Z13" s="99">
        <f t="shared" ref="Z13:Z78" si="12">IF(X13=0,0,Y13/X13*100)</f>
        <v>0</v>
      </c>
      <c r="AA13" s="99"/>
      <c r="AB13" s="97">
        <f t="shared" si="2"/>
        <v>0</v>
      </c>
      <c r="AC13" s="99"/>
      <c r="AD13" s="99">
        <f t="shared" ref="AD13:AD78" si="13">IF(AB13=0,0,AC13/AB13*100)</f>
        <v>0</v>
      </c>
      <c r="AE13" s="99"/>
      <c r="AF13" s="97">
        <f t="shared" si="2"/>
        <v>0</v>
      </c>
      <c r="AG13" s="99"/>
      <c r="AH13" s="99">
        <f t="shared" ref="AH13:AH78" si="14">IF(AF13=0,0,AG13/AF13*100)</f>
        <v>0</v>
      </c>
      <c r="AI13" s="99"/>
      <c r="AJ13" s="97">
        <f t="shared" si="3"/>
        <v>0</v>
      </c>
      <c r="AK13" s="99"/>
      <c r="AL13" s="99">
        <f t="shared" ref="AL13:AL78" si="15">IF(AJ13=0,0,AK13/AJ13*100)</f>
        <v>0</v>
      </c>
      <c r="AM13" s="99"/>
      <c r="AN13" s="97">
        <f t="shared" si="3"/>
        <v>0</v>
      </c>
      <c r="AO13" s="99"/>
      <c r="AP13" s="99">
        <f t="shared" ref="AP13:AP78" si="16">IF(AN13=0,0,AO13/AN13*100)</f>
        <v>0</v>
      </c>
      <c r="AQ13" s="99"/>
      <c r="AR13" s="97">
        <f t="shared" si="3"/>
        <v>0</v>
      </c>
      <c r="AS13" s="99"/>
      <c r="AT13" s="99">
        <f t="shared" ref="AT13:AT78" si="17">IF(AR13=0,0,AS13/AR13*100)</f>
        <v>0</v>
      </c>
      <c r="AU13" s="99"/>
      <c r="AV13" s="97">
        <f t="shared" si="3"/>
        <v>0</v>
      </c>
      <c r="AW13" s="99"/>
      <c r="AX13" s="99">
        <f t="shared" ref="AX13:AX78" si="18">IF(AV13=0,0,AW13/AV13*100)</f>
        <v>0</v>
      </c>
      <c r="AY13" s="99"/>
      <c r="AZ13" s="97">
        <f t="shared" si="4"/>
        <v>0</v>
      </c>
      <c r="BA13" s="99"/>
      <c r="BB13" s="99">
        <f t="shared" ref="BB13:BB78" si="19">IF(AZ13=0,0,BA13/AZ13*100)</f>
        <v>0</v>
      </c>
      <c r="BC13" s="99"/>
      <c r="BD13" s="97">
        <f t="shared" si="4"/>
        <v>0</v>
      </c>
      <c r="BE13" s="99"/>
      <c r="BF13" s="99" t="e">
        <f t="shared" si="5"/>
        <v>#DIV/0!</v>
      </c>
      <c r="BG13" s="99"/>
      <c r="BH13" s="97">
        <f t="shared" si="4"/>
        <v>0</v>
      </c>
      <c r="BI13" s="99"/>
      <c r="BJ13" s="99">
        <f t="shared" ref="BJ13:BJ78" si="20">IF(BH13=0,0,BI13/BH13*100)</f>
        <v>0</v>
      </c>
      <c r="BK13" s="99"/>
      <c r="BL13" s="97">
        <f t="shared" si="4"/>
        <v>0</v>
      </c>
      <c r="BM13" s="99"/>
      <c r="BN13" s="99">
        <f t="shared" ref="BN13:BN78" si="21">IF(BL13=0,0,BM13/BL13*100)</f>
        <v>0</v>
      </c>
      <c r="BO13" s="235">
        <f t="shared" ref="BO13:BO78" si="22">SUM(BK13,BG13,BC13,AY13,AU13,AQ13,AM13,AI13,AE13,AA13,W13,S13,O13,K13,G13,C13)</f>
        <v>0</v>
      </c>
      <c r="BP13" s="235">
        <f t="shared" ref="BP13:BP78" si="23">SUM(BL13,BH13,BD13,AZ13,AV13,AR13,AN13,AJ13,AF13,AB13,X13,T13,P13,L13,H13,D13)</f>
        <v>0</v>
      </c>
      <c r="BQ13" s="235">
        <f t="shared" ref="BQ13:BQ78" si="24">SUM(BM13,BI13,BE13,BA13,AW13,AS13,AO13,AK13,AG13,AC13,Y13,U13,Q13,M13,I13,E13)</f>
        <v>0</v>
      </c>
      <c r="BR13" s="235">
        <f t="shared" ref="BR13:BR78" si="25">IF(BP13=0,0,BQ13/BP13*100)</f>
        <v>0</v>
      </c>
    </row>
    <row r="14" spans="1:70" s="22" customFormat="1" ht="15.75" x14ac:dyDescent="0.2">
      <c r="A14" s="154" t="s">
        <v>127</v>
      </c>
      <c r="B14" s="197" t="s">
        <v>3</v>
      </c>
      <c r="C14" s="99">
        <v>12000</v>
      </c>
      <c r="D14" s="97">
        <f t="shared" si="6"/>
        <v>12000</v>
      </c>
      <c r="E14" s="99">
        <v>11940</v>
      </c>
      <c r="F14" s="99">
        <f t="shared" si="7"/>
        <v>99.5</v>
      </c>
      <c r="G14" s="99"/>
      <c r="H14" s="97">
        <f t="shared" si="6"/>
        <v>0</v>
      </c>
      <c r="I14" s="99"/>
      <c r="J14" s="99">
        <f t="shared" si="8"/>
        <v>0</v>
      </c>
      <c r="K14" s="99"/>
      <c r="L14" s="97">
        <f t="shared" si="6"/>
        <v>0</v>
      </c>
      <c r="M14" s="99"/>
      <c r="N14" s="99">
        <f t="shared" si="9"/>
        <v>0</v>
      </c>
      <c r="O14" s="99"/>
      <c r="P14" s="97">
        <f t="shared" si="6"/>
        <v>0</v>
      </c>
      <c r="Q14" s="99"/>
      <c r="R14" s="99">
        <f t="shared" si="10"/>
        <v>0</v>
      </c>
      <c r="S14" s="99"/>
      <c r="T14" s="97">
        <f t="shared" si="2"/>
        <v>0</v>
      </c>
      <c r="U14" s="99"/>
      <c r="V14" s="99">
        <f t="shared" si="11"/>
        <v>0</v>
      </c>
      <c r="W14" s="99"/>
      <c r="X14" s="97">
        <f t="shared" si="2"/>
        <v>0</v>
      </c>
      <c r="Y14" s="99"/>
      <c r="Z14" s="99">
        <f t="shared" si="12"/>
        <v>0</v>
      </c>
      <c r="AA14" s="99"/>
      <c r="AB14" s="97">
        <f t="shared" si="2"/>
        <v>0</v>
      </c>
      <c r="AC14" s="99"/>
      <c r="AD14" s="99">
        <f t="shared" si="13"/>
        <v>0</v>
      </c>
      <c r="AE14" s="99"/>
      <c r="AF14" s="97">
        <f t="shared" si="2"/>
        <v>0</v>
      </c>
      <c r="AG14" s="99"/>
      <c r="AH14" s="99">
        <f t="shared" si="14"/>
        <v>0</v>
      </c>
      <c r="AI14" s="99"/>
      <c r="AJ14" s="97">
        <f t="shared" si="3"/>
        <v>0</v>
      </c>
      <c r="AK14" s="99"/>
      <c r="AL14" s="99">
        <f t="shared" si="15"/>
        <v>0</v>
      </c>
      <c r="AM14" s="99"/>
      <c r="AN14" s="97">
        <f t="shared" si="3"/>
        <v>0</v>
      </c>
      <c r="AO14" s="99"/>
      <c r="AP14" s="99">
        <f t="shared" si="16"/>
        <v>0</v>
      </c>
      <c r="AQ14" s="99"/>
      <c r="AR14" s="97">
        <f t="shared" si="3"/>
        <v>0</v>
      </c>
      <c r="AS14" s="99"/>
      <c r="AT14" s="99">
        <f t="shared" si="17"/>
        <v>0</v>
      </c>
      <c r="AU14" s="99">
        <v>6300</v>
      </c>
      <c r="AV14" s="97">
        <f t="shared" si="3"/>
        <v>6300</v>
      </c>
      <c r="AW14" s="99">
        <v>6300</v>
      </c>
      <c r="AX14" s="99">
        <f t="shared" si="18"/>
        <v>100</v>
      </c>
      <c r="AY14" s="99"/>
      <c r="AZ14" s="97">
        <f t="shared" si="4"/>
        <v>0</v>
      </c>
      <c r="BA14" s="99"/>
      <c r="BB14" s="99">
        <f t="shared" si="19"/>
        <v>0</v>
      </c>
      <c r="BC14" s="99"/>
      <c r="BD14" s="97">
        <f t="shared" si="4"/>
        <v>0</v>
      </c>
      <c r="BE14" s="99"/>
      <c r="BF14" s="99" t="e">
        <f t="shared" si="5"/>
        <v>#DIV/0!</v>
      </c>
      <c r="BG14" s="99"/>
      <c r="BH14" s="97">
        <f t="shared" si="4"/>
        <v>0</v>
      </c>
      <c r="BI14" s="99"/>
      <c r="BJ14" s="99">
        <f t="shared" si="20"/>
        <v>0</v>
      </c>
      <c r="BK14" s="99"/>
      <c r="BL14" s="97">
        <f t="shared" si="4"/>
        <v>0</v>
      </c>
      <c r="BM14" s="99"/>
      <c r="BN14" s="99">
        <f t="shared" si="21"/>
        <v>0</v>
      </c>
      <c r="BO14" s="235">
        <f t="shared" si="22"/>
        <v>18300</v>
      </c>
      <c r="BP14" s="235">
        <f t="shared" si="23"/>
        <v>18300</v>
      </c>
      <c r="BQ14" s="235">
        <f t="shared" si="24"/>
        <v>18240</v>
      </c>
      <c r="BR14" s="235">
        <f t="shared" si="25"/>
        <v>99.672131147540995</v>
      </c>
    </row>
    <row r="15" spans="1:70" s="22" customFormat="1" ht="31.5" x14ac:dyDescent="0.2">
      <c r="A15" s="154" t="s">
        <v>128</v>
      </c>
      <c r="B15" s="197" t="s">
        <v>3</v>
      </c>
      <c r="C15" s="99">
        <v>762</v>
      </c>
      <c r="D15" s="97">
        <f t="shared" si="6"/>
        <v>762</v>
      </c>
      <c r="E15" s="99">
        <v>3809</v>
      </c>
      <c r="F15" s="99">
        <f t="shared" si="7"/>
        <v>499.8687664041995</v>
      </c>
      <c r="G15" s="99">
        <v>10182</v>
      </c>
      <c r="H15" s="97">
        <f t="shared" si="6"/>
        <v>10182</v>
      </c>
      <c r="I15" s="99">
        <v>9428</v>
      </c>
      <c r="J15" s="99">
        <f t="shared" si="8"/>
        <v>92.594775093301905</v>
      </c>
      <c r="K15" s="99">
        <v>3340</v>
      </c>
      <c r="L15" s="97">
        <f t="shared" si="6"/>
        <v>3340</v>
      </c>
      <c r="M15" s="99">
        <v>2039</v>
      </c>
      <c r="N15" s="99">
        <f t="shared" si="9"/>
        <v>61.047904191616766</v>
      </c>
      <c r="O15" s="99">
        <v>21600</v>
      </c>
      <c r="P15" s="97">
        <f t="shared" si="6"/>
        <v>21600</v>
      </c>
      <c r="Q15" s="99">
        <v>20099</v>
      </c>
      <c r="R15" s="99">
        <f t="shared" si="10"/>
        <v>93.050925925925938</v>
      </c>
      <c r="S15" s="99"/>
      <c r="T15" s="97">
        <f t="shared" si="2"/>
        <v>0</v>
      </c>
      <c r="U15" s="99"/>
      <c r="V15" s="99">
        <f t="shared" si="11"/>
        <v>0</v>
      </c>
      <c r="W15" s="99"/>
      <c r="X15" s="97">
        <f t="shared" si="2"/>
        <v>0</v>
      </c>
      <c r="Y15" s="99"/>
      <c r="Z15" s="99">
        <f t="shared" si="12"/>
        <v>0</v>
      </c>
      <c r="AA15" s="99"/>
      <c r="AB15" s="97">
        <f t="shared" si="2"/>
        <v>0</v>
      </c>
      <c r="AC15" s="99"/>
      <c r="AD15" s="99">
        <f t="shared" si="13"/>
        <v>0</v>
      </c>
      <c r="AE15" s="99"/>
      <c r="AF15" s="97">
        <f t="shared" si="2"/>
        <v>0</v>
      </c>
      <c r="AG15" s="99"/>
      <c r="AH15" s="99">
        <f t="shared" si="14"/>
        <v>0</v>
      </c>
      <c r="AI15" s="99"/>
      <c r="AJ15" s="97">
        <f t="shared" si="3"/>
        <v>0</v>
      </c>
      <c r="AK15" s="99"/>
      <c r="AL15" s="99">
        <f t="shared" si="15"/>
        <v>0</v>
      </c>
      <c r="AM15" s="99"/>
      <c r="AN15" s="97">
        <f t="shared" si="3"/>
        <v>0</v>
      </c>
      <c r="AO15" s="99"/>
      <c r="AP15" s="99">
        <f t="shared" si="16"/>
        <v>0</v>
      </c>
      <c r="AQ15" s="99"/>
      <c r="AR15" s="97">
        <f t="shared" si="3"/>
        <v>0</v>
      </c>
      <c r="AS15" s="99"/>
      <c r="AT15" s="99">
        <f t="shared" si="17"/>
        <v>0</v>
      </c>
      <c r="AU15" s="99">
        <v>7542</v>
      </c>
      <c r="AV15" s="97">
        <f t="shared" si="3"/>
        <v>7542</v>
      </c>
      <c r="AW15" s="99">
        <v>11793</v>
      </c>
      <c r="AX15" s="99">
        <f t="shared" si="18"/>
        <v>156.36435958631662</v>
      </c>
      <c r="AY15" s="99">
        <v>20000</v>
      </c>
      <c r="AZ15" s="97">
        <f t="shared" si="4"/>
        <v>20000</v>
      </c>
      <c r="BA15" s="99">
        <v>16466</v>
      </c>
      <c r="BB15" s="99">
        <f t="shared" si="19"/>
        <v>82.33</v>
      </c>
      <c r="BC15" s="99"/>
      <c r="BD15" s="97">
        <f t="shared" si="4"/>
        <v>0</v>
      </c>
      <c r="BE15" s="99"/>
      <c r="BF15" s="99" t="e">
        <f t="shared" si="5"/>
        <v>#DIV/0!</v>
      </c>
      <c r="BG15" s="99">
        <v>3000</v>
      </c>
      <c r="BH15" s="97">
        <f t="shared" si="4"/>
        <v>3000</v>
      </c>
      <c r="BI15" s="99">
        <v>678</v>
      </c>
      <c r="BJ15" s="99">
        <f t="shared" si="20"/>
        <v>22.6</v>
      </c>
      <c r="BK15" s="99">
        <v>1000</v>
      </c>
      <c r="BL15" s="97">
        <f t="shared" si="4"/>
        <v>1000</v>
      </c>
      <c r="BM15" s="99">
        <v>1575</v>
      </c>
      <c r="BN15" s="99">
        <f t="shared" si="21"/>
        <v>157.5</v>
      </c>
      <c r="BO15" s="235">
        <f t="shared" si="22"/>
        <v>67426</v>
      </c>
      <c r="BP15" s="235">
        <f t="shared" si="23"/>
        <v>67426</v>
      </c>
      <c r="BQ15" s="235">
        <f t="shared" si="24"/>
        <v>65887</v>
      </c>
      <c r="BR15" s="235">
        <f t="shared" si="25"/>
        <v>97.717497701183518</v>
      </c>
    </row>
    <row r="16" spans="1:70" ht="14.1" customHeight="1" x14ac:dyDescent="0.2">
      <c r="A16" s="154" t="s">
        <v>129</v>
      </c>
      <c r="B16" s="197" t="s">
        <v>3</v>
      </c>
      <c r="C16" s="99">
        <v>700</v>
      </c>
      <c r="D16" s="97">
        <f t="shared" si="6"/>
        <v>700</v>
      </c>
      <c r="E16" s="99">
        <v>144</v>
      </c>
      <c r="F16" s="99">
        <f t="shared" si="7"/>
        <v>20.571428571428569</v>
      </c>
      <c r="G16" s="99">
        <v>200</v>
      </c>
      <c r="H16" s="97">
        <f t="shared" si="6"/>
        <v>200</v>
      </c>
      <c r="I16" s="99">
        <v>121</v>
      </c>
      <c r="J16" s="99">
        <f t="shared" si="8"/>
        <v>60.5</v>
      </c>
      <c r="K16" s="99"/>
      <c r="L16" s="97">
        <f t="shared" si="6"/>
        <v>0</v>
      </c>
      <c r="M16" s="99"/>
      <c r="N16" s="99">
        <f t="shared" si="9"/>
        <v>0</v>
      </c>
      <c r="O16" s="99"/>
      <c r="P16" s="97">
        <f t="shared" si="6"/>
        <v>0</v>
      </c>
      <c r="Q16" s="99"/>
      <c r="R16" s="99">
        <f t="shared" si="10"/>
        <v>0</v>
      </c>
      <c r="S16" s="99"/>
      <c r="T16" s="97">
        <f t="shared" si="2"/>
        <v>0</v>
      </c>
      <c r="U16" s="99"/>
      <c r="V16" s="99">
        <f t="shared" si="11"/>
        <v>0</v>
      </c>
      <c r="W16" s="99"/>
      <c r="X16" s="97">
        <f t="shared" si="2"/>
        <v>0</v>
      </c>
      <c r="Y16" s="99"/>
      <c r="Z16" s="99">
        <f t="shared" si="12"/>
        <v>0</v>
      </c>
      <c r="AA16" s="99"/>
      <c r="AB16" s="97">
        <f t="shared" si="2"/>
        <v>0</v>
      </c>
      <c r="AC16" s="99"/>
      <c r="AD16" s="99">
        <f t="shared" si="13"/>
        <v>0</v>
      </c>
      <c r="AE16" s="99"/>
      <c r="AF16" s="97">
        <f t="shared" si="2"/>
        <v>0</v>
      </c>
      <c r="AG16" s="99"/>
      <c r="AH16" s="99">
        <f t="shared" si="14"/>
        <v>0</v>
      </c>
      <c r="AI16" s="99"/>
      <c r="AJ16" s="97">
        <f t="shared" si="3"/>
        <v>0</v>
      </c>
      <c r="AK16" s="99"/>
      <c r="AL16" s="99">
        <f t="shared" si="15"/>
        <v>0</v>
      </c>
      <c r="AM16" s="99"/>
      <c r="AN16" s="97">
        <f t="shared" si="3"/>
        <v>0</v>
      </c>
      <c r="AO16" s="99"/>
      <c r="AP16" s="99">
        <f t="shared" si="16"/>
        <v>0</v>
      </c>
      <c r="AQ16" s="99"/>
      <c r="AR16" s="97">
        <f t="shared" si="3"/>
        <v>0</v>
      </c>
      <c r="AS16" s="99"/>
      <c r="AT16" s="99">
        <f t="shared" si="17"/>
        <v>0</v>
      </c>
      <c r="AU16" s="99">
        <v>999</v>
      </c>
      <c r="AV16" s="97">
        <f t="shared" si="3"/>
        <v>999</v>
      </c>
      <c r="AW16" s="99">
        <v>997</v>
      </c>
      <c r="AX16" s="99">
        <f t="shared" si="18"/>
        <v>99.7997997997998</v>
      </c>
      <c r="AY16" s="99"/>
      <c r="AZ16" s="97">
        <f t="shared" si="4"/>
        <v>0</v>
      </c>
      <c r="BA16" s="99"/>
      <c r="BB16" s="99">
        <f t="shared" si="19"/>
        <v>0</v>
      </c>
      <c r="BC16" s="99"/>
      <c r="BD16" s="97">
        <f t="shared" si="4"/>
        <v>0</v>
      </c>
      <c r="BE16" s="99"/>
      <c r="BF16" s="99" t="e">
        <f t="shared" si="5"/>
        <v>#DIV/0!</v>
      </c>
      <c r="BG16" s="99"/>
      <c r="BH16" s="97">
        <f t="shared" si="4"/>
        <v>0</v>
      </c>
      <c r="BI16" s="99"/>
      <c r="BJ16" s="99">
        <f t="shared" si="20"/>
        <v>0</v>
      </c>
      <c r="BK16" s="99">
        <v>35</v>
      </c>
      <c r="BL16" s="97">
        <f t="shared" si="4"/>
        <v>35</v>
      </c>
      <c r="BM16" s="99">
        <v>120</v>
      </c>
      <c r="BN16" s="99">
        <f t="shared" si="21"/>
        <v>342.85714285714283</v>
      </c>
      <c r="BO16" s="235">
        <f t="shared" si="22"/>
        <v>1934</v>
      </c>
      <c r="BP16" s="235">
        <f t="shared" si="23"/>
        <v>1934</v>
      </c>
      <c r="BQ16" s="235">
        <f t="shared" si="24"/>
        <v>1382</v>
      </c>
      <c r="BR16" s="235">
        <f t="shared" si="25"/>
        <v>71.458117890382624</v>
      </c>
    </row>
    <row r="17" spans="1:70" s="17" customFormat="1" ht="15.75" x14ac:dyDescent="0.2">
      <c r="A17" s="154" t="s">
        <v>130</v>
      </c>
      <c r="B17" s="197" t="s">
        <v>3</v>
      </c>
      <c r="C17" s="99">
        <v>31775</v>
      </c>
      <c r="D17" s="97">
        <f t="shared" si="6"/>
        <v>31775</v>
      </c>
      <c r="E17" s="99">
        <v>133643</v>
      </c>
      <c r="F17" s="99">
        <f t="shared" si="7"/>
        <v>420.59166011014952</v>
      </c>
      <c r="G17" s="99">
        <v>16250</v>
      </c>
      <c r="H17" s="97">
        <f t="shared" si="6"/>
        <v>16250</v>
      </c>
      <c r="I17" s="99">
        <v>19031</v>
      </c>
      <c r="J17" s="99">
        <f t="shared" si="8"/>
        <v>117.11384615384614</v>
      </c>
      <c r="K17" s="99">
        <v>11769</v>
      </c>
      <c r="L17" s="97">
        <f t="shared" si="6"/>
        <v>11769</v>
      </c>
      <c r="M17" s="99">
        <v>34713</v>
      </c>
      <c r="N17" s="99">
        <f t="shared" si="9"/>
        <v>294.95284221259237</v>
      </c>
      <c r="O17" s="99">
        <v>22439</v>
      </c>
      <c r="P17" s="97">
        <f t="shared" si="6"/>
        <v>22439</v>
      </c>
      <c r="Q17" s="99">
        <v>21324</v>
      </c>
      <c r="R17" s="99">
        <f t="shared" si="10"/>
        <v>95.030972859753106</v>
      </c>
      <c r="S17" s="99"/>
      <c r="T17" s="97">
        <f t="shared" si="2"/>
        <v>0</v>
      </c>
      <c r="U17" s="99"/>
      <c r="V17" s="99">
        <f t="shared" si="11"/>
        <v>0</v>
      </c>
      <c r="W17" s="99"/>
      <c r="X17" s="97">
        <f t="shared" si="2"/>
        <v>0</v>
      </c>
      <c r="Y17" s="99"/>
      <c r="Z17" s="99">
        <f t="shared" si="12"/>
        <v>0</v>
      </c>
      <c r="AA17" s="99"/>
      <c r="AB17" s="97">
        <f t="shared" si="2"/>
        <v>0</v>
      </c>
      <c r="AC17" s="99"/>
      <c r="AD17" s="99">
        <f t="shared" si="13"/>
        <v>0</v>
      </c>
      <c r="AE17" s="99"/>
      <c r="AF17" s="97">
        <f t="shared" si="2"/>
        <v>0</v>
      </c>
      <c r="AG17" s="99"/>
      <c r="AH17" s="99">
        <f t="shared" si="14"/>
        <v>0</v>
      </c>
      <c r="AI17" s="99"/>
      <c r="AJ17" s="97">
        <f t="shared" si="3"/>
        <v>0</v>
      </c>
      <c r="AK17" s="99"/>
      <c r="AL17" s="99">
        <f t="shared" si="15"/>
        <v>0</v>
      </c>
      <c r="AM17" s="99"/>
      <c r="AN17" s="97">
        <f t="shared" si="3"/>
        <v>0</v>
      </c>
      <c r="AO17" s="99"/>
      <c r="AP17" s="99">
        <f t="shared" si="16"/>
        <v>0</v>
      </c>
      <c r="AQ17" s="99"/>
      <c r="AR17" s="97">
        <f t="shared" si="3"/>
        <v>0</v>
      </c>
      <c r="AS17" s="99"/>
      <c r="AT17" s="99">
        <f t="shared" si="17"/>
        <v>0</v>
      </c>
      <c r="AU17" s="99">
        <v>64698</v>
      </c>
      <c r="AV17" s="97">
        <f t="shared" si="3"/>
        <v>64698</v>
      </c>
      <c r="AW17" s="99">
        <v>122044</v>
      </c>
      <c r="AX17" s="99">
        <f t="shared" si="18"/>
        <v>188.63643389285605</v>
      </c>
      <c r="AY17" s="99">
        <v>5912</v>
      </c>
      <c r="AZ17" s="97">
        <f t="shared" si="4"/>
        <v>5912</v>
      </c>
      <c r="BA17" s="99">
        <v>9137</v>
      </c>
      <c r="BB17" s="99">
        <f t="shared" si="19"/>
        <v>154.55006765899867</v>
      </c>
      <c r="BC17" s="99"/>
      <c r="BD17" s="97">
        <f t="shared" si="4"/>
        <v>0</v>
      </c>
      <c r="BE17" s="99"/>
      <c r="BF17" s="99" t="e">
        <f t="shared" si="5"/>
        <v>#DIV/0!</v>
      </c>
      <c r="BG17" s="99">
        <v>4750</v>
      </c>
      <c r="BH17" s="97">
        <f t="shared" si="4"/>
        <v>4750</v>
      </c>
      <c r="BI17" s="99">
        <v>11901</v>
      </c>
      <c r="BJ17" s="99">
        <f t="shared" si="20"/>
        <v>250.54736842105262</v>
      </c>
      <c r="BK17" s="99">
        <v>5697</v>
      </c>
      <c r="BL17" s="97">
        <f t="shared" si="4"/>
        <v>5697</v>
      </c>
      <c r="BM17" s="99">
        <v>55484</v>
      </c>
      <c r="BN17" s="99">
        <f t="shared" si="21"/>
        <v>973.91609619097767</v>
      </c>
      <c r="BO17" s="235">
        <f t="shared" si="22"/>
        <v>163290</v>
      </c>
      <c r="BP17" s="235">
        <f t="shared" si="23"/>
        <v>163290</v>
      </c>
      <c r="BQ17" s="235">
        <f t="shared" si="24"/>
        <v>407277</v>
      </c>
      <c r="BR17" s="235">
        <f t="shared" si="25"/>
        <v>249.41943781003121</v>
      </c>
    </row>
    <row r="18" spans="1:70" s="22" customFormat="1" ht="15.75" x14ac:dyDescent="0.2">
      <c r="A18" s="194" t="s">
        <v>131</v>
      </c>
      <c r="B18" s="197"/>
      <c r="C18" s="99">
        <v>74695</v>
      </c>
      <c r="D18" s="195">
        <f t="shared" si="6"/>
        <v>74695</v>
      </c>
      <c r="E18" s="99">
        <f>64885+E20/4/3.2</f>
        <v>65241.42578125</v>
      </c>
      <c r="F18" s="99">
        <f t="shared" si="7"/>
        <v>87.343765688801128</v>
      </c>
      <c r="G18" s="99">
        <v>50778</v>
      </c>
      <c r="H18" s="195">
        <f t="shared" si="6"/>
        <v>50778</v>
      </c>
      <c r="I18" s="99">
        <f>47406+I20/4/3.2</f>
        <v>52905.86328125</v>
      </c>
      <c r="J18" s="99">
        <f t="shared" si="8"/>
        <v>104.19052203956439</v>
      </c>
      <c r="K18" s="99">
        <v>28488</v>
      </c>
      <c r="L18" s="195">
        <f t="shared" si="6"/>
        <v>28488</v>
      </c>
      <c r="M18" s="99">
        <v>17503</v>
      </c>
      <c r="N18" s="99">
        <f t="shared" si="9"/>
        <v>61.439904521201903</v>
      </c>
      <c r="O18" s="99">
        <v>99948</v>
      </c>
      <c r="P18" s="195">
        <f t="shared" si="6"/>
        <v>99948</v>
      </c>
      <c r="Q18" s="99">
        <f>103967+Q20/4/3.2</f>
        <v>103978.26953125</v>
      </c>
      <c r="R18" s="99">
        <f t="shared" si="10"/>
        <v>104.03236636175812</v>
      </c>
      <c r="S18" s="99"/>
      <c r="T18" s="195">
        <f t="shared" si="2"/>
        <v>0</v>
      </c>
      <c r="U18" s="99"/>
      <c r="V18" s="99">
        <f t="shared" si="11"/>
        <v>0</v>
      </c>
      <c r="W18" s="99"/>
      <c r="X18" s="195">
        <f t="shared" si="2"/>
        <v>0</v>
      </c>
      <c r="Y18" s="99"/>
      <c r="Z18" s="99">
        <f t="shared" si="12"/>
        <v>0</v>
      </c>
      <c r="AA18" s="99"/>
      <c r="AB18" s="195">
        <f t="shared" si="2"/>
        <v>0</v>
      </c>
      <c r="AC18" s="99"/>
      <c r="AD18" s="99">
        <f t="shared" si="13"/>
        <v>0</v>
      </c>
      <c r="AE18" s="99"/>
      <c r="AF18" s="195">
        <f t="shared" si="2"/>
        <v>0</v>
      </c>
      <c r="AG18" s="99"/>
      <c r="AH18" s="99">
        <f t="shared" si="14"/>
        <v>0</v>
      </c>
      <c r="AI18" s="99"/>
      <c r="AJ18" s="195">
        <f t="shared" si="3"/>
        <v>0</v>
      </c>
      <c r="AK18" s="99"/>
      <c r="AL18" s="99">
        <f t="shared" si="15"/>
        <v>0</v>
      </c>
      <c r="AM18" s="99"/>
      <c r="AN18" s="195">
        <f t="shared" si="3"/>
        <v>0</v>
      </c>
      <c r="AO18" s="99"/>
      <c r="AP18" s="99">
        <f t="shared" si="16"/>
        <v>0</v>
      </c>
      <c r="AQ18" s="99"/>
      <c r="AR18" s="195">
        <f t="shared" si="3"/>
        <v>0</v>
      </c>
      <c r="AS18" s="99"/>
      <c r="AT18" s="99">
        <f t="shared" si="17"/>
        <v>0</v>
      </c>
      <c r="AU18" s="99">
        <v>85086</v>
      </c>
      <c r="AV18" s="195">
        <f t="shared" si="3"/>
        <v>85086</v>
      </c>
      <c r="AW18" s="99">
        <v>65254</v>
      </c>
      <c r="AX18" s="99">
        <f t="shared" si="18"/>
        <v>76.691817690336833</v>
      </c>
      <c r="AY18" s="99">
        <v>22878</v>
      </c>
      <c r="AZ18" s="195">
        <f t="shared" si="4"/>
        <v>22878</v>
      </c>
      <c r="BA18" s="99">
        <v>24867</v>
      </c>
      <c r="BB18" s="99">
        <f t="shared" si="19"/>
        <v>108.69394177812745</v>
      </c>
      <c r="BC18" s="99"/>
      <c r="BD18" s="195">
        <f t="shared" si="4"/>
        <v>0</v>
      </c>
      <c r="BE18" s="99"/>
      <c r="BF18" s="99" t="e">
        <f t="shared" si="5"/>
        <v>#DIV/0!</v>
      </c>
      <c r="BG18" s="99">
        <v>11525</v>
      </c>
      <c r="BH18" s="195">
        <f t="shared" si="4"/>
        <v>11525</v>
      </c>
      <c r="BI18" s="99">
        <f>9272+BI20/4/3.2</f>
        <v>10475.3203125</v>
      </c>
      <c r="BJ18" s="99">
        <f t="shared" si="20"/>
        <v>90.892150216919745</v>
      </c>
      <c r="BK18" s="99">
        <v>38257</v>
      </c>
      <c r="BL18" s="195">
        <f t="shared" si="4"/>
        <v>38257</v>
      </c>
      <c r="BM18" s="99">
        <f>18941+BM20/4/3.2</f>
        <v>20086.2734375</v>
      </c>
      <c r="BN18" s="99">
        <f t="shared" si="21"/>
        <v>52.503524681757582</v>
      </c>
      <c r="BO18" s="235">
        <f t="shared" si="22"/>
        <v>411655</v>
      </c>
      <c r="BP18" s="235">
        <f t="shared" si="23"/>
        <v>411655</v>
      </c>
      <c r="BQ18" s="235">
        <f t="shared" si="24"/>
        <v>360311.15234375</v>
      </c>
      <c r="BR18" s="235">
        <f t="shared" si="25"/>
        <v>87.527456813047337</v>
      </c>
    </row>
    <row r="19" spans="1:70" s="22" customFormat="1" ht="15" customHeight="1" x14ac:dyDescent="0.2">
      <c r="A19" s="194" t="s">
        <v>132</v>
      </c>
      <c r="B19" s="197"/>
      <c r="C19" s="99"/>
      <c r="D19" s="195">
        <f t="shared" si="6"/>
        <v>0</v>
      </c>
      <c r="E19" s="99"/>
      <c r="F19" s="99">
        <f t="shared" si="7"/>
        <v>0</v>
      </c>
      <c r="G19" s="99"/>
      <c r="H19" s="195">
        <f t="shared" si="6"/>
        <v>0</v>
      </c>
      <c r="I19" s="99"/>
      <c r="J19" s="99">
        <f t="shared" si="8"/>
        <v>0</v>
      </c>
      <c r="K19" s="99"/>
      <c r="L19" s="195">
        <f t="shared" si="6"/>
        <v>0</v>
      </c>
      <c r="M19" s="99"/>
      <c r="N19" s="99">
        <f t="shared" si="9"/>
        <v>0</v>
      </c>
      <c r="O19" s="99"/>
      <c r="P19" s="195">
        <f t="shared" si="6"/>
        <v>0</v>
      </c>
      <c r="Q19" s="99"/>
      <c r="R19" s="99">
        <f t="shared" si="10"/>
        <v>0</v>
      </c>
      <c r="S19" s="99"/>
      <c r="T19" s="195">
        <f t="shared" si="2"/>
        <v>0</v>
      </c>
      <c r="U19" s="99"/>
      <c r="V19" s="99">
        <f t="shared" si="11"/>
        <v>0</v>
      </c>
      <c r="W19" s="99"/>
      <c r="X19" s="195">
        <f t="shared" si="2"/>
        <v>0</v>
      </c>
      <c r="Y19" s="99"/>
      <c r="Z19" s="99">
        <f t="shared" si="12"/>
        <v>0</v>
      </c>
      <c r="AA19" s="99"/>
      <c r="AB19" s="195">
        <f t="shared" si="2"/>
        <v>0</v>
      </c>
      <c r="AC19" s="99"/>
      <c r="AD19" s="99">
        <f t="shared" si="13"/>
        <v>0</v>
      </c>
      <c r="AE19" s="99"/>
      <c r="AF19" s="195">
        <f t="shared" si="2"/>
        <v>0</v>
      </c>
      <c r="AG19" s="99"/>
      <c r="AH19" s="99">
        <f t="shared" si="14"/>
        <v>0</v>
      </c>
      <c r="AI19" s="99"/>
      <c r="AJ19" s="195">
        <f t="shared" si="3"/>
        <v>0</v>
      </c>
      <c r="AK19" s="99"/>
      <c r="AL19" s="99">
        <f t="shared" si="15"/>
        <v>0</v>
      </c>
      <c r="AM19" s="99"/>
      <c r="AN19" s="195">
        <f t="shared" si="3"/>
        <v>0</v>
      </c>
      <c r="AO19" s="99"/>
      <c r="AP19" s="99">
        <f t="shared" si="16"/>
        <v>0</v>
      </c>
      <c r="AQ19" s="99"/>
      <c r="AR19" s="195">
        <f t="shared" si="3"/>
        <v>0</v>
      </c>
      <c r="AS19" s="99"/>
      <c r="AT19" s="99">
        <f t="shared" si="17"/>
        <v>0</v>
      </c>
      <c r="AU19" s="99"/>
      <c r="AV19" s="195">
        <f t="shared" si="3"/>
        <v>0</v>
      </c>
      <c r="AW19" s="99"/>
      <c r="AX19" s="99">
        <f t="shared" si="18"/>
        <v>0</v>
      </c>
      <c r="AY19" s="99"/>
      <c r="AZ19" s="195">
        <f t="shared" si="4"/>
        <v>0</v>
      </c>
      <c r="BA19" s="99"/>
      <c r="BB19" s="99">
        <f t="shared" si="19"/>
        <v>0</v>
      </c>
      <c r="BC19" s="99"/>
      <c r="BD19" s="195">
        <f t="shared" si="4"/>
        <v>0</v>
      </c>
      <c r="BE19" s="99"/>
      <c r="BF19" s="99" t="e">
        <f t="shared" si="5"/>
        <v>#DIV/0!</v>
      </c>
      <c r="BG19" s="99"/>
      <c r="BH19" s="195">
        <f t="shared" si="4"/>
        <v>0</v>
      </c>
      <c r="BI19" s="99"/>
      <c r="BJ19" s="99">
        <f t="shared" si="20"/>
        <v>0</v>
      </c>
      <c r="BK19" s="99"/>
      <c r="BL19" s="195">
        <f t="shared" si="4"/>
        <v>0</v>
      </c>
      <c r="BM19" s="99"/>
      <c r="BN19" s="99">
        <f t="shared" si="21"/>
        <v>0</v>
      </c>
      <c r="BO19" s="235">
        <f t="shared" si="22"/>
        <v>0</v>
      </c>
      <c r="BP19" s="235">
        <f t="shared" si="23"/>
        <v>0</v>
      </c>
      <c r="BQ19" s="235">
        <f t="shared" si="24"/>
        <v>0</v>
      </c>
      <c r="BR19" s="235">
        <f t="shared" si="25"/>
        <v>0</v>
      </c>
    </row>
    <row r="20" spans="1:70" s="223" customFormat="1" ht="15.75" x14ac:dyDescent="0.2">
      <c r="A20" s="254" t="s">
        <v>133</v>
      </c>
      <c r="B20" s="286"/>
      <c r="C20" s="258">
        <v>5124</v>
      </c>
      <c r="D20" s="228">
        <f t="shared" si="6"/>
        <v>5124</v>
      </c>
      <c r="E20" s="258">
        <v>4562.25</v>
      </c>
      <c r="F20" s="258">
        <f t="shared" si="7"/>
        <v>89.036885245901644</v>
      </c>
      <c r="G20" s="258">
        <v>70200</v>
      </c>
      <c r="H20" s="228">
        <f t="shared" si="6"/>
        <v>70200</v>
      </c>
      <c r="I20" s="258">
        <v>70398.25</v>
      </c>
      <c r="J20" s="258">
        <f t="shared" si="8"/>
        <v>100.28240740740742</v>
      </c>
      <c r="K20" s="258"/>
      <c r="L20" s="228">
        <f t="shared" si="6"/>
        <v>0</v>
      </c>
      <c r="M20" s="258"/>
      <c r="N20" s="258">
        <f t="shared" si="9"/>
        <v>0</v>
      </c>
      <c r="O20" s="258">
        <v>6000</v>
      </c>
      <c r="P20" s="228">
        <f t="shared" si="6"/>
        <v>6000</v>
      </c>
      <c r="Q20" s="258">
        <v>144.25</v>
      </c>
      <c r="R20" s="258">
        <f t="shared" si="10"/>
        <v>2.4041666666666668</v>
      </c>
      <c r="S20" s="258"/>
      <c r="T20" s="228">
        <f t="shared" si="2"/>
        <v>0</v>
      </c>
      <c r="U20" s="258"/>
      <c r="V20" s="258">
        <f t="shared" si="11"/>
        <v>0</v>
      </c>
      <c r="W20" s="258"/>
      <c r="X20" s="228">
        <f t="shared" si="2"/>
        <v>0</v>
      </c>
      <c r="Y20" s="258"/>
      <c r="Z20" s="258">
        <f t="shared" si="12"/>
        <v>0</v>
      </c>
      <c r="AA20" s="258"/>
      <c r="AB20" s="228">
        <f t="shared" si="2"/>
        <v>0</v>
      </c>
      <c r="AC20" s="258"/>
      <c r="AD20" s="258">
        <f t="shared" si="13"/>
        <v>0</v>
      </c>
      <c r="AE20" s="258"/>
      <c r="AF20" s="228">
        <f t="shared" si="2"/>
        <v>0</v>
      </c>
      <c r="AG20" s="258"/>
      <c r="AH20" s="258">
        <f t="shared" si="14"/>
        <v>0</v>
      </c>
      <c r="AI20" s="258"/>
      <c r="AJ20" s="228">
        <f t="shared" si="3"/>
        <v>0</v>
      </c>
      <c r="AK20" s="258"/>
      <c r="AL20" s="258">
        <f t="shared" si="15"/>
        <v>0</v>
      </c>
      <c r="AM20" s="258"/>
      <c r="AN20" s="228">
        <f t="shared" si="3"/>
        <v>0</v>
      </c>
      <c r="AO20" s="258"/>
      <c r="AP20" s="258">
        <f t="shared" si="16"/>
        <v>0</v>
      </c>
      <c r="AQ20" s="258"/>
      <c r="AR20" s="228">
        <f t="shared" si="3"/>
        <v>0</v>
      </c>
      <c r="AS20" s="258"/>
      <c r="AT20" s="258">
        <f t="shared" si="17"/>
        <v>0</v>
      </c>
      <c r="AU20" s="258"/>
      <c r="AV20" s="228">
        <f t="shared" si="3"/>
        <v>0</v>
      </c>
      <c r="AW20" s="258"/>
      <c r="AX20" s="258">
        <f t="shared" si="18"/>
        <v>0</v>
      </c>
      <c r="AY20" s="258"/>
      <c r="AZ20" s="228">
        <f t="shared" si="4"/>
        <v>0</v>
      </c>
      <c r="BA20" s="258"/>
      <c r="BB20" s="258">
        <f t="shared" si="19"/>
        <v>0</v>
      </c>
      <c r="BC20" s="258"/>
      <c r="BD20" s="228">
        <f t="shared" si="4"/>
        <v>0</v>
      </c>
      <c r="BE20" s="258"/>
      <c r="BF20" s="258" t="e">
        <f t="shared" si="5"/>
        <v>#DIV/0!</v>
      </c>
      <c r="BG20" s="258">
        <v>20432</v>
      </c>
      <c r="BH20" s="228">
        <f t="shared" si="4"/>
        <v>20432</v>
      </c>
      <c r="BI20" s="258">
        <v>15402.5</v>
      </c>
      <c r="BJ20" s="258">
        <f t="shared" si="20"/>
        <v>75.384201252936563</v>
      </c>
      <c r="BK20" s="258">
        <v>17280</v>
      </c>
      <c r="BL20" s="228">
        <f t="shared" si="4"/>
        <v>17280</v>
      </c>
      <c r="BM20" s="258">
        <v>14659.5</v>
      </c>
      <c r="BN20" s="258">
        <f t="shared" si="21"/>
        <v>84.835069444444443</v>
      </c>
      <c r="BO20" s="287">
        <f t="shared" si="22"/>
        <v>119036</v>
      </c>
      <c r="BP20" s="287">
        <f t="shared" si="23"/>
        <v>119036</v>
      </c>
      <c r="BQ20" s="287">
        <f t="shared" si="24"/>
        <v>105166.75</v>
      </c>
      <c r="BR20" s="287">
        <f t="shared" si="25"/>
        <v>88.34869283242044</v>
      </c>
    </row>
    <row r="21" spans="1:70" ht="31.5" x14ac:dyDescent="0.2">
      <c r="A21" s="194" t="s">
        <v>134</v>
      </c>
      <c r="B21" s="197" t="s">
        <v>3</v>
      </c>
      <c r="C21" s="99">
        <v>22772</v>
      </c>
      <c r="D21" s="195">
        <f t="shared" si="6"/>
        <v>22772</v>
      </c>
      <c r="E21" s="99">
        <v>14929</v>
      </c>
      <c r="F21" s="99">
        <f t="shared" si="7"/>
        <v>65.558580713156516</v>
      </c>
      <c r="G21" s="99">
        <v>13479</v>
      </c>
      <c r="H21" s="195">
        <f t="shared" si="6"/>
        <v>13479</v>
      </c>
      <c r="I21" s="99">
        <v>10225</v>
      </c>
      <c r="J21" s="99">
        <f t="shared" si="8"/>
        <v>75.858743230209953</v>
      </c>
      <c r="K21" s="99">
        <v>8000</v>
      </c>
      <c r="L21" s="195">
        <f t="shared" si="6"/>
        <v>8000</v>
      </c>
      <c r="M21" s="99">
        <v>8198</v>
      </c>
      <c r="N21" s="99">
        <f t="shared" si="9"/>
        <v>102.47500000000001</v>
      </c>
      <c r="O21" s="99">
        <v>29500</v>
      </c>
      <c r="P21" s="195">
        <f t="shared" si="6"/>
        <v>29500</v>
      </c>
      <c r="Q21" s="99">
        <v>27323</v>
      </c>
      <c r="R21" s="99">
        <f t="shared" si="10"/>
        <v>92.620338983050843</v>
      </c>
      <c r="S21" s="99"/>
      <c r="T21" s="195">
        <f t="shared" si="2"/>
        <v>0</v>
      </c>
      <c r="U21" s="99"/>
      <c r="V21" s="99">
        <f t="shared" si="11"/>
        <v>0</v>
      </c>
      <c r="W21" s="99"/>
      <c r="X21" s="195">
        <f t="shared" si="2"/>
        <v>0</v>
      </c>
      <c r="Y21" s="99"/>
      <c r="Z21" s="99">
        <f t="shared" si="12"/>
        <v>0</v>
      </c>
      <c r="AA21" s="99"/>
      <c r="AB21" s="195">
        <f t="shared" si="2"/>
        <v>0</v>
      </c>
      <c r="AC21" s="99"/>
      <c r="AD21" s="99">
        <f t="shared" si="13"/>
        <v>0</v>
      </c>
      <c r="AE21" s="99"/>
      <c r="AF21" s="195">
        <f t="shared" si="2"/>
        <v>0</v>
      </c>
      <c r="AG21" s="99"/>
      <c r="AH21" s="99">
        <f t="shared" si="14"/>
        <v>0</v>
      </c>
      <c r="AI21" s="99"/>
      <c r="AJ21" s="195">
        <f t="shared" si="3"/>
        <v>0</v>
      </c>
      <c r="AK21" s="99"/>
      <c r="AL21" s="99">
        <f t="shared" si="15"/>
        <v>0</v>
      </c>
      <c r="AM21" s="99"/>
      <c r="AN21" s="195">
        <f t="shared" si="3"/>
        <v>0</v>
      </c>
      <c r="AO21" s="99"/>
      <c r="AP21" s="99">
        <f t="shared" si="16"/>
        <v>0</v>
      </c>
      <c r="AQ21" s="99"/>
      <c r="AR21" s="195">
        <f t="shared" si="3"/>
        <v>0</v>
      </c>
      <c r="AS21" s="99"/>
      <c r="AT21" s="99">
        <f t="shared" si="17"/>
        <v>0</v>
      </c>
      <c r="AU21" s="99">
        <v>27720</v>
      </c>
      <c r="AV21" s="195">
        <f t="shared" si="3"/>
        <v>27720</v>
      </c>
      <c r="AW21" s="99">
        <v>17853</v>
      </c>
      <c r="AX21" s="99">
        <f t="shared" si="18"/>
        <v>64.404761904761912</v>
      </c>
      <c r="AY21" s="99">
        <v>6578</v>
      </c>
      <c r="AZ21" s="195">
        <f t="shared" si="4"/>
        <v>6578</v>
      </c>
      <c r="BA21" s="99">
        <v>4051</v>
      </c>
      <c r="BB21" s="99">
        <f t="shared" si="19"/>
        <v>61.584068105807233</v>
      </c>
      <c r="BC21" s="99"/>
      <c r="BD21" s="195">
        <f t="shared" si="4"/>
        <v>0</v>
      </c>
      <c r="BE21" s="99"/>
      <c r="BF21" s="99" t="e">
        <f t="shared" si="5"/>
        <v>#DIV/0!</v>
      </c>
      <c r="BG21" s="99">
        <v>3332</v>
      </c>
      <c r="BH21" s="195">
        <f t="shared" si="4"/>
        <v>3332</v>
      </c>
      <c r="BI21" s="99">
        <v>326</v>
      </c>
      <c r="BJ21" s="99">
        <f t="shared" si="20"/>
        <v>9.78391356542617</v>
      </c>
      <c r="BK21" s="99">
        <v>8539</v>
      </c>
      <c r="BL21" s="195">
        <f t="shared" si="4"/>
        <v>8539</v>
      </c>
      <c r="BM21" s="99">
        <v>1282</v>
      </c>
      <c r="BN21" s="99">
        <f t="shared" si="21"/>
        <v>15.013467619159151</v>
      </c>
      <c r="BO21" s="235">
        <f t="shared" si="22"/>
        <v>119920</v>
      </c>
      <c r="BP21" s="235">
        <f t="shared" si="23"/>
        <v>119920</v>
      </c>
      <c r="BQ21" s="235">
        <f t="shared" si="24"/>
        <v>84187</v>
      </c>
      <c r="BR21" s="235">
        <f t="shared" si="25"/>
        <v>70.202635090060042</v>
      </c>
    </row>
    <row r="22" spans="1:70" s="17" customFormat="1" ht="15.75" x14ac:dyDescent="0.2">
      <c r="A22" s="154" t="s">
        <v>135</v>
      </c>
      <c r="B22" s="197"/>
      <c r="C22" s="99"/>
      <c r="D22" s="97">
        <f t="shared" si="6"/>
        <v>0</v>
      </c>
      <c r="E22" s="99"/>
      <c r="F22" s="99">
        <f t="shared" si="7"/>
        <v>0</v>
      </c>
      <c r="G22" s="99"/>
      <c r="H22" s="97">
        <f t="shared" si="6"/>
        <v>0</v>
      </c>
      <c r="I22" s="99"/>
      <c r="J22" s="99">
        <f t="shared" si="8"/>
        <v>0</v>
      </c>
      <c r="K22" s="99"/>
      <c r="L22" s="97">
        <f t="shared" si="6"/>
        <v>0</v>
      </c>
      <c r="M22" s="99"/>
      <c r="N22" s="99">
        <f t="shared" si="9"/>
        <v>0</v>
      </c>
      <c r="O22" s="99">
        <v>15500</v>
      </c>
      <c r="P22" s="97">
        <f t="shared" si="6"/>
        <v>15500</v>
      </c>
      <c r="Q22" s="99">
        <v>13957</v>
      </c>
      <c r="R22" s="99">
        <f t="shared" si="10"/>
        <v>90.045161290322582</v>
      </c>
      <c r="S22" s="99"/>
      <c r="T22" s="97">
        <f t="shared" si="2"/>
        <v>0</v>
      </c>
      <c r="U22" s="99"/>
      <c r="V22" s="99">
        <f t="shared" si="11"/>
        <v>0</v>
      </c>
      <c r="W22" s="99"/>
      <c r="X22" s="97">
        <f t="shared" si="2"/>
        <v>0</v>
      </c>
      <c r="Y22" s="99"/>
      <c r="Z22" s="99">
        <f t="shared" si="12"/>
        <v>0</v>
      </c>
      <c r="AA22" s="99"/>
      <c r="AB22" s="97">
        <f t="shared" si="2"/>
        <v>0</v>
      </c>
      <c r="AC22" s="99"/>
      <c r="AD22" s="99">
        <f t="shared" si="13"/>
        <v>0</v>
      </c>
      <c r="AE22" s="99"/>
      <c r="AF22" s="97">
        <f t="shared" si="2"/>
        <v>0</v>
      </c>
      <c r="AG22" s="99"/>
      <c r="AH22" s="99">
        <f t="shared" si="14"/>
        <v>0</v>
      </c>
      <c r="AI22" s="99"/>
      <c r="AJ22" s="97">
        <f t="shared" si="3"/>
        <v>0</v>
      </c>
      <c r="AK22" s="99"/>
      <c r="AL22" s="99">
        <f t="shared" si="15"/>
        <v>0</v>
      </c>
      <c r="AM22" s="99"/>
      <c r="AN22" s="97">
        <f t="shared" si="3"/>
        <v>0</v>
      </c>
      <c r="AO22" s="99"/>
      <c r="AP22" s="99">
        <f t="shared" si="16"/>
        <v>0</v>
      </c>
      <c r="AQ22" s="99"/>
      <c r="AR22" s="97">
        <f t="shared" si="3"/>
        <v>0</v>
      </c>
      <c r="AS22" s="99"/>
      <c r="AT22" s="99">
        <f t="shared" si="17"/>
        <v>0</v>
      </c>
      <c r="AU22" s="99">
        <v>5100</v>
      </c>
      <c r="AV22" s="97">
        <f t="shared" si="3"/>
        <v>5100</v>
      </c>
      <c r="AW22" s="99">
        <v>9732</v>
      </c>
      <c r="AX22" s="99">
        <f t="shared" si="18"/>
        <v>190.8235294117647</v>
      </c>
      <c r="AY22" s="99"/>
      <c r="AZ22" s="97">
        <f t="shared" si="4"/>
        <v>0</v>
      </c>
      <c r="BA22" s="99"/>
      <c r="BB22" s="99">
        <f t="shared" si="19"/>
        <v>0</v>
      </c>
      <c r="BC22" s="99"/>
      <c r="BD22" s="97">
        <f t="shared" si="4"/>
        <v>0</v>
      </c>
      <c r="BE22" s="99"/>
      <c r="BF22" s="99" t="e">
        <f t="shared" si="5"/>
        <v>#DIV/0!</v>
      </c>
      <c r="BG22" s="99"/>
      <c r="BH22" s="97">
        <f t="shared" si="4"/>
        <v>0</v>
      </c>
      <c r="BI22" s="99"/>
      <c r="BJ22" s="99">
        <f t="shared" si="20"/>
        <v>0</v>
      </c>
      <c r="BK22" s="99"/>
      <c r="BL22" s="97">
        <f t="shared" si="4"/>
        <v>0</v>
      </c>
      <c r="BM22" s="99"/>
      <c r="BN22" s="99">
        <f t="shared" si="21"/>
        <v>0</v>
      </c>
      <c r="BO22" s="235">
        <f t="shared" si="22"/>
        <v>20600</v>
      </c>
      <c r="BP22" s="235">
        <f t="shared" si="23"/>
        <v>20600</v>
      </c>
      <c r="BQ22" s="235">
        <f t="shared" si="24"/>
        <v>23689</v>
      </c>
      <c r="BR22" s="235">
        <f t="shared" si="25"/>
        <v>114.99514563106797</v>
      </c>
    </row>
    <row r="23" spans="1:70" s="22" customFormat="1" ht="28.5" x14ac:dyDescent="0.2">
      <c r="A23" s="118" t="s">
        <v>136</v>
      </c>
      <c r="B23" s="198" t="s">
        <v>3</v>
      </c>
      <c r="C23" s="123">
        <f t="shared" ref="C23:BL23" si="26">SUM(C12+C18*3.2+C21)</f>
        <v>307033</v>
      </c>
      <c r="D23" s="123">
        <f t="shared" si="26"/>
        <v>307033</v>
      </c>
      <c r="E23" s="123">
        <f t="shared" ref="E23:BM23" si="27">SUM(E12+E18*3.2+E21)</f>
        <v>373237.5625</v>
      </c>
      <c r="F23" s="123">
        <f t="shared" si="7"/>
        <v>121.56268625848037</v>
      </c>
      <c r="G23" s="123">
        <f t="shared" si="26"/>
        <v>202600.6</v>
      </c>
      <c r="H23" s="123">
        <f t="shared" si="26"/>
        <v>202600.6</v>
      </c>
      <c r="I23" s="123">
        <f t="shared" si="27"/>
        <v>208103.76250000001</v>
      </c>
      <c r="J23" s="123">
        <f t="shared" si="8"/>
        <v>102.71626169912626</v>
      </c>
      <c r="K23" s="123">
        <f t="shared" si="26"/>
        <v>114270.6</v>
      </c>
      <c r="L23" s="123">
        <f t="shared" si="26"/>
        <v>114270.6</v>
      </c>
      <c r="M23" s="123">
        <f t="shared" si="27"/>
        <v>100959.6</v>
      </c>
      <c r="N23" s="123">
        <f t="shared" si="9"/>
        <v>88.351334463982866</v>
      </c>
      <c r="O23" s="123">
        <f t="shared" si="26"/>
        <v>393372.60000000003</v>
      </c>
      <c r="P23" s="123">
        <f t="shared" si="26"/>
        <v>393372.60000000003</v>
      </c>
      <c r="Q23" s="123">
        <f t="shared" si="27"/>
        <v>401476.46250000002</v>
      </c>
      <c r="R23" s="123">
        <f t="shared" si="10"/>
        <v>102.06009836475647</v>
      </c>
      <c r="S23" s="123">
        <f t="shared" si="26"/>
        <v>0</v>
      </c>
      <c r="T23" s="121">
        <f t="shared" si="2"/>
        <v>0</v>
      </c>
      <c r="U23" s="123">
        <f t="shared" si="27"/>
        <v>0</v>
      </c>
      <c r="V23" s="123">
        <f t="shared" si="11"/>
        <v>0</v>
      </c>
      <c r="W23" s="123">
        <f t="shared" si="26"/>
        <v>0</v>
      </c>
      <c r="X23" s="121">
        <f t="shared" si="2"/>
        <v>0</v>
      </c>
      <c r="Y23" s="123">
        <f t="shared" si="27"/>
        <v>0</v>
      </c>
      <c r="Z23" s="123">
        <f t="shared" si="12"/>
        <v>0</v>
      </c>
      <c r="AA23" s="123">
        <f t="shared" si="26"/>
        <v>0</v>
      </c>
      <c r="AB23" s="121">
        <f t="shared" si="2"/>
        <v>0</v>
      </c>
      <c r="AC23" s="123">
        <f t="shared" si="27"/>
        <v>0</v>
      </c>
      <c r="AD23" s="123">
        <f t="shared" si="13"/>
        <v>0</v>
      </c>
      <c r="AE23" s="123">
        <f t="shared" si="26"/>
        <v>0</v>
      </c>
      <c r="AF23" s="121">
        <f t="shared" si="2"/>
        <v>0</v>
      </c>
      <c r="AG23" s="123">
        <f t="shared" si="27"/>
        <v>0</v>
      </c>
      <c r="AH23" s="123">
        <f t="shared" si="14"/>
        <v>0</v>
      </c>
      <c r="AI23" s="123">
        <f t="shared" si="26"/>
        <v>0</v>
      </c>
      <c r="AJ23" s="121">
        <f t="shared" si="3"/>
        <v>0</v>
      </c>
      <c r="AK23" s="123">
        <f t="shared" si="27"/>
        <v>0</v>
      </c>
      <c r="AL23" s="123">
        <f t="shared" si="15"/>
        <v>0</v>
      </c>
      <c r="AM23" s="123">
        <f t="shared" si="26"/>
        <v>0</v>
      </c>
      <c r="AN23" s="121">
        <f t="shared" si="3"/>
        <v>0</v>
      </c>
      <c r="AO23" s="123">
        <f t="shared" si="27"/>
        <v>0</v>
      </c>
      <c r="AP23" s="123">
        <f t="shared" si="16"/>
        <v>0</v>
      </c>
      <c r="AQ23" s="123">
        <f t="shared" si="26"/>
        <v>0</v>
      </c>
      <c r="AR23" s="121">
        <f t="shared" si="3"/>
        <v>0</v>
      </c>
      <c r="AS23" s="123">
        <f t="shared" si="27"/>
        <v>0</v>
      </c>
      <c r="AT23" s="123">
        <f t="shared" si="17"/>
        <v>0</v>
      </c>
      <c r="AU23" s="123">
        <f t="shared" si="26"/>
        <v>379534.2</v>
      </c>
      <c r="AV23" s="123">
        <f t="shared" si="26"/>
        <v>379534.2</v>
      </c>
      <c r="AW23" s="123">
        <f t="shared" si="27"/>
        <v>367799.80000000005</v>
      </c>
      <c r="AX23" s="123">
        <f t="shared" si="18"/>
        <v>96.908210116505984</v>
      </c>
      <c r="AY23" s="123">
        <f t="shared" si="26"/>
        <v>105699.6</v>
      </c>
      <c r="AZ23" s="123">
        <f t="shared" si="26"/>
        <v>105699.6</v>
      </c>
      <c r="BA23" s="123">
        <f t="shared" si="27"/>
        <v>109228.40000000001</v>
      </c>
      <c r="BB23" s="123">
        <f t="shared" si="19"/>
        <v>103.33851783734281</v>
      </c>
      <c r="BC23" s="123">
        <f t="shared" si="26"/>
        <v>0</v>
      </c>
      <c r="BD23" s="121">
        <f t="shared" si="4"/>
        <v>0</v>
      </c>
      <c r="BE23" s="123">
        <f t="shared" si="27"/>
        <v>0</v>
      </c>
      <c r="BF23" s="123" t="e">
        <f t="shared" si="5"/>
        <v>#DIV/0!</v>
      </c>
      <c r="BG23" s="123">
        <f t="shared" si="26"/>
        <v>47962</v>
      </c>
      <c r="BH23" s="123">
        <f t="shared" si="26"/>
        <v>47962</v>
      </c>
      <c r="BI23" s="123">
        <f t="shared" si="27"/>
        <v>46426.025000000001</v>
      </c>
      <c r="BJ23" s="123">
        <f t="shared" si="20"/>
        <v>96.797516784120759</v>
      </c>
      <c r="BK23" s="123">
        <f t="shared" si="26"/>
        <v>137693.40000000002</v>
      </c>
      <c r="BL23" s="123">
        <f t="shared" si="26"/>
        <v>137693.40000000002</v>
      </c>
      <c r="BM23" s="123">
        <f t="shared" si="27"/>
        <v>122737.07500000001</v>
      </c>
      <c r="BN23" s="123">
        <f t="shared" si="21"/>
        <v>89.137950693352025</v>
      </c>
      <c r="BO23" s="235">
        <f t="shared" si="22"/>
        <v>1688166.0000000002</v>
      </c>
      <c r="BP23" s="235">
        <f t="shared" si="23"/>
        <v>1688166.0000000002</v>
      </c>
      <c r="BQ23" s="235">
        <f t="shared" si="24"/>
        <v>1729968.6875</v>
      </c>
      <c r="BR23" s="235">
        <f t="shared" si="25"/>
        <v>102.47621901519162</v>
      </c>
    </row>
    <row r="24" spans="1:70" s="22" customFormat="1" ht="14.1" customHeight="1" x14ac:dyDescent="0.2">
      <c r="A24" s="149" t="s">
        <v>137</v>
      </c>
      <c r="B24" s="197"/>
      <c r="C24" s="99"/>
      <c r="D24" s="97">
        <f t="shared" si="6"/>
        <v>0</v>
      </c>
      <c r="E24" s="99"/>
      <c r="F24" s="99">
        <f t="shared" si="7"/>
        <v>0</v>
      </c>
      <c r="G24" s="99"/>
      <c r="H24" s="97">
        <f t="shared" si="6"/>
        <v>0</v>
      </c>
      <c r="I24" s="99"/>
      <c r="J24" s="99">
        <f t="shared" si="8"/>
        <v>0</v>
      </c>
      <c r="K24" s="99"/>
      <c r="L24" s="97">
        <f t="shared" si="6"/>
        <v>0</v>
      </c>
      <c r="M24" s="99"/>
      <c r="N24" s="99">
        <f t="shared" si="9"/>
        <v>0</v>
      </c>
      <c r="O24" s="99"/>
      <c r="P24" s="97">
        <f t="shared" si="6"/>
        <v>0</v>
      </c>
      <c r="Q24" s="99"/>
      <c r="R24" s="99">
        <f t="shared" si="10"/>
        <v>0</v>
      </c>
      <c r="S24" s="99"/>
      <c r="T24" s="97">
        <f t="shared" si="2"/>
        <v>0</v>
      </c>
      <c r="U24" s="99"/>
      <c r="V24" s="99">
        <f t="shared" si="11"/>
        <v>0</v>
      </c>
      <c r="W24" s="99"/>
      <c r="X24" s="97">
        <f t="shared" si="2"/>
        <v>0</v>
      </c>
      <c r="Y24" s="99"/>
      <c r="Z24" s="99">
        <f t="shared" si="12"/>
        <v>0</v>
      </c>
      <c r="AA24" s="99"/>
      <c r="AB24" s="97">
        <f t="shared" si="2"/>
        <v>0</v>
      </c>
      <c r="AC24" s="99"/>
      <c r="AD24" s="99">
        <f t="shared" si="13"/>
        <v>0</v>
      </c>
      <c r="AE24" s="99"/>
      <c r="AF24" s="97">
        <f t="shared" si="2"/>
        <v>0</v>
      </c>
      <c r="AG24" s="99"/>
      <c r="AH24" s="99">
        <f t="shared" si="14"/>
        <v>0</v>
      </c>
      <c r="AI24" s="99"/>
      <c r="AJ24" s="97">
        <f t="shared" si="3"/>
        <v>0</v>
      </c>
      <c r="AK24" s="99"/>
      <c r="AL24" s="99">
        <f t="shared" si="15"/>
        <v>0</v>
      </c>
      <c r="AM24" s="99"/>
      <c r="AN24" s="97">
        <f t="shared" si="3"/>
        <v>0</v>
      </c>
      <c r="AO24" s="99"/>
      <c r="AP24" s="99">
        <f t="shared" si="16"/>
        <v>0</v>
      </c>
      <c r="AQ24" s="99"/>
      <c r="AR24" s="97">
        <f t="shared" si="3"/>
        <v>0</v>
      </c>
      <c r="AS24" s="99"/>
      <c r="AT24" s="99">
        <f t="shared" si="17"/>
        <v>0</v>
      </c>
      <c r="AU24" s="99"/>
      <c r="AV24" s="97">
        <f t="shared" si="3"/>
        <v>0</v>
      </c>
      <c r="AW24" s="99"/>
      <c r="AX24" s="99">
        <f t="shared" si="18"/>
        <v>0</v>
      </c>
      <c r="AY24" s="99"/>
      <c r="AZ24" s="97">
        <f t="shared" si="4"/>
        <v>0</v>
      </c>
      <c r="BA24" s="99"/>
      <c r="BB24" s="99">
        <f t="shared" si="19"/>
        <v>0</v>
      </c>
      <c r="BC24" s="99"/>
      <c r="BD24" s="97">
        <f t="shared" si="4"/>
        <v>0</v>
      </c>
      <c r="BE24" s="99"/>
      <c r="BF24" s="99" t="e">
        <f t="shared" si="5"/>
        <v>#DIV/0!</v>
      </c>
      <c r="BG24" s="99"/>
      <c r="BH24" s="97">
        <f t="shared" si="4"/>
        <v>0</v>
      </c>
      <c r="BI24" s="99"/>
      <c r="BJ24" s="99">
        <f t="shared" si="20"/>
        <v>0</v>
      </c>
      <c r="BK24" s="99"/>
      <c r="BL24" s="97">
        <f t="shared" si="4"/>
        <v>0</v>
      </c>
      <c r="BM24" s="99"/>
      <c r="BN24" s="99">
        <f t="shared" si="21"/>
        <v>0</v>
      </c>
      <c r="BO24" s="235">
        <f t="shared" si="22"/>
        <v>0</v>
      </c>
      <c r="BP24" s="235">
        <f t="shared" si="23"/>
        <v>0</v>
      </c>
      <c r="BQ24" s="235">
        <f t="shared" si="24"/>
        <v>0</v>
      </c>
      <c r="BR24" s="235">
        <f t="shared" si="25"/>
        <v>0</v>
      </c>
    </row>
    <row r="25" spans="1:70" s="22" customFormat="1" ht="15.75" x14ac:dyDescent="0.2">
      <c r="A25" s="159" t="s">
        <v>125</v>
      </c>
      <c r="B25" s="199" t="s">
        <v>3</v>
      </c>
      <c r="C25" s="163">
        <f>C28+C29+C30+C31+C53+C78+C27</f>
        <v>71499</v>
      </c>
      <c r="D25" s="163">
        <f>D28+D29+D30+D31+D53+D78+D27</f>
        <v>71499</v>
      </c>
      <c r="E25" s="163">
        <f>E28+E29+E30+E31+E53+E78+E27</f>
        <v>72391</v>
      </c>
      <c r="F25" s="163">
        <f t="shared" si="7"/>
        <v>101.24756989608245</v>
      </c>
      <c r="G25" s="163">
        <f>G28+G29+G30+G31+G53+G78+G27</f>
        <v>22057</v>
      </c>
      <c r="H25" s="163">
        <f>H28+H29+H30+H31+H53+H78+H27</f>
        <v>22057</v>
      </c>
      <c r="I25" s="163">
        <f>I28+I29+I30+I31+I53+I78+I27</f>
        <v>18067</v>
      </c>
      <c r="J25" s="163">
        <f t="shared" si="8"/>
        <v>81.91050460171374</v>
      </c>
      <c r="K25" s="163">
        <f>K28+K29+K30+K31+K53+K78+K27</f>
        <v>12790</v>
      </c>
      <c r="L25" s="163">
        <f>L28+L29+L30+L31+L53+L78+L27</f>
        <v>12790</v>
      </c>
      <c r="M25" s="163">
        <f>M28+M29+M30+M31+M53+M78+M27</f>
        <v>10371</v>
      </c>
      <c r="N25" s="163">
        <f t="shared" si="9"/>
        <v>81.086786551993754</v>
      </c>
      <c r="O25" s="163">
        <f>O28+O29+O30+O31+O53+O78+O27</f>
        <v>36055</v>
      </c>
      <c r="P25" s="163">
        <f>P28+P29+P30+P31+P53+P78+P27</f>
        <v>36055</v>
      </c>
      <c r="Q25" s="163">
        <f>Q28+Q29+Q30+Q31+Q53+Q78+Q27</f>
        <v>35271</v>
      </c>
      <c r="R25" s="163">
        <f t="shared" si="10"/>
        <v>97.825544307308277</v>
      </c>
      <c r="S25" s="163">
        <f>S28+S29+S30+S31+S53+S78+S27</f>
        <v>186412</v>
      </c>
      <c r="T25" s="162">
        <f t="shared" si="2"/>
        <v>186412</v>
      </c>
      <c r="U25" s="163">
        <f>U28+U29+U30+U31+U53+U78+U27</f>
        <v>175628</v>
      </c>
      <c r="V25" s="163">
        <f t="shared" si="11"/>
        <v>94.214964701843229</v>
      </c>
      <c r="W25" s="163">
        <f>W28+W29+W30+W31+W53+W78+W27</f>
        <v>55500</v>
      </c>
      <c r="X25" s="162">
        <f t="shared" si="2"/>
        <v>55500</v>
      </c>
      <c r="Y25" s="163">
        <f>Y28+Y29+Y30+Y31+Y53+Y78+Y27</f>
        <v>56745</v>
      </c>
      <c r="Z25" s="163">
        <f t="shared" si="12"/>
        <v>102.24324324324326</v>
      </c>
      <c r="AA25" s="163">
        <f>AA28+AA29+AA30+AA31+AA53+AA78+AA27</f>
        <v>27000</v>
      </c>
      <c r="AB25" s="162">
        <f t="shared" si="2"/>
        <v>27000</v>
      </c>
      <c r="AC25" s="163">
        <f>AC28+AC29+AC30+AC31+AC53+AC78+AC27</f>
        <v>27344</v>
      </c>
      <c r="AD25" s="163">
        <f t="shared" si="13"/>
        <v>101.27407407407406</v>
      </c>
      <c r="AE25" s="163">
        <f>AE28+AE29+AE30+AE31+AE53+AE78+AE27</f>
        <v>1500</v>
      </c>
      <c r="AF25" s="162">
        <f t="shared" si="2"/>
        <v>1500</v>
      </c>
      <c r="AG25" s="163">
        <f>AG28+AG29+AG30+AG31+AG53+AG78+AG27</f>
        <v>2137</v>
      </c>
      <c r="AH25" s="163">
        <f t="shared" si="14"/>
        <v>142.46666666666667</v>
      </c>
      <c r="AI25" s="163">
        <f>AI28+AI29+AI30+AI31+AI53+AI78+AI27</f>
        <v>0</v>
      </c>
      <c r="AJ25" s="162">
        <f t="shared" si="3"/>
        <v>0</v>
      </c>
      <c r="AK25" s="163">
        <f>AK28+AK29+AK30+AK31+AK53+AK78+AK27</f>
        <v>0</v>
      </c>
      <c r="AL25" s="163">
        <f t="shared" si="15"/>
        <v>0</v>
      </c>
      <c r="AM25" s="163">
        <f>AM28+AM29+AM30+AM31+AM53+AM78+AM27</f>
        <v>0</v>
      </c>
      <c r="AN25" s="162">
        <f t="shared" si="3"/>
        <v>0</v>
      </c>
      <c r="AO25" s="163">
        <f>AO28+AO29+AO30+AO31+AO53+AO78+AO27</f>
        <v>0</v>
      </c>
      <c r="AP25" s="163">
        <f t="shared" si="16"/>
        <v>0</v>
      </c>
      <c r="AQ25" s="163">
        <f>AQ28+AQ29+AQ30+AQ31+AQ53+AQ78+AQ27</f>
        <v>0</v>
      </c>
      <c r="AR25" s="162">
        <f t="shared" si="3"/>
        <v>0</v>
      </c>
      <c r="AS25" s="163">
        <f>AS28+AS29+AS30+AS31+AS53+AS78+AS27</f>
        <v>0</v>
      </c>
      <c r="AT25" s="163">
        <f t="shared" si="17"/>
        <v>0</v>
      </c>
      <c r="AU25" s="163">
        <f>AU28+AU29+AU30+AU31+AU53+AU78+AU27</f>
        <v>82468</v>
      </c>
      <c r="AV25" s="163">
        <f>AV28+AV29+AV30+AV31+AV53+AV78+AV27</f>
        <v>82468</v>
      </c>
      <c r="AW25" s="163">
        <f>AW28+AW29+AW30+AW31+AW53+AW78+AW27</f>
        <v>111323</v>
      </c>
      <c r="AX25" s="163">
        <f t="shared" si="18"/>
        <v>134.98932919435418</v>
      </c>
      <c r="AY25" s="163">
        <f>AY28+AY29+AY30+AY31+AY53+AY78+AY27</f>
        <v>4500</v>
      </c>
      <c r="AZ25" s="162">
        <f t="shared" si="4"/>
        <v>4500</v>
      </c>
      <c r="BA25" s="163">
        <f>BA28+BA29+BA30+BA31+BA53+BA78+BA27</f>
        <v>5111</v>
      </c>
      <c r="BB25" s="163">
        <f t="shared" si="19"/>
        <v>113.57777777777778</v>
      </c>
      <c r="BC25" s="163">
        <f>BC28+BC29+BC30+BC31+BC53+BC78+BC27</f>
        <v>0</v>
      </c>
      <c r="BD25" s="162">
        <f t="shared" si="4"/>
        <v>0</v>
      </c>
      <c r="BE25" s="163">
        <f>BE28+BE29+BE30+BE31+BE53+BE78+BE27</f>
        <v>0</v>
      </c>
      <c r="BF25" s="163" t="e">
        <f t="shared" si="5"/>
        <v>#DIV/0!</v>
      </c>
      <c r="BG25" s="163">
        <f>BG28+BG29+BG30+BG31+BG53+BG78+BG27</f>
        <v>2948</v>
      </c>
      <c r="BH25" s="163">
        <f>BH28+BH29+BH30+BH31+BH53+BH78+BH27</f>
        <v>2948</v>
      </c>
      <c r="BI25" s="163">
        <f>BI28+BI29+BI30+BI31+BI53+BI78+BI27</f>
        <v>2056</v>
      </c>
      <c r="BJ25" s="163">
        <f t="shared" si="20"/>
        <v>69.742198100407066</v>
      </c>
      <c r="BK25" s="163">
        <f>BK28+BK29+BK30+BK31+BK53+BK78+BK27</f>
        <v>4624</v>
      </c>
      <c r="BL25" s="163">
        <f>BL28+BL29+BL30+BL31+BL53+BL78+BL27</f>
        <v>4624</v>
      </c>
      <c r="BM25" s="163">
        <f>BM28+BM29+BM30+BM31+BM53+BM78+BM27</f>
        <v>5345</v>
      </c>
      <c r="BN25" s="163">
        <f t="shared" si="21"/>
        <v>115.59256055363323</v>
      </c>
      <c r="BO25" s="235">
        <f t="shared" si="22"/>
        <v>507353</v>
      </c>
      <c r="BP25" s="235">
        <f t="shared" si="23"/>
        <v>507353</v>
      </c>
      <c r="BQ25" s="235">
        <f t="shared" si="24"/>
        <v>521789</v>
      </c>
      <c r="BR25" s="235">
        <f t="shared" si="25"/>
        <v>102.84535619184277</v>
      </c>
    </row>
    <row r="26" spans="1:70" ht="15.75" x14ac:dyDescent="0.2">
      <c r="A26" s="154" t="s">
        <v>126</v>
      </c>
      <c r="B26" s="197" t="s">
        <v>3</v>
      </c>
      <c r="C26" s="99"/>
      <c r="D26" s="97">
        <f t="shared" si="6"/>
        <v>0</v>
      </c>
      <c r="E26" s="99"/>
      <c r="F26" s="99">
        <f t="shared" si="7"/>
        <v>0</v>
      </c>
      <c r="G26" s="99"/>
      <c r="H26" s="97">
        <f t="shared" si="6"/>
        <v>0</v>
      </c>
      <c r="I26" s="99"/>
      <c r="J26" s="99">
        <f t="shared" si="8"/>
        <v>0</v>
      </c>
      <c r="K26" s="99"/>
      <c r="L26" s="97">
        <f t="shared" si="6"/>
        <v>0</v>
      </c>
      <c r="M26" s="99"/>
      <c r="N26" s="99">
        <f t="shared" si="9"/>
        <v>0</v>
      </c>
      <c r="O26" s="99"/>
      <c r="P26" s="97">
        <f t="shared" si="6"/>
        <v>0</v>
      </c>
      <c r="Q26" s="99"/>
      <c r="R26" s="99">
        <f t="shared" si="10"/>
        <v>0</v>
      </c>
      <c r="S26" s="99"/>
      <c r="T26" s="97">
        <f t="shared" si="2"/>
        <v>0</v>
      </c>
      <c r="U26" s="99"/>
      <c r="V26" s="99">
        <f t="shared" si="11"/>
        <v>0</v>
      </c>
      <c r="W26" s="99"/>
      <c r="X26" s="97">
        <f t="shared" si="2"/>
        <v>0</v>
      </c>
      <c r="Y26" s="99"/>
      <c r="Z26" s="99">
        <f t="shared" si="12"/>
        <v>0</v>
      </c>
      <c r="AA26" s="99"/>
      <c r="AB26" s="97">
        <f t="shared" si="2"/>
        <v>0</v>
      </c>
      <c r="AC26" s="99"/>
      <c r="AD26" s="99">
        <f t="shared" si="13"/>
        <v>0</v>
      </c>
      <c r="AE26" s="99"/>
      <c r="AF26" s="97">
        <f t="shared" si="2"/>
        <v>0</v>
      </c>
      <c r="AG26" s="99"/>
      <c r="AH26" s="99">
        <f t="shared" si="14"/>
        <v>0</v>
      </c>
      <c r="AI26" s="99"/>
      <c r="AJ26" s="97">
        <f t="shared" si="3"/>
        <v>0</v>
      </c>
      <c r="AK26" s="99"/>
      <c r="AL26" s="99">
        <f t="shared" si="15"/>
        <v>0</v>
      </c>
      <c r="AM26" s="99"/>
      <c r="AN26" s="97">
        <f t="shared" si="3"/>
        <v>0</v>
      </c>
      <c r="AO26" s="99"/>
      <c r="AP26" s="99">
        <f t="shared" si="16"/>
        <v>0</v>
      </c>
      <c r="AQ26" s="99"/>
      <c r="AR26" s="97">
        <f t="shared" si="3"/>
        <v>0</v>
      </c>
      <c r="AS26" s="99"/>
      <c r="AT26" s="99">
        <f t="shared" si="17"/>
        <v>0</v>
      </c>
      <c r="AU26" s="99"/>
      <c r="AV26" s="97">
        <f t="shared" si="3"/>
        <v>0</v>
      </c>
      <c r="AW26" s="99"/>
      <c r="AX26" s="99">
        <f t="shared" si="18"/>
        <v>0</v>
      </c>
      <c r="AY26" s="99"/>
      <c r="AZ26" s="97">
        <f t="shared" si="4"/>
        <v>0</v>
      </c>
      <c r="BA26" s="99"/>
      <c r="BB26" s="99">
        <f t="shared" si="19"/>
        <v>0</v>
      </c>
      <c r="BC26" s="99"/>
      <c r="BD26" s="97">
        <f t="shared" si="4"/>
        <v>0</v>
      </c>
      <c r="BE26" s="99"/>
      <c r="BF26" s="99" t="e">
        <f t="shared" si="5"/>
        <v>#DIV/0!</v>
      </c>
      <c r="BG26" s="99"/>
      <c r="BH26" s="97">
        <f t="shared" si="4"/>
        <v>0</v>
      </c>
      <c r="BI26" s="99"/>
      <c r="BJ26" s="99">
        <f t="shared" si="20"/>
        <v>0</v>
      </c>
      <c r="BK26" s="99"/>
      <c r="BL26" s="97">
        <f t="shared" si="4"/>
        <v>0</v>
      </c>
      <c r="BM26" s="99"/>
      <c r="BN26" s="99">
        <f t="shared" si="21"/>
        <v>0</v>
      </c>
      <c r="BO26" s="235">
        <f t="shared" si="22"/>
        <v>0</v>
      </c>
      <c r="BP26" s="235">
        <f t="shared" si="23"/>
        <v>0</v>
      </c>
      <c r="BQ26" s="235">
        <f t="shared" si="24"/>
        <v>0</v>
      </c>
      <c r="BR26" s="235">
        <f t="shared" si="25"/>
        <v>0</v>
      </c>
    </row>
    <row r="27" spans="1:70" ht="15.75" x14ac:dyDescent="0.25">
      <c r="A27" s="164" t="s">
        <v>199</v>
      </c>
      <c r="B27" s="197"/>
      <c r="C27" s="99"/>
      <c r="D27" s="97">
        <f t="shared" si="6"/>
        <v>0</v>
      </c>
      <c r="E27" s="99"/>
      <c r="F27" s="99">
        <f t="shared" si="7"/>
        <v>0</v>
      </c>
      <c r="G27" s="99"/>
      <c r="H27" s="97">
        <f t="shared" si="6"/>
        <v>0</v>
      </c>
      <c r="I27" s="99"/>
      <c r="J27" s="99">
        <f t="shared" si="8"/>
        <v>0</v>
      </c>
      <c r="K27" s="99"/>
      <c r="L27" s="97">
        <f t="shared" si="6"/>
        <v>0</v>
      </c>
      <c r="M27" s="99"/>
      <c r="N27" s="99">
        <f t="shared" si="9"/>
        <v>0</v>
      </c>
      <c r="O27" s="99"/>
      <c r="P27" s="97">
        <f t="shared" si="6"/>
        <v>0</v>
      </c>
      <c r="Q27" s="99"/>
      <c r="R27" s="99">
        <f t="shared" si="10"/>
        <v>0</v>
      </c>
      <c r="S27" s="99">
        <v>16000</v>
      </c>
      <c r="T27" s="97">
        <v>16000</v>
      </c>
      <c r="U27" s="99">
        <v>15993</v>
      </c>
      <c r="V27" s="99">
        <f t="shared" si="11"/>
        <v>99.956249999999997</v>
      </c>
      <c r="W27" s="99"/>
      <c r="X27" s="97">
        <f t="shared" si="2"/>
        <v>0</v>
      </c>
      <c r="Y27" s="99"/>
      <c r="Z27" s="99">
        <f t="shared" si="12"/>
        <v>0</v>
      </c>
      <c r="AA27" s="99"/>
      <c r="AB27" s="97">
        <f t="shared" si="2"/>
        <v>0</v>
      </c>
      <c r="AC27" s="99"/>
      <c r="AD27" s="99">
        <f t="shared" si="13"/>
        <v>0</v>
      </c>
      <c r="AE27" s="99"/>
      <c r="AF27" s="97">
        <f t="shared" si="2"/>
        <v>0</v>
      </c>
      <c r="AG27" s="99"/>
      <c r="AH27" s="99">
        <f t="shared" si="14"/>
        <v>0</v>
      </c>
      <c r="AI27" s="99"/>
      <c r="AJ27" s="97">
        <f t="shared" si="3"/>
        <v>0</v>
      </c>
      <c r="AK27" s="99"/>
      <c r="AL27" s="99">
        <f t="shared" si="15"/>
        <v>0</v>
      </c>
      <c r="AM27" s="99"/>
      <c r="AN27" s="97">
        <f t="shared" si="3"/>
        <v>0</v>
      </c>
      <c r="AO27" s="99"/>
      <c r="AP27" s="99">
        <f t="shared" si="16"/>
        <v>0</v>
      </c>
      <c r="AQ27" s="99"/>
      <c r="AR27" s="97">
        <f t="shared" si="3"/>
        <v>0</v>
      </c>
      <c r="AS27" s="99"/>
      <c r="AT27" s="99">
        <f t="shared" si="17"/>
        <v>0</v>
      </c>
      <c r="AU27" s="99"/>
      <c r="AV27" s="97">
        <f t="shared" si="3"/>
        <v>0</v>
      </c>
      <c r="AW27" s="99"/>
      <c r="AX27" s="99">
        <f t="shared" si="18"/>
        <v>0</v>
      </c>
      <c r="AY27" s="99"/>
      <c r="AZ27" s="97">
        <f t="shared" si="4"/>
        <v>0</v>
      </c>
      <c r="BA27" s="99"/>
      <c r="BB27" s="99">
        <f t="shared" si="19"/>
        <v>0</v>
      </c>
      <c r="BC27" s="99"/>
      <c r="BD27" s="97">
        <f t="shared" si="4"/>
        <v>0</v>
      </c>
      <c r="BE27" s="99"/>
      <c r="BF27" s="99"/>
      <c r="BG27" s="99"/>
      <c r="BH27" s="97">
        <f t="shared" si="4"/>
        <v>0</v>
      </c>
      <c r="BI27" s="99"/>
      <c r="BJ27" s="99">
        <f t="shared" si="20"/>
        <v>0</v>
      </c>
      <c r="BK27" s="99"/>
      <c r="BL27" s="97">
        <f t="shared" si="4"/>
        <v>0</v>
      </c>
      <c r="BM27" s="99"/>
      <c r="BN27" s="99">
        <f t="shared" si="21"/>
        <v>0</v>
      </c>
      <c r="BO27" s="235">
        <f t="shared" si="22"/>
        <v>16000</v>
      </c>
      <c r="BP27" s="235">
        <f t="shared" si="23"/>
        <v>16000</v>
      </c>
      <c r="BQ27" s="235">
        <f t="shared" si="24"/>
        <v>15993</v>
      </c>
      <c r="BR27" s="235">
        <f t="shared" si="25"/>
        <v>99.956249999999997</v>
      </c>
    </row>
    <row r="28" spans="1:70" s="17" customFormat="1" ht="47.25" x14ac:dyDescent="0.2">
      <c r="A28" s="154" t="s">
        <v>138</v>
      </c>
      <c r="B28" s="197" t="s">
        <v>3</v>
      </c>
      <c r="C28" s="99"/>
      <c r="D28" s="97">
        <f t="shared" ref="D28:P45" si="28">ROUND(C28/12*$A$7,0)</f>
        <v>0</v>
      </c>
      <c r="E28" s="99"/>
      <c r="F28" s="99">
        <f t="shared" si="7"/>
        <v>0</v>
      </c>
      <c r="G28" s="99"/>
      <c r="H28" s="97">
        <f t="shared" si="28"/>
        <v>0</v>
      </c>
      <c r="I28" s="99"/>
      <c r="J28" s="99">
        <f t="shared" si="8"/>
        <v>0</v>
      </c>
      <c r="K28" s="99"/>
      <c r="L28" s="97">
        <f t="shared" si="28"/>
        <v>0</v>
      </c>
      <c r="M28" s="99"/>
      <c r="N28" s="99">
        <f t="shared" si="9"/>
        <v>0</v>
      </c>
      <c r="O28" s="99"/>
      <c r="P28" s="97">
        <f t="shared" si="28"/>
        <v>0</v>
      </c>
      <c r="Q28" s="99"/>
      <c r="R28" s="99">
        <f t="shared" si="10"/>
        <v>0</v>
      </c>
      <c r="S28" s="99">
        <v>55000</v>
      </c>
      <c r="T28" s="97">
        <v>55000</v>
      </c>
      <c r="U28" s="99">
        <v>39360</v>
      </c>
      <c r="V28" s="99">
        <f t="shared" si="11"/>
        <v>71.563636363636363</v>
      </c>
      <c r="W28" s="99"/>
      <c r="X28" s="97">
        <f t="shared" ref="T28:AF45" si="29">ROUND(W28/12*$A$7,0)</f>
        <v>0</v>
      </c>
      <c r="Y28" s="99"/>
      <c r="Z28" s="99">
        <f t="shared" si="12"/>
        <v>0</v>
      </c>
      <c r="AA28" s="99"/>
      <c r="AB28" s="97">
        <f t="shared" si="29"/>
        <v>0</v>
      </c>
      <c r="AC28" s="99"/>
      <c r="AD28" s="99">
        <f t="shared" si="13"/>
        <v>0</v>
      </c>
      <c r="AE28" s="99"/>
      <c r="AF28" s="97">
        <f t="shared" si="29"/>
        <v>0</v>
      </c>
      <c r="AG28" s="99"/>
      <c r="AH28" s="99">
        <f t="shared" si="14"/>
        <v>0</v>
      </c>
      <c r="AI28" s="99"/>
      <c r="AJ28" s="97">
        <f t="shared" ref="AJ28:AV45" si="30">ROUND(AI28/12*$A$7,0)</f>
        <v>0</v>
      </c>
      <c r="AK28" s="99"/>
      <c r="AL28" s="99">
        <f t="shared" si="15"/>
        <v>0</v>
      </c>
      <c r="AM28" s="99"/>
      <c r="AN28" s="97">
        <f t="shared" si="30"/>
        <v>0</v>
      </c>
      <c r="AO28" s="99"/>
      <c r="AP28" s="99">
        <f t="shared" si="16"/>
        <v>0</v>
      </c>
      <c r="AQ28" s="99"/>
      <c r="AR28" s="97">
        <f t="shared" si="30"/>
        <v>0</v>
      </c>
      <c r="AS28" s="99"/>
      <c r="AT28" s="99">
        <f t="shared" si="17"/>
        <v>0</v>
      </c>
      <c r="AU28" s="99"/>
      <c r="AV28" s="97">
        <f t="shared" si="30"/>
        <v>0</v>
      </c>
      <c r="AW28" s="99"/>
      <c r="AX28" s="99">
        <f t="shared" si="18"/>
        <v>0</v>
      </c>
      <c r="AY28" s="99"/>
      <c r="AZ28" s="97">
        <f t="shared" ref="AZ28:BL45" si="31">ROUND(AY28/12*$A$7,0)</f>
        <v>0</v>
      </c>
      <c r="BA28" s="99"/>
      <c r="BB28" s="99">
        <f t="shared" si="19"/>
        <v>0</v>
      </c>
      <c r="BC28" s="99"/>
      <c r="BD28" s="97">
        <f t="shared" si="31"/>
        <v>0</v>
      </c>
      <c r="BE28" s="99"/>
      <c r="BF28" s="99" t="e">
        <f t="shared" ref="BF28:BF89" si="32">BE28/BD28*100</f>
        <v>#DIV/0!</v>
      </c>
      <c r="BG28" s="99"/>
      <c r="BH28" s="97">
        <f t="shared" si="31"/>
        <v>0</v>
      </c>
      <c r="BI28" s="99"/>
      <c r="BJ28" s="99">
        <f t="shared" si="20"/>
        <v>0</v>
      </c>
      <c r="BK28" s="99"/>
      <c r="BL28" s="97">
        <f t="shared" si="31"/>
        <v>0</v>
      </c>
      <c r="BM28" s="99"/>
      <c r="BN28" s="99">
        <f t="shared" si="21"/>
        <v>0</v>
      </c>
      <c r="BO28" s="235">
        <f t="shared" si="22"/>
        <v>55000</v>
      </c>
      <c r="BP28" s="235">
        <f t="shared" si="23"/>
        <v>55000</v>
      </c>
      <c r="BQ28" s="235">
        <f t="shared" si="24"/>
        <v>39360</v>
      </c>
      <c r="BR28" s="235">
        <f t="shared" si="25"/>
        <v>71.563636363636363</v>
      </c>
    </row>
    <row r="29" spans="1:70" ht="31.5" x14ac:dyDescent="0.2">
      <c r="A29" s="154" t="s">
        <v>139</v>
      </c>
      <c r="B29" s="197" t="s">
        <v>3</v>
      </c>
      <c r="C29" s="99"/>
      <c r="D29" s="97">
        <f t="shared" si="28"/>
        <v>0</v>
      </c>
      <c r="E29" s="99"/>
      <c r="F29" s="99">
        <f t="shared" si="7"/>
        <v>0</v>
      </c>
      <c r="G29" s="99"/>
      <c r="H29" s="97">
        <f t="shared" si="28"/>
        <v>0</v>
      </c>
      <c r="I29" s="99"/>
      <c r="J29" s="99">
        <f t="shared" si="8"/>
        <v>0</v>
      </c>
      <c r="K29" s="99"/>
      <c r="L29" s="97">
        <f t="shared" si="28"/>
        <v>0</v>
      </c>
      <c r="M29" s="99"/>
      <c r="N29" s="99">
        <f t="shared" si="9"/>
        <v>0</v>
      </c>
      <c r="O29" s="99"/>
      <c r="P29" s="97">
        <f t="shared" si="28"/>
        <v>0</v>
      </c>
      <c r="Q29" s="99"/>
      <c r="R29" s="99">
        <f t="shared" si="10"/>
        <v>0</v>
      </c>
      <c r="S29" s="99"/>
      <c r="T29" s="97"/>
      <c r="U29" s="99"/>
      <c r="V29" s="99">
        <f t="shared" si="11"/>
        <v>0</v>
      </c>
      <c r="W29" s="99"/>
      <c r="X29" s="97">
        <f t="shared" si="29"/>
        <v>0</v>
      </c>
      <c r="Y29" s="99"/>
      <c r="Z29" s="99">
        <f t="shared" si="12"/>
        <v>0</v>
      </c>
      <c r="AA29" s="99"/>
      <c r="AB29" s="97">
        <f t="shared" si="29"/>
        <v>0</v>
      </c>
      <c r="AC29" s="99"/>
      <c r="AD29" s="99">
        <f t="shared" si="13"/>
        <v>0</v>
      </c>
      <c r="AE29" s="99"/>
      <c r="AF29" s="97">
        <f t="shared" si="29"/>
        <v>0</v>
      </c>
      <c r="AG29" s="99"/>
      <c r="AH29" s="99">
        <f t="shared" si="14"/>
        <v>0</v>
      </c>
      <c r="AI29" s="99"/>
      <c r="AJ29" s="97">
        <f t="shared" si="30"/>
        <v>0</v>
      </c>
      <c r="AK29" s="99"/>
      <c r="AL29" s="99">
        <f t="shared" si="15"/>
        <v>0</v>
      </c>
      <c r="AM29" s="99"/>
      <c r="AN29" s="97">
        <f t="shared" si="30"/>
        <v>0</v>
      </c>
      <c r="AO29" s="99"/>
      <c r="AP29" s="99">
        <f t="shared" si="16"/>
        <v>0</v>
      </c>
      <c r="AQ29" s="99"/>
      <c r="AR29" s="97">
        <f t="shared" si="30"/>
        <v>0</v>
      </c>
      <c r="AS29" s="99"/>
      <c r="AT29" s="99">
        <f t="shared" si="17"/>
        <v>0</v>
      </c>
      <c r="AU29" s="99"/>
      <c r="AV29" s="97">
        <f t="shared" si="30"/>
        <v>0</v>
      </c>
      <c r="AW29" s="99"/>
      <c r="AX29" s="99">
        <f t="shared" si="18"/>
        <v>0</v>
      </c>
      <c r="AY29" s="99"/>
      <c r="AZ29" s="97">
        <f t="shared" si="31"/>
        <v>0</v>
      </c>
      <c r="BA29" s="99"/>
      <c r="BB29" s="99">
        <f t="shared" si="19"/>
        <v>0</v>
      </c>
      <c r="BC29" s="99"/>
      <c r="BD29" s="97">
        <f t="shared" si="31"/>
        <v>0</v>
      </c>
      <c r="BE29" s="99"/>
      <c r="BF29" s="99" t="e">
        <f t="shared" si="32"/>
        <v>#DIV/0!</v>
      </c>
      <c r="BG29" s="99"/>
      <c r="BH29" s="97">
        <f t="shared" si="31"/>
        <v>0</v>
      </c>
      <c r="BI29" s="99"/>
      <c r="BJ29" s="99">
        <f t="shared" si="20"/>
        <v>0</v>
      </c>
      <c r="BK29" s="99"/>
      <c r="BL29" s="97">
        <f t="shared" si="31"/>
        <v>0</v>
      </c>
      <c r="BM29" s="99"/>
      <c r="BN29" s="99">
        <f t="shared" si="21"/>
        <v>0</v>
      </c>
      <c r="BO29" s="235">
        <f t="shared" si="22"/>
        <v>0</v>
      </c>
      <c r="BP29" s="235">
        <f t="shared" si="23"/>
        <v>0</v>
      </c>
      <c r="BQ29" s="235">
        <f t="shared" si="24"/>
        <v>0</v>
      </c>
      <c r="BR29" s="235">
        <f t="shared" si="25"/>
        <v>0</v>
      </c>
    </row>
    <row r="30" spans="1:70" ht="31.5" x14ac:dyDescent="0.2">
      <c r="A30" s="154" t="s">
        <v>140</v>
      </c>
      <c r="B30" s="197" t="s">
        <v>3</v>
      </c>
      <c r="C30" s="99"/>
      <c r="D30" s="97">
        <f t="shared" si="28"/>
        <v>0</v>
      </c>
      <c r="E30" s="99"/>
      <c r="F30" s="99">
        <f t="shared" si="7"/>
        <v>0</v>
      </c>
      <c r="G30" s="99"/>
      <c r="H30" s="97">
        <f t="shared" si="28"/>
        <v>0</v>
      </c>
      <c r="I30" s="99"/>
      <c r="J30" s="99">
        <f t="shared" si="8"/>
        <v>0</v>
      </c>
      <c r="K30" s="99"/>
      <c r="L30" s="97">
        <f t="shared" si="28"/>
        <v>0</v>
      </c>
      <c r="M30" s="99"/>
      <c r="N30" s="99">
        <f t="shared" si="9"/>
        <v>0</v>
      </c>
      <c r="O30" s="99"/>
      <c r="P30" s="97">
        <f t="shared" si="28"/>
        <v>0</v>
      </c>
      <c r="Q30" s="99"/>
      <c r="R30" s="99">
        <f t="shared" si="10"/>
        <v>0</v>
      </c>
      <c r="S30" s="99">
        <v>12000</v>
      </c>
      <c r="T30" s="97">
        <v>12000</v>
      </c>
      <c r="U30" s="99">
        <v>17149</v>
      </c>
      <c r="V30" s="99">
        <f t="shared" si="11"/>
        <v>142.90833333333333</v>
      </c>
      <c r="W30" s="99"/>
      <c r="X30" s="97">
        <f t="shared" si="29"/>
        <v>0</v>
      </c>
      <c r="Y30" s="99"/>
      <c r="Z30" s="99">
        <f t="shared" si="12"/>
        <v>0</v>
      </c>
      <c r="AA30" s="99"/>
      <c r="AB30" s="97">
        <f t="shared" si="29"/>
        <v>0</v>
      </c>
      <c r="AC30" s="99"/>
      <c r="AD30" s="99">
        <f t="shared" si="13"/>
        <v>0</v>
      </c>
      <c r="AE30" s="99"/>
      <c r="AF30" s="97">
        <f t="shared" si="29"/>
        <v>0</v>
      </c>
      <c r="AG30" s="99"/>
      <c r="AH30" s="99">
        <f t="shared" si="14"/>
        <v>0</v>
      </c>
      <c r="AI30" s="99"/>
      <c r="AJ30" s="97">
        <f t="shared" si="30"/>
        <v>0</v>
      </c>
      <c r="AK30" s="99"/>
      <c r="AL30" s="99">
        <f t="shared" si="15"/>
        <v>0</v>
      </c>
      <c r="AM30" s="99"/>
      <c r="AN30" s="97">
        <f t="shared" si="30"/>
        <v>0</v>
      </c>
      <c r="AO30" s="99"/>
      <c r="AP30" s="99">
        <f t="shared" si="16"/>
        <v>0</v>
      </c>
      <c r="AQ30" s="99"/>
      <c r="AR30" s="97">
        <f t="shared" si="30"/>
        <v>0</v>
      </c>
      <c r="AS30" s="99"/>
      <c r="AT30" s="99">
        <f t="shared" si="17"/>
        <v>0</v>
      </c>
      <c r="AU30" s="99"/>
      <c r="AV30" s="97">
        <f t="shared" si="30"/>
        <v>0</v>
      </c>
      <c r="AW30" s="99"/>
      <c r="AX30" s="99">
        <f t="shared" si="18"/>
        <v>0</v>
      </c>
      <c r="AY30" s="99"/>
      <c r="AZ30" s="97">
        <f t="shared" si="31"/>
        <v>0</v>
      </c>
      <c r="BA30" s="99"/>
      <c r="BB30" s="99">
        <f t="shared" si="19"/>
        <v>0</v>
      </c>
      <c r="BC30" s="99"/>
      <c r="BD30" s="97">
        <f t="shared" si="31"/>
        <v>0</v>
      </c>
      <c r="BE30" s="99"/>
      <c r="BF30" s="99" t="e">
        <f t="shared" si="32"/>
        <v>#DIV/0!</v>
      </c>
      <c r="BG30" s="99"/>
      <c r="BH30" s="97">
        <f t="shared" si="31"/>
        <v>0</v>
      </c>
      <c r="BI30" s="99"/>
      <c r="BJ30" s="99">
        <f t="shared" si="20"/>
        <v>0</v>
      </c>
      <c r="BK30" s="99"/>
      <c r="BL30" s="97">
        <f t="shared" si="31"/>
        <v>0</v>
      </c>
      <c r="BM30" s="99"/>
      <c r="BN30" s="99">
        <f t="shared" si="21"/>
        <v>0</v>
      </c>
      <c r="BO30" s="235">
        <f t="shared" si="22"/>
        <v>12000</v>
      </c>
      <c r="BP30" s="235">
        <f t="shared" si="23"/>
        <v>12000</v>
      </c>
      <c r="BQ30" s="235">
        <f t="shared" si="24"/>
        <v>17149</v>
      </c>
      <c r="BR30" s="235">
        <f t="shared" si="25"/>
        <v>142.90833333333333</v>
      </c>
    </row>
    <row r="31" spans="1:70" ht="31.5" x14ac:dyDescent="0.2">
      <c r="A31" s="165" t="s">
        <v>141</v>
      </c>
      <c r="B31" s="199" t="s">
        <v>3</v>
      </c>
      <c r="C31" s="163">
        <f>C33+C41*2+C43+C48</f>
        <v>25344</v>
      </c>
      <c r="D31" s="163">
        <f>D33+D41*2+D43+D48</f>
        <v>25344</v>
      </c>
      <c r="E31" s="163">
        <f>E33+E41*2+E43+E48+E42</f>
        <v>17868</v>
      </c>
      <c r="F31" s="163">
        <f t="shared" si="7"/>
        <v>70.501893939393938</v>
      </c>
      <c r="G31" s="163">
        <f>G33+G41*2+G43+G48</f>
        <v>10008</v>
      </c>
      <c r="H31" s="163">
        <f>H33+H41*2+H43+H48</f>
        <v>10008</v>
      </c>
      <c r="I31" s="163">
        <f>I33+I41*2+I43+I48+I42</f>
        <v>9031</v>
      </c>
      <c r="J31" s="163">
        <f t="shared" si="8"/>
        <v>90.237809752198245</v>
      </c>
      <c r="K31" s="163">
        <f>K33+K41*2+K43+K48</f>
        <v>10000</v>
      </c>
      <c r="L31" s="163">
        <f>L33+L41*2+L43+L48</f>
        <v>10000</v>
      </c>
      <c r="M31" s="163">
        <f>M33+M41*2+M43+M48+M42</f>
        <v>8454</v>
      </c>
      <c r="N31" s="163">
        <f t="shared" si="9"/>
        <v>84.54</v>
      </c>
      <c r="O31" s="163">
        <f>O33+O41*2+O43+O48</f>
        <v>28195</v>
      </c>
      <c r="P31" s="163">
        <f>P33+P41*2+P43+P48</f>
        <v>28195</v>
      </c>
      <c r="Q31" s="163">
        <f>Q33+Q41*2+Q43+Q48+Q42</f>
        <v>27631</v>
      </c>
      <c r="R31" s="163">
        <f t="shared" si="10"/>
        <v>97.999645327185675</v>
      </c>
      <c r="S31" s="163">
        <f>S33+S41*2+S43+S48</f>
        <v>0</v>
      </c>
      <c r="T31" s="162">
        <f t="shared" si="29"/>
        <v>0</v>
      </c>
      <c r="U31" s="163">
        <f>U33+U41+U43+U48</f>
        <v>0</v>
      </c>
      <c r="V31" s="163">
        <f t="shared" si="11"/>
        <v>0</v>
      </c>
      <c r="W31" s="163">
        <f>W33+W41*2+W43+W48</f>
        <v>0</v>
      </c>
      <c r="X31" s="162">
        <f t="shared" si="29"/>
        <v>0</v>
      </c>
      <c r="Y31" s="163">
        <f>Y33+Y41+Y43+Y48</f>
        <v>0</v>
      </c>
      <c r="Z31" s="163">
        <f t="shared" si="12"/>
        <v>0</v>
      </c>
      <c r="AA31" s="163">
        <f>AA33+AA41*2+AA43+AA48</f>
        <v>0</v>
      </c>
      <c r="AB31" s="162">
        <f t="shared" si="29"/>
        <v>0</v>
      </c>
      <c r="AC31" s="163">
        <f>AC33+AC41+AC43+AC48</f>
        <v>0</v>
      </c>
      <c r="AD31" s="163">
        <f t="shared" si="13"/>
        <v>0</v>
      </c>
      <c r="AE31" s="163">
        <f>AE33+AE41*2+AE43+AE48</f>
        <v>0</v>
      </c>
      <c r="AF31" s="162">
        <f t="shared" si="29"/>
        <v>0</v>
      </c>
      <c r="AG31" s="163">
        <f>AG33+AG41+AG43+AG48</f>
        <v>0</v>
      </c>
      <c r="AH31" s="163">
        <f t="shared" si="14"/>
        <v>0</v>
      </c>
      <c r="AI31" s="163">
        <f>AI33+AI41*2+AI43+AI48</f>
        <v>0</v>
      </c>
      <c r="AJ31" s="162">
        <f t="shared" si="30"/>
        <v>0</v>
      </c>
      <c r="AK31" s="163">
        <f>AK33+AK41+AK43+AK48</f>
        <v>0</v>
      </c>
      <c r="AL31" s="163">
        <f t="shared" si="15"/>
        <v>0</v>
      </c>
      <c r="AM31" s="163">
        <f>AM33+AM41*2+AM43+AM48</f>
        <v>0</v>
      </c>
      <c r="AN31" s="162">
        <f t="shared" si="30"/>
        <v>0</v>
      </c>
      <c r="AO31" s="163">
        <f>AO33+AO41+AO43+AO48</f>
        <v>0</v>
      </c>
      <c r="AP31" s="163">
        <f t="shared" si="16"/>
        <v>0</v>
      </c>
      <c r="AQ31" s="163">
        <f>AQ33+AQ41*2+AQ43+AQ48</f>
        <v>0</v>
      </c>
      <c r="AR31" s="162">
        <f t="shared" si="30"/>
        <v>0</v>
      </c>
      <c r="AS31" s="163">
        <f>AS33+AS41+AS43+AS48</f>
        <v>0</v>
      </c>
      <c r="AT31" s="163">
        <f t="shared" si="17"/>
        <v>0</v>
      </c>
      <c r="AU31" s="163">
        <f>AU33+AU41*2+AU43+AU48</f>
        <v>5141</v>
      </c>
      <c r="AV31" s="163">
        <f>AV33+AV41*2+AV43+AV48</f>
        <v>5141</v>
      </c>
      <c r="AW31" s="163">
        <f>AW33+AW41+AW43+AW48</f>
        <v>5107</v>
      </c>
      <c r="AX31" s="163">
        <f t="shared" si="18"/>
        <v>99.338650068080142</v>
      </c>
      <c r="AY31" s="163">
        <f>AY33+AY41*2+AY43+AY48</f>
        <v>4400</v>
      </c>
      <c r="AZ31" s="162">
        <f t="shared" si="31"/>
        <v>4400</v>
      </c>
      <c r="BA31" s="163">
        <f>BA33+BA41*2+BA43+BA48+BA42</f>
        <v>4988</v>
      </c>
      <c r="BB31" s="163">
        <f t="shared" si="19"/>
        <v>113.36363636363636</v>
      </c>
      <c r="BC31" s="163">
        <f>BC33+BC41*2+BC43+BC48</f>
        <v>0</v>
      </c>
      <c r="BD31" s="162">
        <f t="shared" si="31"/>
        <v>0</v>
      </c>
      <c r="BE31" s="163">
        <f>BE33+BE41*2+BE43+BE48</f>
        <v>0</v>
      </c>
      <c r="BF31" s="163" t="e">
        <f t="shared" si="32"/>
        <v>#DIV/0!</v>
      </c>
      <c r="BG31" s="163">
        <f>BG33+BG41*2+BG43+BG48</f>
        <v>2703</v>
      </c>
      <c r="BH31" s="163">
        <f>BH33+BH41*2+BH43+BH48</f>
        <v>2703</v>
      </c>
      <c r="BI31" s="163">
        <f>BI33+BI41*2+BI43+BI48+BI42</f>
        <v>1817</v>
      </c>
      <c r="BJ31" s="163">
        <f t="shared" si="20"/>
        <v>67.221605623381436</v>
      </c>
      <c r="BK31" s="163">
        <f>BK33+BK41*2+BK43+BK48</f>
        <v>2600</v>
      </c>
      <c r="BL31" s="163">
        <f>BL33+BL41*2+BL43+BL48</f>
        <v>2600</v>
      </c>
      <c r="BM31" s="163">
        <f>BM33+BM41*2+BM43+BM48+BM42</f>
        <v>1966</v>
      </c>
      <c r="BN31" s="163">
        <f t="shared" si="21"/>
        <v>75.615384615384613</v>
      </c>
      <c r="BO31" s="235">
        <f t="shared" si="22"/>
        <v>88391</v>
      </c>
      <c r="BP31" s="235">
        <f t="shared" si="23"/>
        <v>88391</v>
      </c>
      <c r="BQ31" s="235">
        <f t="shared" si="24"/>
        <v>76862</v>
      </c>
      <c r="BR31" s="235">
        <f t="shared" si="25"/>
        <v>86.956816870495871</v>
      </c>
    </row>
    <row r="32" spans="1:70" ht="15.75" x14ac:dyDescent="0.2">
      <c r="A32" s="154" t="s">
        <v>132</v>
      </c>
      <c r="B32" s="200"/>
      <c r="C32" s="212"/>
      <c r="D32" s="97">
        <f t="shared" si="28"/>
        <v>0</v>
      </c>
      <c r="E32" s="212"/>
      <c r="F32" s="99">
        <f t="shared" si="7"/>
        <v>0</v>
      </c>
      <c r="G32" s="212"/>
      <c r="H32" s="97">
        <f t="shared" si="28"/>
        <v>0</v>
      </c>
      <c r="I32" s="212"/>
      <c r="J32" s="99">
        <f t="shared" si="8"/>
        <v>0</v>
      </c>
      <c r="K32" s="212"/>
      <c r="L32" s="97">
        <f t="shared" si="28"/>
        <v>0</v>
      </c>
      <c r="M32" s="212"/>
      <c r="N32" s="99">
        <f t="shared" si="9"/>
        <v>0</v>
      </c>
      <c r="O32" s="212"/>
      <c r="P32" s="97">
        <f t="shared" si="28"/>
        <v>0</v>
      </c>
      <c r="Q32" s="212"/>
      <c r="R32" s="99">
        <f t="shared" si="10"/>
        <v>0</v>
      </c>
      <c r="S32" s="212"/>
      <c r="T32" s="97">
        <f t="shared" si="29"/>
        <v>0</v>
      </c>
      <c r="U32" s="212"/>
      <c r="V32" s="99">
        <f t="shared" si="11"/>
        <v>0</v>
      </c>
      <c r="W32" s="212"/>
      <c r="X32" s="97">
        <f t="shared" si="29"/>
        <v>0</v>
      </c>
      <c r="Y32" s="212"/>
      <c r="Z32" s="99">
        <f t="shared" si="12"/>
        <v>0</v>
      </c>
      <c r="AA32" s="212"/>
      <c r="AB32" s="97">
        <f t="shared" si="29"/>
        <v>0</v>
      </c>
      <c r="AC32" s="212"/>
      <c r="AD32" s="99">
        <f t="shared" si="13"/>
        <v>0</v>
      </c>
      <c r="AE32" s="212"/>
      <c r="AF32" s="97">
        <f t="shared" si="29"/>
        <v>0</v>
      </c>
      <c r="AG32" s="212"/>
      <c r="AH32" s="99">
        <f t="shared" si="14"/>
        <v>0</v>
      </c>
      <c r="AI32" s="212"/>
      <c r="AJ32" s="97">
        <f t="shared" si="30"/>
        <v>0</v>
      </c>
      <c r="AK32" s="212"/>
      <c r="AL32" s="99">
        <f t="shared" si="15"/>
        <v>0</v>
      </c>
      <c r="AM32" s="212"/>
      <c r="AN32" s="97">
        <f t="shared" si="30"/>
        <v>0</v>
      </c>
      <c r="AO32" s="212"/>
      <c r="AP32" s="99">
        <f t="shared" si="16"/>
        <v>0</v>
      </c>
      <c r="AQ32" s="212"/>
      <c r="AR32" s="97">
        <f t="shared" si="30"/>
        <v>0</v>
      </c>
      <c r="AS32" s="212"/>
      <c r="AT32" s="99">
        <f t="shared" si="17"/>
        <v>0</v>
      </c>
      <c r="AU32" s="212"/>
      <c r="AV32" s="97">
        <f t="shared" si="30"/>
        <v>0</v>
      </c>
      <c r="AW32" s="212"/>
      <c r="AX32" s="99">
        <f t="shared" si="18"/>
        <v>0</v>
      </c>
      <c r="AY32" s="212"/>
      <c r="AZ32" s="97">
        <f t="shared" si="31"/>
        <v>0</v>
      </c>
      <c r="BA32" s="212"/>
      <c r="BB32" s="99">
        <f t="shared" si="19"/>
        <v>0</v>
      </c>
      <c r="BC32" s="212"/>
      <c r="BD32" s="97">
        <f t="shared" si="31"/>
        <v>0</v>
      </c>
      <c r="BE32" s="212"/>
      <c r="BF32" s="99" t="e">
        <f t="shared" si="32"/>
        <v>#DIV/0!</v>
      </c>
      <c r="BG32" s="212"/>
      <c r="BH32" s="97">
        <f t="shared" si="31"/>
        <v>0</v>
      </c>
      <c r="BI32" s="212"/>
      <c r="BJ32" s="99">
        <f t="shared" si="20"/>
        <v>0</v>
      </c>
      <c r="BK32" s="212"/>
      <c r="BL32" s="97">
        <f t="shared" si="31"/>
        <v>0</v>
      </c>
      <c r="BM32" s="212"/>
      <c r="BN32" s="99">
        <f t="shared" si="21"/>
        <v>0</v>
      </c>
      <c r="BO32" s="235">
        <f t="shared" si="22"/>
        <v>0</v>
      </c>
      <c r="BP32" s="235">
        <f t="shared" si="23"/>
        <v>0</v>
      </c>
      <c r="BQ32" s="235">
        <f t="shared" si="24"/>
        <v>0</v>
      </c>
      <c r="BR32" s="235">
        <f t="shared" si="25"/>
        <v>0</v>
      </c>
    </row>
    <row r="33" spans="1:70" s="17" customFormat="1" ht="31.5" x14ac:dyDescent="0.2">
      <c r="A33" s="303" t="s">
        <v>142</v>
      </c>
      <c r="B33" s="201" t="s">
        <v>3</v>
      </c>
      <c r="C33" s="213">
        <f>C34+C35+C36+C37+C38+C39*2</f>
        <v>11500</v>
      </c>
      <c r="D33" s="213">
        <f>D34+D35+D36+D37+D38+D39*2</f>
        <v>11500</v>
      </c>
      <c r="E33" s="213">
        <f>E34+E35+E36+E37+E38+E39*2+E40</f>
        <v>9739</v>
      </c>
      <c r="F33" s="213">
        <f t="shared" si="7"/>
        <v>84.686956521739134</v>
      </c>
      <c r="G33" s="213">
        <f>G34+G35+G36+G37+G38+G39*2</f>
        <v>7000</v>
      </c>
      <c r="H33" s="213">
        <f>H34+H35+H36+H37+H38+H39*2</f>
        <v>7000</v>
      </c>
      <c r="I33" s="213">
        <f>I34+I35+I36+I37+I38+I39*2+I40</f>
        <v>6098</v>
      </c>
      <c r="J33" s="213">
        <f t="shared" si="8"/>
        <v>87.114285714285714</v>
      </c>
      <c r="K33" s="213">
        <f>K34+K35+K36+K37+K38+K39*2</f>
        <v>8000</v>
      </c>
      <c r="L33" s="213">
        <f>L34+L35+L36+L37+L38+L39*2</f>
        <v>8000</v>
      </c>
      <c r="M33" s="213">
        <f>M34+M35+M36+M37+M38+M39*2+M40</f>
        <v>7357</v>
      </c>
      <c r="N33" s="213">
        <f t="shared" si="9"/>
        <v>91.962500000000006</v>
      </c>
      <c r="O33" s="213">
        <f>O34+O35+O36+O37+O38+O39*2</f>
        <v>22195</v>
      </c>
      <c r="P33" s="213">
        <f>P34+P35+P36+P37+P38+P39*2</f>
        <v>22195</v>
      </c>
      <c r="Q33" s="213">
        <f>Q34+Q35+Q36+Q37+Q38+Q39*2+Q40</f>
        <v>20065</v>
      </c>
      <c r="R33" s="213">
        <f t="shared" si="10"/>
        <v>90.403243973867987</v>
      </c>
      <c r="S33" s="213">
        <f>S34+S35+S36+S37+S38+S39*2</f>
        <v>0</v>
      </c>
      <c r="T33" s="304">
        <f t="shared" si="29"/>
        <v>0</v>
      </c>
      <c r="U33" s="213">
        <f>U34+U35+U36+U37+U38+U39</f>
        <v>0</v>
      </c>
      <c r="V33" s="213">
        <f t="shared" si="11"/>
        <v>0</v>
      </c>
      <c r="W33" s="213">
        <f>W34+W35+W36+W37+W38+W39*2</f>
        <v>0</v>
      </c>
      <c r="X33" s="304">
        <f t="shared" si="29"/>
        <v>0</v>
      </c>
      <c r="Y33" s="213">
        <f>Y34+Y35+Y36+Y37+Y38+Y39</f>
        <v>0</v>
      </c>
      <c r="Z33" s="213">
        <f t="shared" si="12"/>
        <v>0</v>
      </c>
      <c r="AA33" s="213">
        <f>AA34+AA35+AA36+AA37+AA38+AA39*2</f>
        <v>0</v>
      </c>
      <c r="AB33" s="304">
        <f t="shared" si="29"/>
        <v>0</v>
      </c>
      <c r="AC33" s="213">
        <f>AC34+AC35+AC36+AC37+AC38+AC39</f>
        <v>0</v>
      </c>
      <c r="AD33" s="213">
        <f t="shared" si="13"/>
        <v>0</v>
      </c>
      <c r="AE33" s="213">
        <f>AE34+AE35+AE36+AE37+AE38+AE39*2</f>
        <v>0</v>
      </c>
      <c r="AF33" s="304">
        <f t="shared" si="29"/>
        <v>0</v>
      </c>
      <c r="AG33" s="213">
        <f>AG34+AG35+AG36+AG37+AG38+AG39</f>
        <v>0</v>
      </c>
      <c r="AH33" s="213">
        <f t="shared" si="14"/>
        <v>0</v>
      </c>
      <c r="AI33" s="213">
        <f>AI34+AI35+AI36+AI37+AI38+AI39*2</f>
        <v>0</v>
      </c>
      <c r="AJ33" s="304">
        <f t="shared" si="30"/>
        <v>0</v>
      </c>
      <c r="AK33" s="213">
        <f>AK34+AK35+AK36+AK37+AK38+AK39</f>
        <v>0</v>
      </c>
      <c r="AL33" s="213">
        <f t="shared" si="15"/>
        <v>0</v>
      </c>
      <c r="AM33" s="213">
        <f>AM34+AM35+AM36+AM37+AM38+AM39*2</f>
        <v>0</v>
      </c>
      <c r="AN33" s="304">
        <f t="shared" si="30"/>
        <v>0</v>
      </c>
      <c r="AO33" s="213">
        <f>AO34+AO35+AO36+AO37+AO38+AO39</f>
        <v>0</v>
      </c>
      <c r="AP33" s="213">
        <f t="shared" si="16"/>
        <v>0</v>
      </c>
      <c r="AQ33" s="213">
        <f>AQ34+AQ35+AQ36+AQ37+AQ38+AQ39*2</f>
        <v>0</v>
      </c>
      <c r="AR33" s="304">
        <f t="shared" si="30"/>
        <v>0</v>
      </c>
      <c r="AS33" s="213">
        <f>AS34+AS35+AS36+AS37+AS38+AS39</f>
        <v>0</v>
      </c>
      <c r="AT33" s="213">
        <f t="shared" si="17"/>
        <v>0</v>
      </c>
      <c r="AU33" s="213">
        <f>AU34+AU35+AU36+AU37+AU38+AU39*2</f>
        <v>0</v>
      </c>
      <c r="AV33" s="304">
        <f t="shared" si="30"/>
        <v>0</v>
      </c>
      <c r="AW33" s="213">
        <f>AW34+AW35+AW36+AW37+AW38+AW39</f>
        <v>0</v>
      </c>
      <c r="AX33" s="213">
        <f t="shared" si="18"/>
        <v>0</v>
      </c>
      <c r="AY33" s="213">
        <f>AY34+AY35+AY36+AY37+AY38+AY39*2</f>
        <v>4100</v>
      </c>
      <c r="AZ33" s="213">
        <f>AZ34+AZ35+AZ36+AZ37+AZ38+AZ39*2</f>
        <v>4100</v>
      </c>
      <c r="BA33" s="213">
        <f>BA34+BA35+BA36+BA37+BA38+BA39*2+BA40</f>
        <v>3709</v>
      </c>
      <c r="BB33" s="213">
        <f t="shared" si="19"/>
        <v>90.463414634146346</v>
      </c>
      <c r="BC33" s="213">
        <f>BC34+BC35+BC36+BC37+BC38+BC39*2</f>
        <v>0</v>
      </c>
      <c r="BD33" s="304">
        <f t="shared" si="31"/>
        <v>0</v>
      </c>
      <c r="BE33" s="213">
        <f>BE34+BE35+BE36+BE37+BE38+BE39*2</f>
        <v>0</v>
      </c>
      <c r="BF33" s="213" t="e">
        <f t="shared" si="32"/>
        <v>#DIV/0!</v>
      </c>
      <c r="BG33" s="213">
        <f>BG34+BG35+BG36+BG37+BG38+BG39*2</f>
        <v>1195</v>
      </c>
      <c r="BH33" s="213">
        <f>BH34+BH35+BH36+BH37+BH38+BH39*2</f>
        <v>1195</v>
      </c>
      <c r="BI33" s="213">
        <f>BI34+BI35+BI36+BI37+BI38+BI39*2+BI40</f>
        <v>996</v>
      </c>
      <c r="BJ33" s="213">
        <f t="shared" si="20"/>
        <v>83.34728033472804</v>
      </c>
      <c r="BK33" s="213">
        <f>BK34+BK35+BK36+BK37+BK38+BK39*2</f>
        <v>2400</v>
      </c>
      <c r="BL33" s="213">
        <f>BL34+BL35+BL36+BL37+BL38+BL39*2</f>
        <v>2400</v>
      </c>
      <c r="BM33" s="213">
        <f>BM34+BM35+BM36+BM37+BM38+BM39*2+BM40</f>
        <v>1669</v>
      </c>
      <c r="BN33" s="213">
        <f t="shared" si="21"/>
        <v>69.541666666666671</v>
      </c>
      <c r="BO33" s="305">
        <f t="shared" si="22"/>
        <v>56390</v>
      </c>
      <c r="BP33" s="305">
        <f t="shared" si="23"/>
        <v>56390</v>
      </c>
      <c r="BQ33" s="305">
        <f t="shared" si="24"/>
        <v>49633</v>
      </c>
      <c r="BR33" s="305">
        <f t="shared" si="25"/>
        <v>88.017378967902118</v>
      </c>
    </row>
    <row r="34" spans="1:70" ht="15.75" x14ac:dyDescent="0.2">
      <c r="A34" s="169" t="s">
        <v>143</v>
      </c>
      <c r="B34" s="201" t="s">
        <v>339</v>
      </c>
      <c r="C34" s="99">
        <v>800</v>
      </c>
      <c r="D34" s="97">
        <v>800</v>
      </c>
      <c r="E34" s="99">
        <v>1755</v>
      </c>
      <c r="F34" s="99">
        <f t="shared" si="7"/>
        <v>219.375</v>
      </c>
      <c r="G34" s="213">
        <v>1115</v>
      </c>
      <c r="H34" s="97">
        <v>1115</v>
      </c>
      <c r="I34" s="99">
        <v>1247</v>
      </c>
      <c r="J34" s="99">
        <f t="shared" si="8"/>
        <v>111.83856502242153</v>
      </c>
      <c r="K34" s="99">
        <v>900</v>
      </c>
      <c r="L34" s="97">
        <v>900</v>
      </c>
      <c r="M34" s="99">
        <v>1194</v>
      </c>
      <c r="N34" s="99">
        <f t="shared" si="9"/>
        <v>132.66666666666666</v>
      </c>
      <c r="O34" s="99">
        <v>2400</v>
      </c>
      <c r="P34" s="97">
        <v>2400</v>
      </c>
      <c r="Q34" s="99">
        <v>2483</v>
      </c>
      <c r="R34" s="99">
        <f t="shared" si="10"/>
        <v>103.45833333333334</v>
      </c>
      <c r="S34" s="213"/>
      <c r="T34" s="97">
        <f t="shared" si="29"/>
        <v>0</v>
      </c>
      <c r="U34" s="213"/>
      <c r="V34" s="99">
        <f t="shared" si="11"/>
        <v>0</v>
      </c>
      <c r="W34" s="213"/>
      <c r="X34" s="97">
        <f t="shared" si="29"/>
        <v>0</v>
      </c>
      <c r="Y34" s="213"/>
      <c r="Z34" s="99">
        <f t="shared" si="12"/>
        <v>0</v>
      </c>
      <c r="AA34" s="213"/>
      <c r="AB34" s="97">
        <f t="shared" si="29"/>
        <v>0</v>
      </c>
      <c r="AC34" s="213"/>
      <c r="AD34" s="99">
        <f t="shared" si="13"/>
        <v>0</v>
      </c>
      <c r="AE34" s="213"/>
      <c r="AF34" s="97">
        <f t="shared" si="29"/>
        <v>0</v>
      </c>
      <c r="AG34" s="213"/>
      <c r="AH34" s="99">
        <f t="shared" si="14"/>
        <v>0</v>
      </c>
      <c r="AI34" s="213"/>
      <c r="AJ34" s="97">
        <f t="shared" si="30"/>
        <v>0</v>
      </c>
      <c r="AK34" s="213"/>
      <c r="AL34" s="99">
        <f t="shared" si="15"/>
        <v>0</v>
      </c>
      <c r="AM34" s="213"/>
      <c r="AN34" s="97">
        <f t="shared" si="30"/>
        <v>0</v>
      </c>
      <c r="AO34" s="213"/>
      <c r="AP34" s="99">
        <f t="shared" si="16"/>
        <v>0</v>
      </c>
      <c r="AQ34" s="213"/>
      <c r="AR34" s="97">
        <f t="shared" si="30"/>
        <v>0</v>
      </c>
      <c r="AS34" s="99"/>
      <c r="AT34" s="99">
        <f t="shared" si="17"/>
        <v>0</v>
      </c>
      <c r="AU34" s="99"/>
      <c r="AV34" s="97">
        <f t="shared" si="30"/>
        <v>0</v>
      </c>
      <c r="AW34" s="213"/>
      <c r="AX34" s="99">
        <f t="shared" si="18"/>
        <v>0</v>
      </c>
      <c r="AY34" s="99">
        <v>884</v>
      </c>
      <c r="AZ34" s="99">
        <v>884</v>
      </c>
      <c r="BA34" s="99">
        <v>1011</v>
      </c>
      <c r="BB34" s="99">
        <f t="shared" si="19"/>
        <v>114.36651583710406</v>
      </c>
      <c r="BC34" s="213"/>
      <c r="BD34" s="97">
        <f t="shared" si="31"/>
        <v>0</v>
      </c>
      <c r="BE34" s="213"/>
      <c r="BF34" s="99" t="e">
        <f t="shared" si="32"/>
        <v>#DIV/0!</v>
      </c>
      <c r="BG34" s="213">
        <v>165</v>
      </c>
      <c r="BH34" s="195">
        <v>165</v>
      </c>
      <c r="BI34" s="99">
        <v>237</v>
      </c>
      <c r="BJ34" s="99">
        <f t="shared" si="20"/>
        <v>143.63636363636363</v>
      </c>
      <c r="BK34" s="99">
        <v>500</v>
      </c>
      <c r="BL34" s="195">
        <v>500</v>
      </c>
      <c r="BM34" s="99">
        <v>734</v>
      </c>
      <c r="BN34" s="99">
        <f t="shared" si="21"/>
        <v>146.80000000000001</v>
      </c>
      <c r="BO34" s="235">
        <f t="shared" si="22"/>
        <v>6764</v>
      </c>
      <c r="BP34" s="235">
        <f t="shared" si="23"/>
        <v>6764</v>
      </c>
      <c r="BQ34" s="235">
        <f t="shared" si="24"/>
        <v>8661</v>
      </c>
      <c r="BR34" s="235">
        <f t="shared" si="25"/>
        <v>128.04553518628029</v>
      </c>
    </row>
    <row r="35" spans="1:70" ht="15.75" x14ac:dyDescent="0.2">
      <c r="A35" s="169" t="s">
        <v>144</v>
      </c>
      <c r="B35" s="201" t="s">
        <v>339</v>
      </c>
      <c r="C35" s="269">
        <v>1400</v>
      </c>
      <c r="D35" s="97">
        <v>1400</v>
      </c>
      <c r="E35" s="214">
        <v>1935</v>
      </c>
      <c r="F35" s="99">
        <f t="shared" si="7"/>
        <v>138.21428571428572</v>
      </c>
      <c r="G35" s="214">
        <v>869</v>
      </c>
      <c r="H35" s="97">
        <v>869</v>
      </c>
      <c r="I35" s="214">
        <v>879</v>
      </c>
      <c r="J35" s="99">
        <f t="shared" si="8"/>
        <v>101.15074798619102</v>
      </c>
      <c r="K35" s="214">
        <v>900</v>
      </c>
      <c r="L35" s="97">
        <v>900</v>
      </c>
      <c r="M35" s="214">
        <v>1504</v>
      </c>
      <c r="N35" s="99">
        <f t="shared" si="9"/>
        <v>167.11111111111111</v>
      </c>
      <c r="O35" s="214">
        <v>3265</v>
      </c>
      <c r="P35" s="97">
        <v>3265</v>
      </c>
      <c r="Q35" s="269">
        <v>3403</v>
      </c>
      <c r="R35" s="99">
        <f t="shared" si="10"/>
        <v>104.22664624808576</v>
      </c>
      <c r="S35" s="214"/>
      <c r="T35" s="97">
        <f t="shared" si="29"/>
        <v>0</v>
      </c>
      <c r="U35" s="214"/>
      <c r="V35" s="99">
        <f t="shared" si="11"/>
        <v>0</v>
      </c>
      <c r="W35" s="214"/>
      <c r="X35" s="97">
        <f t="shared" si="29"/>
        <v>0</v>
      </c>
      <c r="Y35" s="214"/>
      <c r="Z35" s="99">
        <f t="shared" si="12"/>
        <v>0</v>
      </c>
      <c r="AA35" s="214"/>
      <c r="AB35" s="97">
        <f t="shared" si="29"/>
        <v>0</v>
      </c>
      <c r="AC35" s="214"/>
      <c r="AD35" s="99">
        <f t="shared" si="13"/>
        <v>0</v>
      </c>
      <c r="AE35" s="214"/>
      <c r="AF35" s="97">
        <f t="shared" si="29"/>
        <v>0</v>
      </c>
      <c r="AG35" s="214"/>
      <c r="AH35" s="99">
        <f t="shared" si="14"/>
        <v>0</v>
      </c>
      <c r="AI35" s="214"/>
      <c r="AJ35" s="97">
        <f t="shared" si="30"/>
        <v>0</v>
      </c>
      <c r="AK35" s="214"/>
      <c r="AL35" s="99">
        <f t="shared" si="15"/>
        <v>0</v>
      </c>
      <c r="AM35" s="214"/>
      <c r="AN35" s="97">
        <f t="shared" si="30"/>
        <v>0</v>
      </c>
      <c r="AO35" s="214"/>
      <c r="AP35" s="99">
        <f t="shared" si="16"/>
        <v>0</v>
      </c>
      <c r="AQ35" s="214"/>
      <c r="AR35" s="97">
        <f t="shared" si="30"/>
        <v>0</v>
      </c>
      <c r="AS35" s="214"/>
      <c r="AT35" s="99">
        <f t="shared" si="17"/>
        <v>0</v>
      </c>
      <c r="AU35" s="214"/>
      <c r="AV35" s="97">
        <f t="shared" si="30"/>
        <v>0</v>
      </c>
      <c r="AW35" s="214"/>
      <c r="AX35" s="99">
        <f t="shared" si="18"/>
        <v>0</v>
      </c>
      <c r="AY35" s="214">
        <v>514</v>
      </c>
      <c r="AZ35" s="214">
        <v>514</v>
      </c>
      <c r="BA35" s="269">
        <v>511</v>
      </c>
      <c r="BB35" s="99">
        <f t="shared" si="19"/>
        <v>99.416342412451371</v>
      </c>
      <c r="BC35" s="214"/>
      <c r="BD35" s="97">
        <f t="shared" si="31"/>
        <v>0</v>
      </c>
      <c r="BE35" s="214"/>
      <c r="BF35" s="99" t="e">
        <f t="shared" si="32"/>
        <v>#DIV/0!</v>
      </c>
      <c r="BG35" s="214">
        <v>100</v>
      </c>
      <c r="BH35" s="195">
        <v>100</v>
      </c>
      <c r="BI35" s="269">
        <v>92</v>
      </c>
      <c r="BJ35" s="99">
        <f t="shared" si="20"/>
        <v>92</v>
      </c>
      <c r="BK35" s="214">
        <v>200</v>
      </c>
      <c r="BL35" s="195">
        <v>200</v>
      </c>
      <c r="BM35" s="214">
        <v>194</v>
      </c>
      <c r="BN35" s="99">
        <f t="shared" si="21"/>
        <v>97</v>
      </c>
      <c r="BO35" s="235">
        <f t="shared" si="22"/>
        <v>7248</v>
      </c>
      <c r="BP35" s="235">
        <f t="shared" si="23"/>
        <v>7248</v>
      </c>
      <c r="BQ35" s="235">
        <f t="shared" si="24"/>
        <v>8518</v>
      </c>
      <c r="BR35" s="235">
        <f t="shared" si="25"/>
        <v>117.52207505518764</v>
      </c>
    </row>
    <row r="36" spans="1:70" ht="15.75" x14ac:dyDescent="0.2">
      <c r="A36" s="169" t="s">
        <v>145</v>
      </c>
      <c r="B36" s="201" t="s">
        <v>339</v>
      </c>
      <c r="C36" s="269">
        <v>500</v>
      </c>
      <c r="D36" s="97">
        <v>500</v>
      </c>
      <c r="E36" s="214">
        <v>359</v>
      </c>
      <c r="F36" s="99">
        <f t="shared" si="7"/>
        <v>71.8</v>
      </c>
      <c r="G36" s="214">
        <v>265</v>
      </c>
      <c r="H36" s="97">
        <v>265</v>
      </c>
      <c r="I36" s="214">
        <v>331</v>
      </c>
      <c r="J36" s="99">
        <f t="shared" si="8"/>
        <v>124.90566037735849</v>
      </c>
      <c r="K36" s="214">
        <v>300</v>
      </c>
      <c r="L36" s="97">
        <v>300</v>
      </c>
      <c r="M36" s="214">
        <v>177</v>
      </c>
      <c r="N36" s="99">
        <f t="shared" si="9"/>
        <v>59</v>
      </c>
      <c r="O36" s="214">
        <v>800</v>
      </c>
      <c r="P36" s="97">
        <v>800</v>
      </c>
      <c r="Q36" s="269">
        <v>595</v>
      </c>
      <c r="R36" s="99">
        <f t="shared" si="10"/>
        <v>74.375</v>
      </c>
      <c r="S36" s="214"/>
      <c r="T36" s="97">
        <f t="shared" si="29"/>
        <v>0</v>
      </c>
      <c r="U36" s="214"/>
      <c r="V36" s="99">
        <f t="shared" si="11"/>
        <v>0</v>
      </c>
      <c r="W36" s="214"/>
      <c r="X36" s="97">
        <f t="shared" si="29"/>
        <v>0</v>
      </c>
      <c r="Y36" s="214"/>
      <c r="Z36" s="99">
        <f t="shared" si="12"/>
        <v>0</v>
      </c>
      <c r="AA36" s="214"/>
      <c r="AB36" s="97">
        <f t="shared" si="29"/>
        <v>0</v>
      </c>
      <c r="AC36" s="214"/>
      <c r="AD36" s="99">
        <f t="shared" si="13"/>
        <v>0</v>
      </c>
      <c r="AE36" s="214"/>
      <c r="AF36" s="97">
        <f t="shared" si="29"/>
        <v>0</v>
      </c>
      <c r="AG36" s="214"/>
      <c r="AH36" s="99">
        <f t="shared" si="14"/>
        <v>0</v>
      </c>
      <c r="AI36" s="214"/>
      <c r="AJ36" s="97">
        <f t="shared" si="30"/>
        <v>0</v>
      </c>
      <c r="AK36" s="214"/>
      <c r="AL36" s="99">
        <f t="shared" si="15"/>
        <v>0</v>
      </c>
      <c r="AM36" s="214"/>
      <c r="AN36" s="97">
        <f t="shared" si="30"/>
        <v>0</v>
      </c>
      <c r="AO36" s="214"/>
      <c r="AP36" s="99">
        <f t="shared" si="16"/>
        <v>0</v>
      </c>
      <c r="AQ36" s="214"/>
      <c r="AR36" s="97">
        <f t="shared" si="30"/>
        <v>0</v>
      </c>
      <c r="AS36" s="214"/>
      <c r="AT36" s="99">
        <f t="shared" si="17"/>
        <v>0</v>
      </c>
      <c r="AU36" s="214"/>
      <c r="AV36" s="97">
        <f t="shared" si="30"/>
        <v>0</v>
      </c>
      <c r="AW36" s="214"/>
      <c r="AX36" s="99">
        <f t="shared" si="18"/>
        <v>0</v>
      </c>
      <c r="AY36" s="214">
        <v>293</v>
      </c>
      <c r="AZ36" s="214">
        <v>293</v>
      </c>
      <c r="BA36" s="269">
        <v>207</v>
      </c>
      <c r="BB36" s="99">
        <f t="shared" si="19"/>
        <v>70.648464163822524</v>
      </c>
      <c r="BC36" s="214"/>
      <c r="BD36" s="97">
        <f t="shared" si="31"/>
        <v>0</v>
      </c>
      <c r="BE36" s="214"/>
      <c r="BF36" s="99" t="e">
        <f t="shared" si="32"/>
        <v>#DIV/0!</v>
      </c>
      <c r="BG36" s="214">
        <v>85</v>
      </c>
      <c r="BH36" s="195">
        <v>85</v>
      </c>
      <c r="BI36" s="269">
        <v>50</v>
      </c>
      <c r="BJ36" s="99">
        <f t="shared" si="20"/>
        <v>58.82352941176471</v>
      </c>
      <c r="BK36" s="214">
        <v>200</v>
      </c>
      <c r="BL36" s="195">
        <v>200</v>
      </c>
      <c r="BM36" s="214">
        <v>120</v>
      </c>
      <c r="BN36" s="99">
        <f t="shared" si="21"/>
        <v>60</v>
      </c>
      <c r="BO36" s="235">
        <f t="shared" si="22"/>
        <v>2443</v>
      </c>
      <c r="BP36" s="235">
        <f t="shared" si="23"/>
        <v>2443</v>
      </c>
      <c r="BQ36" s="235">
        <f t="shared" si="24"/>
        <v>1839</v>
      </c>
      <c r="BR36" s="235">
        <f t="shared" si="25"/>
        <v>75.276299631600494</v>
      </c>
    </row>
    <row r="37" spans="1:70" ht="15.75" x14ac:dyDescent="0.2">
      <c r="A37" s="169" t="s">
        <v>146</v>
      </c>
      <c r="B37" s="201" t="s">
        <v>339</v>
      </c>
      <c r="C37" s="269">
        <v>800</v>
      </c>
      <c r="D37" s="97">
        <v>800</v>
      </c>
      <c r="E37" s="214">
        <v>433</v>
      </c>
      <c r="F37" s="99">
        <f t="shared" si="7"/>
        <v>54.125</v>
      </c>
      <c r="G37" s="214">
        <v>251</v>
      </c>
      <c r="H37" s="97">
        <v>251</v>
      </c>
      <c r="I37" s="214">
        <v>290</v>
      </c>
      <c r="J37" s="99">
        <f t="shared" si="8"/>
        <v>115.53784860557769</v>
      </c>
      <c r="K37" s="214">
        <v>400</v>
      </c>
      <c r="L37" s="97">
        <v>400</v>
      </c>
      <c r="M37" s="214">
        <v>265</v>
      </c>
      <c r="N37" s="99">
        <f t="shared" si="9"/>
        <v>66.25</v>
      </c>
      <c r="O37" s="214">
        <v>1000</v>
      </c>
      <c r="P37" s="97">
        <v>1000</v>
      </c>
      <c r="Q37" s="269">
        <v>937</v>
      </c>
      <c r="R37" s="99">
        <f t="shared" si="10"/>
        <v>93.7</v>
      </c>
      <c r="S37" s="214"/>
      <c r="T37" s="97">
        <f t="shared" si="29"/>
        <v>0</v>
      </c>
      <c r="U37" s="214"/>
      <c r="V37" s="99">
        <f t="shared" si="11"/>
        <v>0</v>
      </c>
      <c r="W37" s="214"/>
      <c r="X37" s="97">
        <f t="shared" si="29"/>
        <v>0</v>
      </c>
      <c r="Y37" s="214"/>
      <c r="Z37" s="99">
        <f t="shared" si="12"/>
        <v>0</v>
      </c>
      <c r="AA37" s="214"/>
      <c r="AB37" s="97">
        <f t="shared" si="29"/>
        <v>0</v>
      </c>
      <c r="AC37" s="214"/>
      <c r="AD37" s="99">
        <f t="shared" si="13"/>
        <v>0</v>
      </c>
      <c r="AE37" s="214"/>
      <c r="AF37" s="97">
        <f t="shared" si="29"/>
        <v>0</v>
      </c>
      <c r="AG37" s="214"/>
      <c r="AH37" s="99">
        <f t="shared" si="14"/>
        <v>0</v>
      </c>
      <c r="AI37" s="214"/>
      <c r="AJ37" s="97">
        <f t="shared" si="30"/>
        <v>0</v>
      </c>
      <c r="AK37" s="214"/>
      <c r="AL37" s="99">
        <f t="shared" si="15"/>
        <v>0</v>
      </c>
      <c r="AM37" s="214"/>
      <c r="AN37" s="97">
        <f t="shared" si="30"/>
        <v>0</v>
      </c>
      <c r="AO37" s="214"/>
      <c r="AP37" s="99">
        <f t="shared" si="16"/>
        <v>0</v>
      </c>
      <c r="AQ37" s="214"/>
      <c r="AR37" s="97">
        <f t="shared" si="30"/>
        <v>0</v>
      </c>
      <c r="AS37" s="214"/>
      <c r="AT37" s="99">
        <f t="shared" si="17"/>
        <v>0</v>
      </c>
      <c r="AU37" s="214"/>
      <c r="AV37" s="97">
        <f t="shared" si="30"/>
        <v>0</v>
      </c>
      <c r="AW37" s="214"/>
      <c r="AX37" s="99">
        <f t="shared" si="18"/>
        <v>0</v>
      </c>
      <c r="AY37" s="214">
        <v>300</v>
      </c>
      <c r="AZ37" s="214">
        <v>300</v>
      </c>
      <c r="BA37" s="269">
        <v>191</v>
      </c>
      <c r="BB37" s="99">
        <f t="shared" si="19"/>
        <v>63.666666666666671</v>
      </c>
      <c r="BC37" s="214"/>
      <c r="BD37" s="97">
        <f t="shared" si="31"/>
        <v>0</v>
      </c>
      <c r="BE37" s="214"/>
      <c r="BF37" s="99" t="e">
        <f t="shared" si="32"/>
        <v>#DIV/0!</v>
      </c>
      <c r="BG37" s="214">
        <v>55</v>
      </c>
      <c r="BH37" s="195">
        <v>55</v>
      </c>
      <c r="BI37" s="269">
        <v>35</v>
      </c>
      <c r="BJ37" s="99">
        <f t="shared" si="20"/>
        <v>63.636363636363633</v>
      </c>
      <c r="BK37" s="214">
        <v>200</v>
      </c>
      <c r="BL37" s="195">
        <v>200</v>
      </c>
      <c r="BM37" s="214">
        <v>71</v>
      </c>
      <c r="BN37" s="99">
        <f t="shared" si="21"/>
        <v>35.5</v>
      </c>
      <c r="BO37" s="235">
        <f t="shared" si="22"/>
        <v>3006</v>
      </c>
      <c r="BP37" s="235">
        <f t="shared" si="23"/>
        <v>3006</v>
      </c>
      <c r="BQ37" s="235">
        <f t="shared" si="24"/>
        <v>2222</v>
      </c>
      <c r="BR37" s="235">
        <f t="shared" si="25"/>
        <v>73.918829008649368</v>
      </c>
    </row>
    <row r="38" spans="1:70" ht="15.75" x14ac:dyDescent="0.2">
      <c r="A38" s="169" t="s">
        <v>147</v>
      </c>
      <c r="B38" s="201" t="s">
        <v>339</v>
      </c>
      <c r="C38" s="269">
        <v>1000</v>
      </c>
      <c r="D38" s="97">
        <v>1000</v>
      </c>
      <c r="E38" s="214">
        <v>1208</v>
      </c>
      <c r="F38" s="99">
        <f t="shared" si="7"/>
        <v>120.8</v>
      </c>
      <c r="G38" s="214">
        <v>1500</v>
      </c>
      <c r="H38" s="97">
        <v>1500</v>
      </c>
      <c r="I38" s="214">
        <v>1249</v>
      </c>
      <c r="J38" s="99">
        <f t="shared" si="8"/>
        <v>83.266666666666666</v>
      </c>
      <c r="K38" s="214">
        <v>1500</v>
      </c>
      <c r="L38" s="97">
        <v>1500</v>
      </c>
      <c r="M38" s="214">
        <v>953</v>
      </c>
      <c r="N38" s="99">
        <f t="shared" si="9"/>
        <v>63.533333333333331</v>
      </c>
      <c r="O38" s="214">
        <v>3000</v>
      </c>
      <c r="P38" s="97">
        <v>3000</v>
      </c>
      <c r="Q38" s="269">
        <v>3025</v>
      </c>
      <c r="R38" s="99">
        <f t="shared" si="10"/>
        <v>100.83333333333333</v>
      </c>
      <c r="S38" s="214"/>
      <c r="T38" s="97">
        <f t="shared" si="29"/>
        <v>0</v>
      </c>
      <c r="U38" s="214"/>
      <c r="V38" s="99">
        <f t="shared" si="11"/>
        <v>0</v>
      </c>
      <c r="W38" s="214"/>
      <c r="X38" s="97">
        <f t="shared" si="29"/>
        <v>0</v>
      </c>
      <c r="Y38" s="214"/>
      <c r="Z38" s="99">
        <f t="shared" si="12"/>
        <v>0</v>
      </c>
      <c r="AA38" s="214"/>
      <c r="AB38" s="97">
        <f t="shared" si="29"/>
        <v>0</v>
      </c>
      <c r="AC38" s="214"/>
      <c r="AD38" s="99">
        <f t="shared" si="13"/>
        <v>0</v>
      </c>
      <c r="AE38" s="214"/>
      <c r="AF38" s="97">
        <f t="shared" si="29"/>
        <v>0</v>
      </c>
      <c r="AG38" s="214"/>
      <c r="AH38" s="99">
        <f t="shared" si="14"/>
        <v>0</v>
      </c>
      <c r="AI38" s="214"/>
      <c r="AJ38" s="97">
        <f t="shared" si="30"/>
        <v>0</v>
      </c>
      <c r="AK38" s="214"/>
      <c r="AL38" s="99">
        <f t="shared" si="15"/>
        <v>0</v>
      </c>
      <c r="AM38" s="214"/>
      <c r="AN38" s="97">
        <f t="shared" si="30"/>
        <v>0</v>
      </c>
      <c r="AO38" s="214"/>
      <c r="AP38" s="99">
        <f t="shared" si="16"/>
        <v>0</v>
      </c>
      <c r="AQ38" s="214"/>
      <c r="AR38" s="97">
        <f t="shared" si="30"/>
        <v>0</v>
      </c>
      <c r="AS38" s="214"/>
      <c r="AT38" s="99">
        <f t="shared" si="17"/>
        <v>0</v>
      </c>
      <c r="AU38" s="214"/>
      <c r="AV38" s="97">
        <f t="shared" si="30"/>
        <v>0</v>
      </c>
      <c r="AW38" s="214"/>
      <c r="AX38" s="99">
        <f t="shared" si="18"/>
        <v>0</v>
      </c>
      <c r="AY38" s="214">
        <v>569</v>
      </c>
      <c r="AZ38" s="214">
        <v>569</v>
      </c>
      <c r="BA38" s="269">
        <v>616</v>
      </c>
      <c r="BB38" s="99">
        <f t="shared" si="19"/>
        <v>108.26010544815465</v>
      </c>
      <c r="BC38" s="214"/>
      <c r="BD38" s="97">
        <f t="shared" si="31"/>
        <v>0</v>
      </c>
      <c r="BE38" s="214"/>
      <c r="BF38" s="99" t="e">
        <f t="shared" si="32"/>
        <v>#DIV/0!</v>
      </c>
      <c r="BG38" s="214">
        <v>240</v>
      </c>
      <c r="BH38" s="195">
        <v>240</v>
      </c>
      <c r="BI38" s="269">
        <v>246</v>
      </c>
      <c r="BJ38" s="99">
        <f t="shared" si="20"/>
        <v>102.49999999999999</v>
      </c>
      <c r="BK38" s="214">
        <v>500</v>
      </c>
      <c r="BL38" s="195">
        <v>500</v>
      </c>
      <c r="BM38" s="214">
        <v>253</v>
      </c>
      <c r="BN38" s="99">
        <f t="shared" si="21"/>
        <v>50.6</v>
      </c>
      <c r="BO38" s="235">
        <f t="shared" si="22"/>
        <v>8309</v>
      </c>
      <c r="BP38" s="235">
        <f t="shared" si="23"/>
        <v>8309</v>
      </c>
      <c r="BQ38" s="235">
        <f t="shared" si="24"/>
        <v>7550</v>
      </c>
      <c r="BR38" s="235">
        <f t="shared" si="25"/>
        <v>90.865326754122037</v>
      </c>
    </row>
    <row r="39" spans="1:70" ht="31.5" x14ac:dyDescent="0.2">
      <c r="A39" s="29" t="s">
        <v>342</v>
      </c>
      <c r="B39" s="201" t="s">
        <v>339</v>
      </c>
      <c r="C39" s="269">
        <v>3500</v>
      </c>
      <c r="D39" s="97">
        <v>3500</v>
      </c>
      <c r="E39" s="337">
        <v>1613</v>
      </c>
      <c r="F39" s="99">
        <f>(E39+E40)/D39*100</f>
        <v>69.599999999999994</v>
      </c>
      <c r="G39" s="214">
        <v>1500</v>
      </c>
      <c r="H39" s="97">
        <v>1500</v>
      </c>
      <c r="I39" s="337">
        <v>601</v>
      </c>
      <c r="J39" s="99">
        <f>(I39+I40)/H39*100</f>
        <v>100.06666666666666</v>
      </c>
      <c r="K39" s="214">
        <v>2000</v>
      </c>
      <c r="L39" s="97">
        <v>2000</v>
      </c>
      <c r="M39" s="337">
        <v>1368</v>
      </c>
      <c r="N39" s="99">
        <f>(M39+M40)/L39*100</f>
        <v>94.8</v>
      </c>
      <c r="O39" s="214">
        <v>5865</v>
      </c>
      <c r="P39" s="97">
        <v>5865</v>
      </c>
      <c r="Q39" s="337">
        <v>3639</v>
      </c>
      <c r="R39" s="99">
        <f>(Q39+Q40)/P39*100</f>
        <v>102.01193520886616</v>
      </c>
      <c r="S39" s="214"/>
      <c r="T39" s="97">
        <f t="shared" si="29"/>
        <v>0</v>
      </c>
      <c r="U39" s="214"/>
      <c r="V39" s="99">
        <f t="shared" si="11"/>
        <v>0</v>
      </c>
      <c r="W39" s="214"/>
      <c r="X39" s="97">
        <f t="shared" si="29"/>
        <v>0</v>
      </c>
      <c r="Y39" s="214"/>
      <c r="Z39" s="99">
        <f t="shared" si="12"/>
        <v>0</v>
      </c>
      <c r="AA39" s="214"/>
      <c r="AB39" s="97">
        <f t="shared" si="29"/>
        <v>0</v>
      </c>
      <c r="AC39" s="214"/>
      <c r="AD39" s="99">
        <f t="shared" si="13"/>
        <v>0</v>
      </c>
      <c r="AE39" s="214"/>
      <c r="AF39" s="97">
        <f t="shared" si="29"/>
        <v>0</v>
      </c>
      <c r="AG39" s="214"/>
      <c r="AH39" s="99">
        <f t="shared" si="14"/>
        <v>0</v>
      </c>
      <c r="AI39" s="214"/>
      <c r="AJ39" s="97">
        <f t="shared" si="30"/>
        <v>0</v>
      </c>
      <c r="AK39" s="214"/>
      <c r="AL39" s="99">
        <f t="shared" si="15"/>
        <v>0</v>
      </c>
      <c r="AM39" s="214"/>
      <c r="AN39" s="97">
        <f t="shared" si="30"/>
        <v>0</v>
      </c>
      <c r="AO39" s="214"/>
      <c r="AP39" s="99">
        <f t="shared" si="16"/>
        <v>0</v>
      </c>
      <c r="AQ39" s="214"/>
      <c r="AR39" s="97">
        <f t="shared" si="30"/>
        <v>0</v>
      </c>
      <c r="AS39" s="214"/>
      <c r="AT39" s="99">
        <f t="shared" si="17"/>
        <v>0</v>
      </c>
      <c r="AU39" s="214"/>
      <c r="AV39" s="97">
        <f t="shared" si="30"/>
        <v>0</v>
      </c>
      <c r="AW39" s="214"/>
      <c r="AX39" s="99">
        <f t="shared" si="18"/>
        <v>0</v>
      </c>
      <c r="AY39" s="214">
        <v>770</v>
      </c>
      <c r="AZ39" s="214">
        <v>770</v>
      </c>
      <c r="BA39" s="217">
        <v>370</v>
      </c>
      <c r="BB39" s="99">
        <f>(BA39+BA40)/AZ39*100</f>
        <v>104.28571428571429</v>
      </c>
      <c r="BC39" s="214"/>
      <c r="BD39" s="97">
        <f t="shared" si="31"/>
        <v>0</v>
      </c>
      <c r="BE39" s="214"/>
      <c r="BF39" s="99" t="e">
        <f t="shared" si="32"/>
        <v>#DIV/0!</v>
      </c>
      <c r="BG39" s="214">
        <v>275</v>
      </c>
      <c r="BH39" s="195">
        <v>275</v>
      </c>
      <c r="BI39" s="337">
        <v>86</v>
      </c>
      <c r="BJ39" s="99">
        <f>(BI39+BI40)/BH39*100</f>
        <v>90.909090909090907</v>
      </c>
      <c r="BK39" s="214">
        <v>400</v>
      </c>
      <c r="BL39" s="195">
        <v>400</v>
      </c>
      <c r="BM39" s="337">
        <v>74</v>
      </c>
      <c r="BN39" s="99">
        <f>(BM39+BM40)/BL39*100</f>
        <v>55.75</v>
      </c>
      <c r="BO39" s="235">
        <f t="shared" si="22"/>
        <v>14310</v>
      </c>
      <c r="BP39" s="235">
        <f t="shared" si="23"/>
        <v>14310</v>
      </c>
      <c r="BQ39" s="235">
        <f t="shared" si="24"/>
        <v>7751</v>
      </c>
      <c r="BR39" s="235">
        <f t="shared" si="25"/>
        <v>54.164919636617746</v>
      </c>
    </row>
    <row r="40" spans="1:70" ht="31.5" x14ac:dyDescent="0.2">
      <c r="A40" s="338" t="s">
        <v>343</v>
      </c>
      <c r="B40" s="201" t="s">
        <v>339</v>
      </c>
      <c r="C40" s="269"/>
      <c r="D40" s="97"/>
      <c r="E40" s="337">
        <f>2436-E39</f>
        <v>823</v>
      </c>
      <c r="F40" s="99"/>
      <c r="G40" s="214"/>
      <c r="H40" s="97"/>
      <c r="I40" s="337">
        <f>1501-I39</f>
        <v>900</v>
      </c>
      <c r="J40" s="99"/>
      <c r="K40" s="214"/>
      <c r="L40" s="97"/>
      <c r="M40" s="337">
        <f>1896-M39</f>
        <v>528</v>
      </c>
      <c r="N40" s="99"/>
      <c r="O40" s="214"/>
      <c r="P40" s="97"/>
      <c r="Q40" s="337">
        <f>5983-Q39</f>
        <v>2344</v>
      </c>
      <c r="R40" s="99"/>
      <c r="S40" s="214"/>
      <c r="T40" s="97"/>
      <c r="U40" s="214"/>
      <c r="V40" s="99"/>
      <c r="W40" s="214"/>
      <c r="X40" s="97"/>
      <c r="Y40" s="214"/>
      <c r="Z40" s="99"/>
      <c r="AA40" s="214"/>
      <c r="AB40" s="97"/>
      <c r="AC40" s="214"/>
      <c r="AD40" s="99"/>
      <c r="AE40" s="214"/>
      <c r="AF40" s="97"/>
      <c r="AG40" s="214"/>
      <c r="AH40" s="99"/>
      <c r="AI40" s="214"/>
      <c r="AJ40" s="97"/>
      <c r="AK40" s="214"/>
      <c r="AL40" s="99"/>
      <c r="AM40" s="214"/>
      <c r="AN40" s="97"/>
      <c r="AO40" s="214"/>
      <c r="AP40" s="99"/>
      <c r="AQ40" s="214"/>
      <c r="AR40" s="97"/>
      <c r="AS40" s="214"/>
      <c r="AT40" s="99"/>
      <c r="AU40" s="214"/>
      <c r="AV40" s="97"/>
      <c r="AW40" s="214"/>
      <c r="AX40" s="99"/>
      <c r="AY40" s="214"/>
      <c r="AZ40" s="214"/>
      <c r="BA40" s="217">
        <f>803-BA39</f>
        <v>433</v>
      </c>
      <c r="BB40" s="99"/>
      <c r="BC40" s="214"/>
      <c r="BD40" s="97"/>
      <c r="BE40" s="214"/>
      <c r="BF40" s="99"/>
      <c r="BG40" s="214"/>
      <c r="BH40" s="195"/>
      <c r="BI40" s="337">
        <f>250-BI39</f>
        <v>164</v>
      </c>
      <c r="BJ40" s="99"/>
      <c r="BK40" s="214"/>
      <c r="BL40" s="195"/>
      <c r="BM40" s="337">
        <f>223-BM39</f>
        <v>149</v>
      </c>
      <c r="BN40" s="99"/>
      <c r="BO40" s="235">
        <f t="shared" ref="BO40" si="33">SUM(BK40,BG40,BC40,AY40,AU40,AQ40,AM40,AI40,AE40,AA40,W40,S40,O40,K40,G40,C40)</f>
        <v>0</v>
      </c>
      <c r="BP40" s="235">
        <f t="shared" ref="BP40" si="34">SUM(BL40,BH40,BD40,AZ40,AV40,AR40,AN40,AJ40,AF40,AB40,X40,T40,P40,L40,H40,D40)</f>
        <v>0</v>
      </c>
      <c r="BQ40" s="235">
        <f t="shared" ref="BQ40" si="35">SUM(BM40,BI40,BE40,BA40,AW40,AS40,AO40,AK40,AG40,AC40,Y40,U40,Q40,M40,I40,E40)</f>
        <v>5341</v>
      </c>
      <c r="BR40" s="235">
        <f t="shared" ref="BR40" si="36">IF(BP40=0,0,BQ40/BP40*100)</f>
        <v>0</v>
      </c>
    </row>
    <row r="41" spans="1:70" s="275" customFormat="1" ht="30" x14ac:dyDescent="0.2">
      <c r="A41" s="201" t="s">
        <v>344</v>
      </c>
      <c r="B41" s="201" t="s">
        <v>339</v>
      </c>
      <c r="C41" s="269">
        <v>5400</v>
      </c>
      <c r="D41" s="195">
        <v>5400</v>
      </c>
      <c r="E41" s="337">
        <v>1401</v>
      </c>
      <c r="F41" s="99">
        <f>(E41+E42)/D41*100</f>
        <v>70.462962962962962</v>
      </c>
      <c r="G41" s="269">
        <v>1250</v>
      </c>
      <c r="H41" s="195">
        <v>1250</v>
      </c>
      <c r="I41" s="337">
        <v>552</v>
      </c>
      <c r="J41" s="99">
        <f>(I41+I42)/H41*100</f>
        <v>152.80000000000001</v>
      </c>
      <c r="K41" s="269">
        <v>1000</v>
      </c>
      <c r="L41" s="195">
        <v>1000</v>
      </c>
      <c r="M41" s="337">
        <v>103</v>
      </c>
      <c r="N41" s="99">
        <f>(M41+M42)/L41*100</f>
        <v>99.4</v>
      </c>
      <c r="O41" s="269">
        <v>3000</v>
      </c>
      <c r="P41" s="195">
        <v>3000</v>
      </c>
      <c r="Q41" s="337">
        <v>2719</v>
      </c>
      <c r="R41" s="99">
        <f>(Q41+Q42)/P41*100</f>
        <v>161.56666666666666</v>
      </c>
      <c r="S41" s="269"/>
      <c r="T41" s="195">
        <f t="shared" si="29"/>
        <v>0</v>
      </c>
      <c r="U41" s="269"/>
      <c r="V41" s="99">
        <f t="shared" si="11"/>
        <v>0</v>
      </c>
      <c r="W41" s="269"/>
      <c r="X41" s="195">
        <f t="shared" si="29"/>
        <v>0</v>
      </c>
      <c r="Y41" s="269"/>
      <c r="Z41" s="99">
        <f t="shared" si="12"/>
        <v>0</v>
      </c>
      <c r="AA41" s="269"/>
      <c r="AB41" s="195">
        <f t="shared" si="29"/>
        <v>0</v>
      </c>
      <c r="AC41" s="269"/>
      <c r="AD41" s="99">
        <f t="shared" si="13"/>
        <v>0</v>
      </c>
      <c r="AE41" s="269"/>
      <c r="AF41" s="195">
        <f t="shared" si="29"/>
        <v>0</v>
      </c>
      <c r="AG41" s="269"/>
      <c r="AH41" s="99">
        <f t="shared" si="14"/>
        <v>0</v>
      </c>
      <c r="AI41" s="269"/>
      <c r="AJ41" s="195">
        <f t="shared" si="30"/>
        <v>0</v>
      </c>
      <c r="AK41" s="269"/>
      <c r="AL41" s="99">
        <f t="shared" si="15"/>
        <v>0</v>
      </c>
      <c r="AM41" s="269"/>
      <c r="AN41" s="195">
        <f t="shared" si="30"/>
        <v>0</v>
      </c>
      <c r="AO41" s="269"/>
      <c r="AP41" s="99">
        <f t="shared" si="16"/>
        <v>0</v>
      </c>
      <c r="AQ41" s="269"/>
      <c r="AR41" s="195">
        <f t="shared" si="30"/>
        <v>0</v>
      </c>
      <c r="AS41" s="269"/>
      <c r="AT41" s="99">
        <f t="shared" si="17"/>
        <v>0</v>
      </c>
      <c r="AU41" s="269"/>
      <c r="AV41" s="195">
        <f t="shared" si="30"/>
        <v>0</v>
      </c>
      <c r="AW41" s="269"/>
      <c r="AX41" s="99">
        <f t="shared" si="18"/>
        <v>0</v>
      </c>
      <c r="AY41" s="269">
        <v>150</v>
      </c>
      <c r="AZ41" s="269">
        <v>150</v>
      </c>
      <c r="BA41" s="217">
        <v>297</v>
      </c>
      <c r="BB41" s="99">
        <f>(BA41+BA42)/AZ41*100</f>
        <v>654.66666666666674</v>
      </c>
      <c r="BC41" s="269"/>
      <c r="BD41" s="195">
        <f t="shared" si="31"/>
        <v>0</v>
      </c>
      <c r="BE41" s="269"/>
      <c r="BF41" s="99" t="e">
        <f t="shared" si="32"/>
        <v>#DIV/0!</v>
      </c>
      <c r="BG41" s="269">
        <v>754</v>
      </c>
      <c r="BH41" s="195">
        <v>754</v>
      </c>
      <c r="BI41" s="337">
        <v>212</v>
      </c>
      <c r="BJ41" s="99">
        <f>(BI41+BI42)/BH41*100</f>
        <v>80.769230769230774</v>
      </c>
      <c r="BK41" s="269">
        <v>100</v>
      </c>
      <c r="BL41" s="195">
        <v>100</v>
      </c>
      <c r="BM41" s="337">
        <v>0</v>
      </c>
      <c r="BN41" s="99">
        <f>(BM41+BM42)/BL41*100</f>
        <v>297</v>
      </c>
      <c r="BO41" s="278">
        <f t="shared" si="22"/>
        <v>11654</v>
      </c>
      <c r="BP41" s="278">
        <f t="shared" si="23"/>
        <v>11654</v>
      </c>
      <c r="BQ41" s="278">
        <f t="shared" si="24"/>
        <v>5284</v>
      </c>
      <c r="BR41" s="278">
        <f t="shared" si="25"/>
        <v>45.340655568903379</v>
      </c>
    </row>
    <row r="42" spans="1:70" s="275" customFormat="1" ht="31.5" x14ac:dyDescent="0.25">
      <c r="A42" s="45" t="s">
        <v>345</v>
      </c>
      <c r="B42" s="201" t="s">
        <v>339</v>
      </c>
      <c r="C42" s="269"/>
      <c r="D42" s="195"/>
      <c r="E42" s="337">
        <f>3805-E41</f>
        <v>2404</v>
      </c>
      <c r="F42" s="99"/>
      <c r="G42" s="269"/>
      <c r="H42" s="195"/>
      <c r="I42" s="337">
        <f>1910-I41</f>
        <v>1358</v>
      </c>
      <c r="J42" s="99"/>
      <c r="K42" s="269"/>
      <c r="L42" s="195"/>
      <c r="M42" s="337">
        <f>994-M41</f>
        <v>891</v>
      </c>
      <c r="N42" s="99"/>
      <c r="O42" s="269"/>
      <c r="P42" s="195"/>
      <c r="Q42" s="337">
        <f>4847-Q41</f>
        <v>2128</v>
      </c>
      <c r="R42" s="99"/>
      <c r="S42" s="269"/>
      <c r="T42" s="195"/>
      <c r="U42" s="269"/>
      <c r="V42" s="99"/>
      <c r="W42" s="269"/>
      <c r="X42" s="195"/>
      <c r="Y42" s="269"/>
      <c r="Z42" s="99"/>
      <c r="AA42" s="269"/>
      <c r="AB42" s="195"/>
      <c r="AC42" s="269"/>
      <c r="AD42" s="99"/>
      <c r="AE42" s="269"/>
      <c r="AF42" s="195"/>
      <c r="AG42" s="269"/>
      <c r="AH42" s="99"/>
      <c r="AI42" s="269"/>
      <c r="AJ42" s="195"/>
      <c r="AK42" s="269"/>
      <c r="AL42" s="99"/>
      <c r="AM42" s="269"/>
      <c r="AN42" s="195"/>
      <c r="AO42" s="269"/>
      <c r="AP42" s="99"/>
      <c r="AQ42" s="269"/>
      <c r="AR42" s="195"/>
      <c r="AS42" s="269"/>
      <c r="AT42" s="99"/>
      <c r="AU42" s="269"/>
      <c r="AV42" s="195"/>
      <c r="AW42" s="269"/>
      <c r="AX42" s="99"/>
      <c r="AY42" s="269"/>
      <c r="AZ42" s="195"/>
      <c r="BA42" s="217">
        <f>982-BA41</f>
        <v>685</v>
      </c>
      <c r="BB42" s="99"/>
      <c r="BC42" s="269"/>
      <c r="BD42" s="195"/>
      <c r="BE42" s="269"/>
      <c r="BF42" s="99"/>
      <c r="BG42" s="269"/>
      <c r="BH42" s="195"/>
      <c r="BI42" s="337">
        <f>609-BI41</f>
        <v>397</v>
      </c>
      <c r="BJ42" s="99"/>
      <c r="BK42" s="269"/>
      <c r="BL42" s="195"/>
      <c r="BM42" s="337">
        <v>297</v>
      </c>
      <c r="BN42" s="99"/>
      <c r="BO42" s="278">
        <f t="shared" ref="BO42" si="37">SUM(BK42,BG42,BC42,AY42,AU42,AQ42,AM42,AI42,AE42,AA42,W42,S42,O42,K42,G42,C42)</f>
        <v>0</v>
      </c>
      <c r="BP42" s="278">
        <f t="shared" ref="BP42" si="38">SUM(BL42,BH42,BD42,AZ42,AV42,AR42,AN42,AJ42,AF42,AB42,X42,T42,P42,L42,H42,D42)</f>
        <v>0</v>
      </c>
      <c r="BQ42" s="278">
        <f t="shared" ref="BQ42" si="39">SUM(BM42,BI42,BE42,BA42,AW42,AS42,AO42,AK42,AG42,AC42,Y42,U42,Q42,M42,I42,E42)</f>
        <v>8160</v>
      </c>
      <c r="BR42" s="278">
        <f t="shared" ref="BR42" si="40">IF(BP42=0,0,BQ42/BP42*100)</f>
        <v>0</v>
      </c>
    </row>
    <row r="43" spans="1:70" s="322" customFormat="1" ht="47.25" x14ac:dyDescent="0.25">
      <c r="A43" s="316" t="s">
        <v>148</v>
      </c>
      <c r="B43" s="317" t="s">
        <v>3</v>
      </c>
      <c r="C43" s="318">
        <f t="shared" ref="C43:BK43" si="41">C44*7+C45*8+C46*9+C47*9</f>
        <v>1319</v>
      </c>
      <c r="D43" s="318">
        <f t="shared" si="41"/>
        <v>1319</v>
      </c>
      <c r="E43" s="318">
        <f t="shared" ref="E43:BM43" si="42">E44*7+E45*8+E46*9+E47*9</f>
        <v>1239</v>
      </c>
      <c r="F43" s="319">
        <f t="shared" si="7"/>
        <v>93.934799090219869</v>
      </c>
      <c r="G43" s="318">
        <f t="shared" si="41"/>
        <v>0</v>
      </c>
      <c r="H43" s="320">
        <f t="shared" si="28"/>
        <v>0</v>
      </c>
      <c r="I43" s="318">
        <f t="shared" si="42"/>
        <v>0</v>
      </c>
      <c r="J43" s="319">
        <f t="shared" si="8"/>
        <v>0</v>
      </c>
      <c r="K43" s="318">
        <f t="shared" si="41"/>
        <v>0</v>
      </c>
      <c r="L43" s="320">
        <f t="shared" si="28"/>
        <v>0</v>
      </c>
      <c r="M43" s="318">
        <f t="shared" si="42"/>
        <v>0</v>
      </c>
      <c r="N43" s="99">
        <f t="shared" si="9"/>
        <v>0</v>
      </c>
      <c r="O43" s="318">
        <f t="shared" si="41"/>
        <v>0</v>
      </c>
      <c r="P43" s="320">
        <f t="shared" si="28"/>
        <v>0</v>
      </c>
      <c r="Q43" s="318">
        <f t="shared" si="42"/>
        <v>0</v>
      </c>
      <c r="R43" s="319">
        <f t="shared" si="10"/>
        <v>0</v>
      </c>
      <c r="S43" s="318">
        <f t="shared" si="41"/>
        <v>0</v>
      </c>
      <c r="T43" s="320">
        <f t="shared" si="29"/>
        <v>0</v>
      </c>
      <c r="U43" s="318">
        <f t="shared" si="42"/>
        <v>0</v>
      </c>
      <c r="V43" s="319">
        <f t="shared" si="11"/>
        <v>0</v>
      </c>
      <c r="W43" s="318">
        <f t="shared" si="41"/>
        <v>0</v>
      </c>
      <c r="X43" s="320">
        <f t="shared" si="29"/>
        <v>0</v>
      </c>
      <c r="Y43" s="318">
        <f t="shared" si="42"/>
        <v>0</v>
      </c>
      <c r="Z43" s="319">
        <f t="shared" si="12"/>
        <v>0</v>
      </c>
      <c r="AA43" s="318">
        <f t="shared" si="41"/>
        <v>0</v>
      </c>
      <c r="AB43" s="320">
        <f t="shared" si="29"/>
        <v>0</v>
      </c>
      <c r="AC43" s="318">
        <f t="shared" si="42"/>
        <v>0</v>
      </c>
      <c r="AD43" s="319">
        <f t="shared" si="13"/>
        <v>0</v>
      </c>
      <c r="AE43" s="318">
        <f t="shared" si="41"/>
        <v>0</v>
      </c>
      <c r="AF43" s="320">
        <f t="shared" si="29"/>
        <v>0</v>
      </c>
      <c r="AG43" s="318">
        <f t="shared" si="42"/>
        <v>0</v>
      </c>
      <c r="AH43" s="319">
        <f t="shared" si="14"/>
        <v>0</v>
      </c>
      <c r="AI43" s="318">
        <f t="shared" si="41"/>
        <v>0</v>
      </c>
      <c r="AJ43" s="320">
        <f t="shared" si="30"/>
        <v>0</v>
      </c>
      <c r="AK43" s="318">
        <f t="shared" si="42"/>
        <v>0</v>
      </c>
      <c r="AL43" s="319">
        <f t="shared" si="15"/>
        <v>0</v>
      </c>
      <c r="AM43" s="318">
        <f t="shared" si="41"/>
        <v>0</v>
      </c>
      <c r="AN43" s="320">
        <f t="shared" si="30"/>
        <v>0</v>
      </c>
      <c r="AO43" s="318">
        <f t="shared" si="42"/>
        <v>0</v>
      </c>
      <c r="AP43" s="319">
        <f t="shared" si="16"/>
        <v>0</v>
      </c>
      <c r="AQ43" s="318">
        <f t="shared" si="41"/>
        <v>0</v>
      </c>
      <c r="AR43" s="320">
        <f t="shared" si="30"/>
        <v>0</v>
      </c>
      <c r="AS43" s="318">
        <f t="shared" si="42"/>
        <v>0</v>
      </c>
      <c r="AT43" s="319">
        <f t="shared" si="17"/>
        <v>0</v>
      </c>
      <c r="AU43" s="318">
        <f t="shared" si="41"/>
        <v>1193</v>
      </c>
      <c r="AV43" s="318">
        <f t="shared" si="41"/>
        <v>1193</v>
      </c>
      <c r="AW43" s="318">
        <f t="shared" si="42"/>
        <v>1181</v>
      </c>
      <c r="AX43" s="319">
        <f t="shared" si="18"/>
        <v>98.994132439228835</v>
      </c>
      <c r="AY43" s="318">
        <f t="shared" si="41"/>
        <v>0</v>
      </c>
      <c r="AZ43" s="320">
        <f t="shared" si="31"/>
        <v>0</v>
      </c>
      <c r="BA43" s="318">
        <f t="shared" si="42"/>
        <v>0</v>
      </c>
      <c r="BB43" s="319">
        <f t="shared" si="19"/>
        <v>0</v>
      </c>
      <c r="BC43" s="318">
        <f t="shared" si="41"/>
        <v>0</v>
      </c>
      <c r="BD43" s="320">
        <f t="shared" si="31"/>
        <v>0</v>
      </c>
      <c r="BE43" s="318">
        <f t="shared" si="42"/>
        <v>0</v>
      </c>
      <c r="BF43" s="319" t="e">
        <f t="shared" si="32"/>
        <v>#DIV/0!</v>
      </c>
      <c r="BG43" s="318">
        <f t="shared" si="41"/>
        <v>0</v>
      </c>
      <c r="BH43" s="320">
        <f t="shared" si="31"/>
        <v>0</v>
      </c>
      <c r="BI43" s="318">
        <f t="shared" si="42"/>
        <v>0</v>
      </c>
      <c r="BJ43" s="319">
        <f t="shared" si="20"/>
        <v>0</v>
      </c>
      <c r="BK43" s="318">
        <f t="shared" si="41"/>
        <v>0</v>
      </c>
      <c r="BL43" s="320">
        <f t="shared" si="31"/>
        <v>0</v>
      </c>
      <c r="BM43" s="318">
        <f t="shared" si="42"/>
        <v>0</v>
      </c>
      <c r="BN43" s="319">
        <f t="shared" si="21"/>
        <v>0</v>
      </c>
      <c r="BO43" s="321">
        <f t="shared" si="22"/>
        <v>2512</v>
      </c>
      <c r="BP43" s="321">
        <f t="shared" si="23"/>
        <v>2512</v>
      </c>
      <c r="BQ43" s="321">
        <f t="shared" si="24"/>
        <v>2420</v>
      </c>
      <c r="BR43" s="321">
        <f t="shared" si="25"/>
        <v>96.337579617834393</v>
      </c>
    </row>
    <row r="44" spans="1:70" ht="15.75" x14ac:dyDescent="0.2">
      <c r="A44" s="169" t="s">
        <v>149</v>
      </c>
      <c r="B44" s="201" t="s">
        <v>339</v>
      </c>
      <c r="C44" s="214"/>
      <c r="D44" s="97">
        <f t="shared" si="28"/>
        <v>0</v>
      </c>
      <c r="E44" s="214">
        <v>0</v>
      </c>
      <c r="F44" s="99">
        <f t="shared" si="7"/>
        <v>0</v>
      </c>
      <c r="G44" s="214"/>
      <c r="H44" s="97">
        <f t="shared" si="28"/>
        <v>0</v>
      </c>
      <c r="I44" s="214"/>
      <c r="J44" s="99">
        <f t="shared" si="8"/>
        <v>0</v>
      </c>
      <c r="K44" s="214"/>
      <c r="L44" s="97">
        <f t="shared" si="28"/>
        <v>0</v>
      </c>
      <c r="M44" s="214"/>
      <c r="N44" s="99">
        <f t="shared" si="9"/>
        <v>0</v>
      </c>
      <c r="O44" s="214"/>
      <c r="P44" s="97">
        <f t="shared" si="28"/>
        <v>0</v>
      </c>
      <c r="Q44" s="214"/>
      <c r="R44" s="99">
        <f t="shared" si="10"/>
        <v>0</v>
      </c>
      <c r="S44" s="214"/>
      <c r="T44" s="97">
        <f t="shared" si="29"/>
        <v>0</v>
      </c>
      <c r="U44" s="214"/>
      <c r="V44" s="99">
        <f t="shared" si="11"/>
        <v>0</v>
      </c>
      <c r="W44" s="214"/>
      <c r="X44" s="97">
        <f t="shared" si="29"/>
        <v>0</v>
      </c>
      <c r="Y44" s="214"/>
      <c r="Z44" s="99">
        <f t="shared" si="12"/>
        <v>0</v>
      </c>
      <c r="AA44" s="214"/>
      <c r="AB44" s="97">
        <f t="shared" si="29"/>
        <v>0</v>
      </c>
      <c r="AC44" s="214"/>
      <c r="AD44" s="99">
        <f t="shared" si="13"/>
        <v>0</v>
      </c>
      <c r="AE44" s="214"/>
      <c r="AF44" s="97">
        <f t="shared" si="29"/>
        <v>0</v>
      </c>
      <c r="AG44" s="214"/>
      <c r="AH44" s="99">
        <f t="shared" si="14"/>
        <v>0</v>
      </c>
      <c r="AI44" s="214"/>
      <c r="AJ44" s="97">
        <f t="shared" si="30"/>
        <v>0</v>
      </c>
      <c r="AK44" s="214"/>
      <c r="AL44" s="99">
        <f t="shared" si="15"/>
        <v>0</v>
      </c>
      <c r="AM44" s="214"/>
      <c r="AN44" s="97">
        <f t="shared" si="30"/>
        <v>0</v>
      </c>
      <c r="AO44" s="214"/>
      <c r="AP44" s="99">
        <f t="shared" si="16"/>
        <v>0</v>
      </c>
      <c r="AQ44" s="214"/>
      <c r="AR44" s="97">
        <f t="shared" si="30"/>
        <v>0</v>
      </c>
      <c r="AS44" s="214"/>
      <c r="AT44" s="99">
        <f t="shared" si="17"/>
        <v>0</v>
      </c>
      <c r="AU44" s="214">
        <v>36</v>
      </c>
      <c r="AV44" s="97">
        <v>36</v>
      </c>
      <c r="AW44" s="214">
        <v>50</v>
      </c>
      <c r="AX44" s="99">
        <f t="shared" si="18"/>
        <v>138.88888888888889</v>
      </c>
      <c r="AY44" s="214"/>
      <c r="AZ44" s="97">
        <f t="shared" si="31"/>
        <v>0</v>
      </c>
      <c r="BA44" s="214"/>
      <c r="BB44" s="99">
        <f t="shared" si="19"/>
        <v>0</v>
      </c>
      <c r="BC44" s="214"/>
      <c r="BD44" s="97">
        <f t="shared" si="31"/>
        <v>0</v>
      </c>
      <c r="BE44" s="214"/>
      <c r="BF44" s="99" t="e">
        <f t="shared" si="32"/>
        <v>#DIV/0!</v>
      </c>
      <c r="BG44" s="214"/>
      <c r="BH44" s="97">
        <f t="shared" si="31"/>
        <v>0</v>
      </c>
      <c r="BI44" s="214"/>
      <c r="BJ44" s="99">
        <f t="shared" si="20"/>
        <v>0</v>
      </c>
      <c r="BK44" s="214"/>
      <c r="BL44" s="97">
        <f t="shared" si="31"/>
        <v>0</v>
      </c>
      <c r="BM44" s="214"/>
      <c r="BN44" s="99">
        <f t="shared" si="21"/>
        <v>0</v>
      </c>
      <c r="BO44" s="235">
        <f t="shared" si="22"/>
        <v>36</v>
      </c>
      <c r="BP44" s="235">
        <f t="shared" si="23"/>
        <v>36</v>
      </c>
      <c r="BQ44" s="235">
        <f t="shared" si="24"/>
        <v>50</v>
      </c>
      <c r="BR44" s="235">
        <f t="shared" si="25"/>
        <v>138.88888888888889</v>
      </c>
    </row>
    <row r="45" spans="1:70" ht="15.75" x14ac:dyDescent="0.2">
      <c r="A45" s="169" t="s">
        <v>150</v>
      </c>
      <c r="B45" s="201" t="s">
        <v>339</v>
      </c>
      <c r="C45" s="214">
        <v>4</v>
      </c>
      <c r="D45" s="97">
        <v>4</v>
      </c>
      <c r="E45" s="214">
        <v>3</v>
      </c>
      <c r="F45" s="99">
        <f t="shared" si="7"/>
        <v>75</v>
      </c>
      <c r="G45" s="214"/>
      <c r="H45" s="97">
        <f t="shared" si="28"/>
        <v>0</v>
      </c>
      <c r="I45" s="214"/>
      <c r="J45" s="99">
        <f t="shared" si="8"/>
        <v>0</v>
      </c>
      <c r="K45" s="214"/>
      <c r="L45" s="97">
        <f t="shared" si="28"/>
        <v>0</v>
      </c>
      <c r="M45" s="214"/>
      <c r="N45" s="99">
        <f t="shared" si="9"/>
        <v>0</v>
      </c>
      <c r="O45" s="214"/>
      <c r="P45" s="97">
        <f t="shared" si="28"/>
        <v>0</v>
      </c>
      <c r="Q45" s="214"/>
      <c r="R45" s="99">
        <f t="shared" si="10"/>
        <v>0</v>
      </c>
      <c r="S45" s="214"/>
      <c r="T45" s="97">
        <f t="shared" si="29"/>
        <v>0</v>
      </c>
      <c r="U45" s="214"/>
      <c r="V45" s="99">
        <f t="shared" si="11"/>
        <v>0</v>
      </c>
      <c r="W45" s="214"/>
      <c r="X45" s="97">
        <f t="shared" si="29"/>
        <v>0</v>
      </c>
      <c r="Y45" s="214"/>
      <c r="Z45" s="99">
        <f t="shared" si="12"/>
        <v>0</v>
      </c>
      <c r="AA45" s="214"/>
      <c r="AB45" s="97">
        <f t="shared" si="29"/>
        <v>0</v>
      </c>
      <c r="AC45" s="214"/>
      <c r="AD45" s="99">
        <f t="shared" si="13"/>
        <v>0</v>
      </c>
      <c r="AE45" s="214"/>
      <c r="AF45" s="97">
        <f t="shared" si="29"/>
        <v>0</v>
      </c>
      <c r="AG45" s="214"/>
      <c r="AH45" s="99">
        <f t="shared" si="14"/>
        <v>0</v>
      </c>
      <c r="AI45" s="214"/>
      <c r="AJ45" s="97">
        <f t="shared" si="30"/>
        <v>0</v>
      </c>
      <c r="AK45" s="214"/>
      <c r="AL45" s="99">
        <f t="shared" si="15"/>
        <v>0</v>
      </c>
      <c r="AM45" s="214"/>
      <c r="AN45" s="97">
        <f t="shared" si="30"/>
        <v>0</v>
      </c>
      <c r="AO45" s="214"/>
      <c r="AP45" s="99">
        <f t="shared" si="16"/>
        <v>0</v>
      </c>
      <c r="AQ45" s="214"/>
      <c r="AR45" s="97">
        <f t="shared" si="30"/>
        <v>0</v>
      </c>
      <c r="AS45" s="214"/>
      <c r="AT45" s="99">
        <f t="shared" si="17"/>
        <v>0</v>
      </c>
      <c r="AU45" s="214">
        <v>22</v>
      </c>
      <c r="AV45" s="97">
        <v>22</v>
      </c>
      <c r="AW45" s="214">
        <v>15</v>
      </c>
      <c r="AX45" s="99">
        <f t="shared" si="18"/>
        <v>68.181818181818173</v>
      </c>
      <c r="AY45" s="214"/>
      <c r="AZ45" s="97">
        <f t="shared" si="31"/>
        <v>0</v>
      </c>
      <c r="BA45" s="214"/>
      <c r="BB45" s="99">
        <f t="shared" si="19"/>
        <v>0</v>
      </c>
      <c r="BC45" s="214"/>
      <c r="BD45" s="97">
        <f t="shared" si="31"/>
        <v>0</v>
      </c>
      <c r="BE45" s="214"/>
      <c r="BF45" s="99" t="e">
        <f t="shared" si="32"/>
        <v>#DIV/0!</v>
      </c>
      <c r="BG45" s="214"/>
      <c r="BH45" s="97">
        <f t="shared" si="31"/>
        <v>0</v>
      </c>
      <c r="BI45" s="214"/>
      <c r="BJ45" s="99">
        <f t="shared" si="20"/>
        <v>0</v>
      </c>
      <c r="BK45" s="214"/>
      <c r="BL45" s="97">
        <f t="shared" si="31"/>
        <v>0</v>
      </c>
      <c r="BM45" s="214"/>
      <c r="BN45" s="99">
        <f t="shared" si="21"/>
        <v>0</v>
      </c>
      <c r="BO45" s="235">
        <f t="shared" si="22"/>
        <v>26</v>
      </c>
      <c r="BP45" s="235">
        <f t="shared" si="23"/>
        <v>26</v>
      </c>
      <c r="BQ45" s="235">
        <f t="shared" si="24"/>
        <v>18</v>
      </c>
      <c r="BR45" s="235">
        <f t="shared" si="25"/>
        <v>69.230769230769226</v>
      </c>
    </row>
    <row r="46" spans="1:70" ht="15.75" x14ac:dyDescent="0.2">
      <c r="A46" s="169" t="s">
        <v>151</v>
      </c>
      <c r="B46" s="201" t="s">
        <v>339</v>
      </c>
      <c r="C46" s="214">
        <v>82</v>
      </c>
      <c r="D46" s="97">
        <v>82</v>
      </c>
      <c r="E46" s="214">
        <v>75</v>
      </c>
      <c r="F46" s="99">
        <f t="shared" si="7"/>
        <v>91.463414634146346</v>
      </c>
      <c r="G46" s="214"/>
      <c r="H46" s="97">
        <f t="shared" ref="D46:P61" si="43">ROUND(G46/12*$A$7,0)</f>
        <v>0</v>
      </c>
      <c r="I46" s="214"/>
      <c r="J46" s="99">
        <f t="shared" si="8"/>
        <v>0</v>
      </c>
      <c r="K46" s="214"/>
      <c r="L46" s="97">
        <f t="shared" si="43"/>
        <v>0</v>
      </c>
      <c r="M46" s="214"/>
      <c r="N46" s="99">
        <f t="shared" si="9"/>
        <v>0</v>
      </c>
      <c r="O46" s="214"/>
      <c r="P46" s="97">
        <f t="shared" si="43"/>
        <v>0</v>
      </c>
      <c r="Q46" s="214"/>
      <c r="R46" s="99">
        <f t="shared" si="10"/>
        <v>0</v>
      </c>
      <c r="S46" s="214"/>
      <c r="T46" s="97">
        <f t="shared" ref="T46:AF61" si="44">ROUND(S46/12*$A$7,0)</f>
        <v>0</v>
      </c>
      <c r="U46" s="214"/>
      <c r="V46" s="99">
        <f t="shared" si="11"/>
        <v>0</v>
      </c>
      <c r="W46" s="214"/>
      <c r="X46" s="97">
        <f t="shared" si="44"/>
        <v>0</v>
      </c>
      <c r="Y46" s="214"/>
      <c r="Z46" s="99">
        <f t="shared" si="12"/>
        <v>0</v>
      </c>
      <c r="AA46" s="214"/>
      <c r="AB46" s="97">
        <f t="shared" si="44"/>
        <v>0</v>
      </c>
      <c r="AC46" s="214"/>
      <c r="AD46" s="99">
        <f t="shared" si="13"/>
        <v>0</v>
      </c>
      <c r="AE46" s="214"/>
      <c r="AF46" s="97">
        <f t="shared" si="44"/>
        <v>0</v>
      </c>
      <c r="AG46" s="214"/>
      <c r="AH46" s="99">
        <f t="shared" si="14"/>
        <v>0</v>
      </c>
      <c r="AI46" s="214"/>
      <c r="AJ46" s="97">
        <f t="shared" ref="AJ46:AV61" si="45">ROUND(AI46/12*$A$7,0)</f>
        <v>0</v>
      </c>
      <c r="AK46" s="214"/>
      <c r="AL46" s="99">
        <f t="shared" si="15"/>
        <v>0</v>
      </c>
      <c r="AM46" s="214"/>
      <c r="AN46" s="97">
        <f t="shared" si="45"/>
        <v>0</v>
      </c>
      <c r="AO46" s="214"/>
      <c r="AP46" s="99">
        <f t="shared" si="16"/>
        <v>0</v>
      </c>
      <c r="AQ46" s="214"/>
      <c r="AR46" s="97">
        <f t="shared" si="45"/>
        <v>0</v>
      </c>
      <c r="AS46" s="214"/>
      <c r="AT46" s="99">
        <f t="shared" si="17"/>
        <v>0</v>
      </c>
      <c r="AU46" s="214">
        <v>59</v>
      </c>
      <c r="AV46" s="97">
        <v>59</v>
      </c>
      <c r="AW46" s="214">
        <v>41</v>
      </c>
      <c r="AX46" s="99">
        <f t="shared" si="18"/>
        <v>69.491525423728817</v>
      </c>
      <c r="AY46" s="214"/>
      <c r="AZ46" s="97">
        <f t="shared" ref="AZ46:BL61" si="46">ROUND(AY46/12*$A$7,0)</f>
        <v>0</v>
      </c>
      <c r="BA46" s="214"/>
      <c r="BB46" s="99">
        <f t="shared" si="19"/>
        <v>0</v>
      </c>
      <c r="BC46" s="214"/>
      <c r="BD46" s="97">
        <f t="shared" si="46"/>
        <v>0</v>
      </c>
      <c r="BE46" s="214"/>
      <c r="BF46" s="99" t="e">
        <f t="shared" si="32"/>
        <v>#DIV/0!</v>
      </c>
      <c r="BG46" s="214"/>
      <c r="BH46" s="97">
        <f t="shared" si="46"/>
        <v>0</v>
      </c>
      <c r="BI46" s="214"/>
      <c r="BJ46" s="99">
        <f t="shared" si="20"/>
        <v>0</v>
      </c>
      <c r="BK46" s="214"/>
      <c r="BL46" s="97">
        <f t="shared" si="46"/>
        <v>0</v>
      </c>
      <c r="BM46" s="214"/>
      <c r="BN46" s="99">
        <f t="shared" si="21"/>
        <v>0</v>
      </c>
      <c r="BO46" s="235">
        <f t="shared" si="22"/>
        <v>141</v>
      </c>
      <c r="BP46" s="235">
        <f t="shared" si="23"/>
        <v>141</v>
      </c>
      <c r="BQ46" s="235">
        <f t="shared" si="24"/>
        <v>116</v>
      </c>
      <c r="BR46" s="235">
        <f t="shared" si="25"/>
        <v>82.269503546099287</v>
      </c>
    </row>
    <row r="47" spans="1:70" ht="15.75" x14ac:dyDescent="0.2">
      <c r="A47" s="169" t="s">
        <v>152</v>
      </c>
      <c r="B47" s="201" t="s">
        <v>339</v>
      </c>
      <c r="C47" s="214">
        <v>61</v>
      </c>
      <c r="D47" s="97">
        <v>61</v>
      </c>
      <c r="E47" s="214">
        <v>60</v>
      </c>
      <c r="F47" s="99">
        <f t="shared" si="7"/>
        <v>98.360655737704917</v>
      </c>
      <c r="G47" s="214"/>
      <c r="H47" s="97">
        <f t="shared" si="43"/>
        <v>0</v>
      </c>
      <c r="I47" s="214"/>
      <c r="J47" s="99">
        <f t="shared" si="8"/>
        <v>0</v>
      </c>
      <c r="K47" s="214"/>
      <c r="L47" s="97">
        <f t="shared" si="43"/>
        <v>0</v>
      </c>
      <c r="M47" s="214"/>
      <c r="N47" s="99">
        <f t="shared" si="9"/>
        <v>0</v>
      </c>
      <c r="O47" s="214"/>
      <c r="P47" s="97">
        <f t="shared" si="43"/>
        <v>0</v>
      </c>
      <c r="Q47" s="214"/>
      <c r="R47" s="99">
        <f t="shared" si="10"/>
        <v>0</v>
      </c>
      <c r="S47" s="214"/>
      <c r="T47" s="97">
        <f t="shared" si="44"/>
        <v>0</v>
      </c>
      <c r="U47" s="214"/>
      <c r="V47" s="99">
        <f t="shared" si="11"/>
        <v>0</v>
      </c>
      <c r="W47" s="214"/>
      <c r="X47" s="97">
        <f t="shared" si="44"/>
        <v>0</v>
      </c>
      <c r="Y47" s="214"/>
      <c r="Z47" s="99">
        <f t="shared" si="12"/>
        <v>0</v>
      </c>
      <c r="AA47" s="214"/>
      <c r="AB47" s="97">
        <f t="shared" si="44"/>
        <v>0</v>
      </c>
      <c r="AC47" s="214"/>
      <c r="AD47" s="99">
        <f t="shared" si="13"/>
        <v>0</v>
      </c>
      <c r="AE47" s="214"/>
      <c r="AF47" s="97">
        <f t="shared" si="44"/>
        <v>0</v>
      </c>
      <c r="AG47" s="214"/>
      <c r="AH47" s="99">
        <f t="shared" si="14"/>
        <v>0</v>
      </c>
      <c r="AI47" s="214"/>
      <c r="AJ47" s="97">
        <f t="shared" si="45"/>
        <v>0</v>
      </c>
      <c r="AK47" s="214"/>
      <c r="AL47" s="99">
        <f t="shared" si="15"/>
        <v>0</v>
      </c>
      <c r="AM47" s="214"/>
      <c r="AN47" s="97">
        <f t="shared" si="45"/>
        <v>0</v>
      </c>
      <c r="AO47" s="214"/>
      <c r="AP47" s="99">
        <f t="shared" si="16"/>
        <v>0</v>
      </c>
      <c r="AQ47" s="214"/>
      <c r="AR47" s="97">
        <f t="shared" si="45"/>
        <v>0</v>
      </c>
      <c r="AS47" s="214"/>
      <c r="AT47" s="99">
        <f t="shared" si="17"/>
        <v>0</v>
      </c>
      <c r="AU47" s="214">
        <v>26</v>
      </c>
      <c r="AV47" s="97">
        <v>26</v>
      </c>
      <c r="AW47" s="214">
        <v>38</v>
      </c>
      <c r="AX47" s="99">
        <f t="shared" si="18"/>
        <v>146.15384615384613</v>
      </c>
      <c r="AY47" s="214"/>
      <c r="AZ47" s="97">
        <f t="shared" si="46"/>
        <v>0</v>
      </c>
      <c r="BA47" s="214"/>
      <c r="BB47" s="99">
        <f t="shared" si="19"/>
        <v>0</v>
      </c>
      <c r="BC47" s="214"/>
      <c r="BD47" s="97">
        <f t="shared" si="46"/>
        <v>0</v>
      </c>
      <c r="BE47" s="214"/>
      <c r="BF47" s="99" t="e">
        <f t="shared" si="32"/>
        <v>#DIV/0!</v>
      </c>
      <c r="BG47" s="214"/>
      <c r="BH47" s="97">
        <f t="shared" si="46"/>
        <v>0</v>
      </c>
      <c r="BI47" s="214"/>
      <c r="BJ47" s="99">
        <f t="shared" si="20"/>
        <v>0</v>
      </c>
      <c r="BK47" s="214"/>
      <c r="BL47" s="97">
        <f t="shared" si="46"/>
        <v>0</v>
      </c>
      <c r="BM47" s="214"/>
      <c r="BN47" s="99">
        <f t="shared" si="21"/>
        <v>0</v>
      </c>
      <c r="BO47" s="235">
        <f t="shared" si="22"/>
        <v>87</v>
      </c>
      <c r="BP47" s="235">
        <f t="shared" si="23"/>
        <v>87</v>
      </c>
      <c r="BQ47" s="235">
        <f t="shared" si="24"/>
        <v>98</v>
      </c>
      <c r="BR47" s="235">
        <f t="shared" si="25"/>
        <v>112.64367816091954</v>
      </c>
    </row>
    <row r="48" spans="1:70" ht="31.5" x14ac:dyDescent="0.25">
      <c r="A48" s="173" t="s">
        <v>153</v>
      </c>
      <c r="B48" s="197" t="s">
        <v>3</v>
      </c>
      <c r="C48" s="214">
        <f t="shared" ref="C48:BK48" si="47">C49*7+C50*8+C51*9+C52*9</f>
        <v>1725</v>
      </c>
      <c r="D48" s="214">
        <f t="shared" si="47"/>
        <v>1725</v>
      </c>
      <c r="E48" s="214">
        <f t="shared" ref="E48:BM48" si="48">E49*7+E50*8+E51*9+E52*9</f>
        <v>1684</v>
      </c>
      <c r="F48" s="99">
        <f t="shared" si="7"/>
        <v>97.623188405797094</v>
      </c>
      <c r="G48" s="214">
        <f t="shared" si="47"/>
        <v>508</v>
      </c>
      <c r="H48" s="214">
        <f t="shared" si="47"/>
        <v>508</v>
      </c>
      <c r="I48" s="214">
        <f t="shared" si="48"/>
        <v>471</v>
      </c>
      <c r="J48" s="99">
        <f t="shared" si="8"/>
        <v>92.716535433070874</v>
      </c>
      <c r="K48" s="214">
        <f t="shared" si="47"/>
        <v>0</v>
      </c>
      <c r="L48" s="97">
        <f t="shared" si="43"/>
        <v>0</v>
      </c>
      <c r="M48" s="214">
        <f t="shared" si="48"/>
        <v>0</v>
      </c>
      <c r="N48" s="99">
        <f t="shared" si="9"/>
        <v>0</v>
      </c>
      <c r="O48" s="214">
        <f t="shared" si="47"/>
        <v>0</v>
      </c>
      <c r="P48" s="97">
        <f t="shared" si="43"/>
        <v>0</v>
      </c>
      <c r="Q48" s="214">
        <f t="shared" si="48"/>
        <v>0</v>
      </c>
      <c r="R48" s="99">
        <f t="shared" si="10"/>
        <v>0</v>
      </c>
      <c r="S48" s="214">
        <f t="shared" si="47"/>
        <v>0</v>
      </c>
      <c r="T48" s="97">
        <f t="shared" si="44"/>
        <v>0</v>
      </c>
      <c r="U48" s="214">
        <f t="shared" si="48"/>
        <v>0</v>
      </c>
      <c r="V48" s="99">
        <f t="shared" si="11"/>
        <v>0</v>
      </c>
      <c r="W48" s="214">
        <f t="shared" si="47"/>
        <v>0</v>
      </c>
      <c r="X48" s="97">
        <f t="shared" si="44"/>
        <v>0</v>
      </c>
      <c r="Y48" s="214">
        <f t="shared" si="48"/>
        <v>0</v>
      </c>
      <c r="Z48" s="99">
        <f t="shared" si="12"/>
        <v>0</v>
      </c>
      <c r="AA48" s="214">
        <f t="shared" si="47"/>
        <v>0</v>
      </c>
      <c r="AB48" s="97">
        <f t="shared" si="44"/>
        <v>0</v>
      </c>
      <c r="AC48" s="214">
        <f t="shared" si="48"/>
        <v>0</v>
      </c>
      <c r="AD48" s="99">
        <f t="shared" si="13"/>
        <v>0</v>
      </c>
      <c r="AE48" s="214">
        <f t="shared" si="47"/>
        <v>0</v>
      </c>
      <c r="AF48" s="97">
        <f t="shared" si="44"/>
        <v>0</v>
      </c>
      <c r="AG48" s="214">
        <f t="shared" si="48"/>
        <v>0</v>
      </c>
      <c r="AH48" s="99">
        <f t="shared" si="14"/>
        <v>0</v>
      </c>
      <c r="AI48" s="214">
        <f t="shared" si="47"/>
        <v>0</v>
      </c>
      <c r="AJ48" s="97">
        <f t="shared" si="45"/>
        <v>0</v>
      </c>
      <c r="AK48" s="214">
        <f t="shared" si="48"/>
        <v>0</v>
      </c>
      <c r="AL48" s="99">
        <f t="shared" si="15"/>
        <v>0</v>
      </c>
      <c r="AM48" s="214">
        <f t="shared" si="47"/>
        <v>0</v>
      </c>
      <c r="AN48" s="97">
        <f t="shared" si="45"/>
        <v>0</v>
      </c>
      <c r="AO48" s="214">
        <f t="shared" si="48"/>
        <v>0</v>
      </c>
      <c r="AP48" s="99">
        <f t="shared" si="16"/>
        <v>0</v>
      </c>
      <c r="AQ48" s="214">
        <f t="shared" si="47"/>
        <v>0</v>
      </c>
      <c r="AR48" s="97">
        <f t="shared" si="45"/>
        <v>0</v>
      </c>
      <c r="AS48" s="214">
        <f t="shared" si="48"/>
        <v>0</v>
      </c>
      <c r="AT48" s="99">
        <f t="shared" si="17"/>
        <v>0</v>
      </c>
      <c r="AU48" s="214">
        <f t="shared" si="47"/>
        <v>3948</v>
      </c>
      <c r="AV48" s="214">
        <f t="shared" si="47"/>
        <v>3948</v>
      </c>
      <c r="AW48" s="214">
        <f t="shared" si="48"/>
        <v>3926</v>
      </c>
      <c r="AX48" s="99">
        <f t="shared" si="18"/>
        <v>99.442755825734551</v>
      </c>
      <c r="AY48" s="214">
        <f t="shared" si="47"/>
        <v>0</v>
      </c>
      <c r="AZ48" s="97">
        <f t="shared" si="46"/>
        <v>0</v>
      </c>
      <c r="BA48" s="214">
        <f t="shared" si="48"/>
        <v>0</v>
      </c>
      <c r="BB48" s="99">
        <f t="shared" si="19"/>
        <v>0</v>
      </c>
      <c r="BC48" s="214">
        <f t="shared" si="47"/>
        <v>0</v>
      </c>
      <c r="BD48" s="97">
        <f t="shared" si="46"/>
        <v>0</v>
      </c>
      <c r="BE48" s="214">
        <f t="shared" si="48"/>
        <v>0</v>
      </c>
      <c r="BF48" s="99" t="e">
        <f t="shared" si="32"/>
        <v>#DIV/0!</v>
      </c>
      <c r="BG48" s="214">
        <f t="shared" si="47"/>
        <v>0</v>
      </c>
      <c r="BH48" s="97">
        <f t="shared" si="46"/>
        <v>0</v>
      </c>
      <c r="BI48" s="214">
        <f t="shared" si="48"/>
        <v>0</v>
      </c>
      <c r="BJ48" s="99">
        <f t="shared" si="20"/>
        <v>0</v>
      </c>
      <c r="BK48" s="214">
        <f t="shared" si="47"/>
        <v>0</v>
      </c>
      <c r="BL48" s="97">
        <f t="shared" si="46"/>
        <v>0</v>
      </c>
      <c r="BM48" s="214">
        <f t="shared" si="48"/>
        <v>0</v>
      </c>
      <c r="BN48" s="99">
        <f t="shared" si="21"/>
        <v>0</v>
      </c>
      <c r="BO48" s="235">
        <f t="shared" si="22"/>
        <v>6181</v>
      </c>
      <c r="BP48" s="235">
        <f t="shared" si="23"/>
        <v>6181</v>
      </c>
      <c r="BQ48" s="235">
        <f t="shared" si="24"/>
        <v>6081</v>
      </c>
      <c r="BR48" s="235">
        <f t="shared" si="25"/>
        <v>98.382138812489885</v>
      </c>
    </row>
    <row r="49" spans="1:70" ht="15.75" x14ac:dyDescent="0.2">
      <c r="A49" s="169" t="s">
        <v>149</v>
      </c>
      <c r="B49" s="201" t="s">
        <v>339</v>
      </c>
      <c r="C49" s="214"/>
      <c r="D49" s="97">
        <f t="shared" si="43"/>
        <v>0</v>
      </c>
      <c r="E49" s="214">
        <v>5</v>
      </c>
      <c r="F49" s="99">
        <f t="shared" si="7"/>
        <v>0</v>
      </c>
      <c r="G49" s="214">
        <v>1</v>
      </c>
      <c r="H49" s="97">
        <v>1</v>
      </c>
      <c r="I49" s="214">
        <v>1</v>
      </c>
      <c r="J49" s="99">
        <f t="shared" si="8"/>
        <v>100</v>
      </c>
      <c r="K49" s="214"/>
      <c r="L49" s="97">
        <f t="shared" si="43"/>
        <v>0</v>
      </c>
      <c r="M49" s="214"/>
      <c r="N49" s="99">
        <f t="shared" si="9"/>
        <v>0</v>
      </c>
      <c r="O49" s="214"/>
      <c r="P49" s="97">
        <f t="shared" si="43"/>
        <v>0</v>
      </c>
      <c r="Q49" s="214"/>
      <c r="R49" s="99">
        <f t="shared" si="10"/>
        <v>0</v>
      </c>
      <c r="S49" s="214"/>
      <c r="T49" s="97">
        <f t="shared" si="44"/>
        <v>0</v>
      </c>
      <c r="U49" s="214"/>
      <c r="V49" s="99">
        <f t="shared" si="11"/>
        <v>0</v>
      </c>
      <c r="W49" s="214"/>
      <c r="X49" s="97">
        <f t="shared" si="44"/>
        <v>0</v>
      </c>
      <c r="Y49" s="214"/>
      <c r="Z49" s="99">
        <f t="shared" si="12"/>
        <v>0</v>
      </c>
      <c r="AA49" s="214"/>
      <c r="AB49" s="97">
        <f t="shared" si="44"/>
        <v>0</v>
      </c>
      <c r="AC49" s="214"/>
      <c r="AD49" s="99">
        <f t="shared" si="13"/>
        <v>0</v>
      </c>
      <c r="AE49" s="214"/>
      <c r="AF49" s="97">
        <f t="shared" si="44"/>
        <v>0</v>
      </c>
      <c r="AG49" s="214"/>
      <c r="AH49" s="99">
        <f t="shared" si="14"/>
        <v>0</v>
      </c>
      <c r="AI49" s="214"/>
      <c r="AJ49" s="97">
        <f t="shared" si="45"/>
        <v>0</v>
      </c>
      <c r="AK49" s="214"/>
      <c r="AL49" s="99">
        <f t="shared" si="15"/>
        <v>0</v>
      </c>
      <c r="AM49" s="214"/>
      <c r="AN49" s="97">
        <f t="shared" si="45"/>
        <v>0</v>
      </c>
      <c r="AO49" s="214"/>
      <c r="AP49" s="99">
        <f t="shared" si="16"/>
        <v>0</v>
      </c>
      <c r="AQ49" s="214"/>
      <c r="AR49" s="97">
        <f t="shared" si="45"/>
        <v>0</v>
      </c>
      <c r="AS49" s="214"/>
      <c r="AT49" s="99">
        <f t="shared" si="17"/>
        <v>0</v>
      </c>
      <c r="AU49" s="214">
        <v>9</v>
      </c>
      <c r="AV49" s="97">
        <v>9</v>
      </c>
      <c r="AW49" s="214">
        <v>27</v>
      </c>
      <c r="AX49" s="99">
        <f t="shared" si="18"/>
        <v>300</v>
      </c>
      <c r="AY49" s="214"/>
      <c r="AZ49" s="97">
        <f t="shared" si="46"/>
        <v>0</v>
      </c>
      <c r="BA49" s="214"/>
      <c r="BB49" s="99">
        <f t="shared" si="19"/>
        <v>0</v>
      </c>
      <c r="BC49" s="214"/>
      <c r="BD49" s="97">
        <f t="shared" si="46"/>
        <v>0</v>
      </c>
      <c r="BE49" s="214"/>
      <c r="BF49" s="99" t="e">
        <f t="shared" si="32"/>
        <v>#DIV/0!</v>
      </c>
      <c r="BG49" s="214"/>
      <c r="BH49" s="97">
        <f t="shared" si="46"/>
        <v>0</v>
      </c>
      <c r="BI49" s="214"/>
      <c r="BJ49" s="99">
        <f t="shared" si="20"/>
        <v>0</v>
      </c>
      <c r="BK49" s="214"/>
      <c r="BL49" s="97">
        <f t="shared" si="46"/>
        <v>0</v>
      </c>
      <c r="BM49" s="214"/>
      <c r="BN49" s="99">
        <f t="shared" si="21"/>
        <v>0</v>
      </c>
      <c r="BO49" s="235">
        <f t="shared" si="22"/>
        <v>10</v>
      </c>
      <c r="BP49" s="235">
        <f t="shared" si="23"/>
        <v>10</v>
      </c>
      <c r="BQ49" s="235">
        <f t="shared" si="24"/>
        <v>33</v>
      </c>
      <c r="BR49" s="235">
        <f t="shared" si="25"/>
        <v>330</v>
      </c>
    </row>
    <row r="50" spans="1:70" ht="15.75" x14ac:dyDescent="0.2">
      <c r="A50" s="169" t="s">
        <v>150</v>
      </c>
      <c r="B50" s="201" t="s">
        <v>339</v>
      </c>
      <c r="C50" s="214">
        <v>39</v>
      </c>
      <c r="D50" s="97">
        <v>39</v>
      </c>
      <c r="E50" s="214">
        <v>7</v>
      </c>
      <c r="F50" s="99">
        <f t="shared" si="7"/>
        <v>17.948717948717949</v>
      </c>
      <c r="G50" s="214">
        <v>3</v>
      </c>
      <c r="H50" s="97">
        <v>3</v>
      </c>
      <c r="I50" s="214">
        <v>4</v>
      </c>
      <c r="J50" s="99">
        <f t="shared" si="8"/>
        <v>133.33333333333331</v>
      </c>
      <c r="K50" s="214"/>
      <c r="L50" s="97">
        <f t="shared" si="43"/>
        <v>0</v>
      </c>
      <c r="M50" s="214"/>
      <c r="N50" s="99">
        <f t="shared" si="9"/>
        <v>0</v>
      </c>
      <c r="O50" s="214"/>
      <c r="P50" s="97">
        <f t="shared" si="43"/>
        <v>0</v>
      </c>
      <c r="Q50" s="214"/>
      <c r="R50" s="99">
        <f t="shared" si="10"/>
        <v>0</v>
      </c>
      <c r="S50" s="214"/>
      <c r="T50" s="97">
        <f t="shared" si="44"/>
        <v>0</v>
      </c>
      <c r="U50" s="214"/>
      <c r="V50" s="99">
        <f t="shared" si="11"/>
        <v>0</v>
      </c>
      <c r="W50" s="214"/>
      <c r="X50" s="97">
        <f t="shared" si="44"/>
        <v>0</v>
      </c>
      <c r="Y50" s="214"/>
      <c r="Z50" s="99">
        <f t="shared" si="12"/>
        <v>0</v>
      </c>
      <c r="AA50" s="214"/>
      <c r="AB50" s="97">
        <f t="shared" si="44"/>
        <v>0</v>
      </c>
      <c r="AC50" s="214"/>
      <c r="AD50" s="99">
        <f t="shared" si="13"/>
        <v>0</v>
      </c>
      <c r="AE50" s="214"/>
      <c r="AF50" s="97">
        <f t="shared" si="44"/>
        <v>0</v>
      </c>
      <c r="AG50" s="214"/>
      <c r="AH50" s="99">
        <f t="shared" si="14"/>
        <v>0</v>
      </c>
      <c r="AI50" s="214"/>
      <c r="AJ50" s="97">
        <f t="shared" si="45"/>
        <v>0</v>
      </c>
      <c r="AK50" s="214"/>
      <c r="AL50" s="99">
        <f t="shared" si="15"/>
        <v>0</v>
      </c>
      <c r="AM50" s="214"/>
      <c r="AN50" s="97">
        <f t="shared" si="45"/>
        <v>0</v>
      </c>
      <c r="AO50" s="214"/>
      <c r="AP50" s="99">
        <f t="shared" si="16"/>
        <v>0</v>
      </c>
      <c r="AQ50" s="214"/>
      <c r="AR50" s="97">
        <f t="shared" si="45"/>
        <v>0</v>
      </c>
      <c r="AS50" s="214"/>
      <c r="AT50" s="99">
        <f t="shared" si="17"/>
        <v>0</v>
      </c>
      <c r="AU50" s="214">
        <v>39</v>
      </c>
      <c r="AV50" s="97">
        <v>39</v>
      </c>
      <c r="AW50" s="214">
        <v>25</v>
      </c>
      <c r="AX50" s="99">
        <f t="shared" si="18"/>
        <v>64.102564102564102</v>
      </c>
      <c r="AY50" s="214"/>
      <c r="AZ50" s="97">
        <f t="shared" si="46"/>
        <v>0</v>
      </c>
      <c r="BA50" s="214"/>
      <c r="BB50" s="99">
        <f t="shared" si="19"/>
        <v>0</v>
      </c>
      <c r="BC50" s="214"/>
      <c r="BD50" s="97">
        <f t="shared" si="46"/>
        <v>0</v>
      </c>
      <c r="BE50" s="214"/>
      <c r="BF50" s="99" t="e">
        <f t="shared" si="32"/>
        <v>#DIV/0!</v>
      </c>
      <c r="BG50" s="214"/>
      <c r="BH50" s="97">
        <f t="shared" si="46"/>
        <v>0</v>
      </c>
      <c r="BI50" s="214"/>
      <c r="BJ50" s="99">
        <f t="shared" si="20"/>
        <v>0</v>
      </c>
      <c r="BK50" s="214"/>
      <c r="BL50" s="97">
        <f t="shared" si="46"/>
        <v>0</v>
      </c>
      <c r="BM50" s="214"/>
      <c r="BN50" s="99">
        <f t="shared" si="21"/>
        <v>0</v>
      </c>
      <c r="BO50" s="235">
        <f t="shared" si="22"/>
        <v>81</v>
      </c>
      <c r="BP50" s="235">
        <f t="shared" si="23"/>
        <v>81</v>
      </c>
      <c r="BQ50" s="235">
        <f t="shared" si="24"/>
        <v>36</v>
      </c>
      <c r="BR50" s="235">
        <f t="shared" si="25"/>
        <v>44.444444444444443</v>
      </c>
    </row>
    <row r="51" spans="1:70" ht="15.75" x14ac:dyDescent="0.2">
      <c r="A51" s="169" t="s">
        <v>151</v>
      </c>
      <c r="B51" s="201" t="s">
        <v>339</v>
      </c>
      <c r="C51" s="214">
        <v>131</v>
      </c>
      <c r="D51" s="97">
        <v>131</v>
      </c>
      <c r="E51" s="214">
        <v>141</v>
      </c>
      <c r="F51" s="99">
        <f t="shared" si="7"/>
        <v>107.63358778625954</v>
      </c>
      <c r="G51" s="214">
        <v>42</v>
      </c>
      <c r="H51" s="97">
        <v>42</v>
      </c>
      <c r="I51" s="214">
        <v>41</v>
      </c>
      <c r="J51" s="99">
        <f t="shared" si="8"/>
        <v>97.61904761904762</v>
      </c>
      <c r="K51" s="214"/>
      <c r="L51" s="97">
        <f t="shared" si="43"/>
        <v>0</v>
      </c>
      <c r="M51" s="214"/>
      <c r="N51" s="99">
        <f t="shared" si="9"/>
        <v>0</v>
      </c>
      <c r="O51" s="214"/>
      <c r="P51" s="97">
        <f t="shared" si="43"/>
        <v>0</v>
      </c>
      <c r="Q51" s="214"/>
      <c r="R51" s="99">
        <f t="shared" si="10"/>
        <v>0</v>
      </c>
      <c r="S51" s="214"/>
      <c r="T51" s="97">
        <f t="shared" si="44"/>
        <v>0</v>
      </c>
      <c r="U51" s="214"/>
      <c r="V51" s="99">
        <f t="shared" si="11"/>
        <v>0</v>
      </c>
      <c r="W51" s="214"/>
      <c r="X51" s="97">
        <f t="shared" si="44"/>
        <v>0</v>
      </c>
      <c r="Y51" s="214"/>
      <c r="Z51" s="99">
        <f t="shared" si="12"/>
        <v>0</v>
      </c>
      <c r="AA51" s="214"/>
      <c r="AB51" s="97">
        <f t="shared" si="44"/>
        <v>0</v>
      </c>
      <c r="AC51" s="214"/>
      <c r="AD51" s="99">
        <f t="shared" si="13"/>
        <v>0</v>
      </c>
      <c r="AE51" s="214"/>
      <c r="AF51" s="97">
        <f t="shared" si="44"/>
        <v>0</v>
      </c>
      <c r="AG51" s="214"/>
      <c r="AH51" s="99">
        <f t="shared" si="14"/>
        <v>0</v>
      </c>
      <c r="AI51" s="214"/>
      <c r="AJ51" s="97">
        <f t="shared" si="45"/>
        <v>0</v>
      </c>
      <c r="AK51" s="214"/>
      <c r="AL51" s="99">
        <f t="shared" si="15"/>
        <v>0</v>
      </c>
      <c r="AM51" s="214"/>
      <c r="AN51" s="97">
        <f t="shared" si="45"/>
        <v>0</v>
      </c>
      <c r="AO51" s="214"/>
      <c r="AP51" s="99">
        <f t="shared" si="16"/>
        <v>0</v>
      </c>
      <c r="AQ51" s="214"/>
      <c r="AR51" s="97">
        <f t="shared" si="45"/>
        <v>0</v>
      </c>
      <c r="AS51" s="214"/>
      <c r="AT51" s="99">
        <f t="shared" si="17"/>
        <v>0</v>
      </c>
      <c r="AU51" s="214">
        <v>287</v>
      </c>
      <c r="AV51" s="97">
        <v>287</v>
      </c>
      <c r="AW51" s="214">
        <v>299</v>
      </c>
      <c r="AX51" s="99">
        <f t="shared" si="18"/>
        <v>104.18118466898956</v>
      </c>
      <c r="AY51" s="214"/>
      <c r="AZ51" s="97">
        <f t="shared" si="46"/>
        <v>0</v>
      </c>
      <c r="BA51" s="214"/>
      <c r="BB51" s="99">
        <f t="shared" si="19"/>
        <v>0</v>
      </c>
      <c r="BC51" s="214"/>
      <c r="BD51" s="97">
        <f t="shared" si="46"/>
        <v>0</v>
      </c>
      <c r="BE51" s="214"/>
      <c r="BF51" s="99" t="e">
        <f t="shared" si="32"/>
        <v>#DIV/0!</v>
      </c>
      <c r="BG51" s="214"/>
      <c r="BH51" s="97">
        <f t="shared" si="46"/>
        <v>0</v>
      </c>
      <c r="BI51" s="214"/>
      <c r="BJ51" s="99">
        <f t="shared" si="20"/>
        <v>0</v>
      </c>
      <c r="BK51" s="214"/>
      <c r="BL51" s="97">
        <f t="shared" si="46"/>
        <v>0</v>
      </c>
      <c r="BM51" s="214"/>
      <c r="BN51" s="99">
        <f t="shared" si="21"/>
        <v>0</v>
      </c>
      <c r="BO51" s="235">
        <f t="shared" si="22"/>
        <v>460</v>
      </c>
      <c r="BP51" s="235">
        <f t="shared" si="23"/>
        <v>460</v>
      </c>
      <c r="BQ51" s="235">
        <f t="shared" si="24"/>
        <v>481</v>
      </c>
      <c r="BR51" s="235">
        <f t="shared" si="25"/>
        <v>104.56521739130436</v>
      </c>
    </row>
    <row r="52" spans="1:70" ht="15.75" x14ac:dyDescent="0.2">
      <c r="A52" s="169" t="s">
        <v>152</v>
      </c>
      <c r="B52" s="201" t="s">
        <v>339</v>
      </c>
      <c r="C52" s="214">
        <v>26</v>
      </c>
      <c r="D52" s="97">
        <v>26</v>
      </c>
      <c r="E52" s="214">
        <v>36</v>
      </c>
      <c r="F52" s="99">
        <f t="shared" si="7"/>
        <v>138.46153846153845</v>
      </c>
      <c r="G52" s="214">
        <v>11</v>
      </c>
      <c r="H52" s="97">
        <v>11</v>
      </c>
      <c r="I52" s="214">
        <v>7</v>
      </c>
      <c r="J52" s="99">
        <f t="shared" si="8"/>
        <v>63.636363636363633</v>
      </c>
      <c r="K52" s="214"/>
      <c r="L52" s="97">
        <f t="shared" si="43"/>
        <v>0</v>
      </c>
      <c r="M52" s="214"/>
      <c r="N52" s="99">
        <f t="shared" si="9"/>
        <v>0</v>
      </c>
      <c r="O52" s="214"/>
      <c r="P52" s="97">
        <f t="shared" si="43"/>
        <v>0</v>
      </c>
      <c r="Q52" s="214"/>
      <c r="R52" s="99">
        <f t="shared" si="10"/>
        <v>0</v>
      </c>
      <c r="S52" s="214"/>
      <c r="T52" s="97">
        <f t="shared" si="44"/>
        <v>0</v>
      </c>
      <c r="U52" s="214"/>
      <c r="V52" s="99">
        <f t="shared" si="11"/>
        <v>0</v>
      </c>
      <c r="W52" s="214"/>
      <c r="X52" s="97">
        <f t="shared" si="44"/>
        <v>0</v>
      </c>
      <c r="Y52" s="214"/>
      <c r="Z52" s="99">
        <f t="shared" si="12"/>
        <v>0</v>
      </c>
      <c r="AA52" s="214"/>
      <c r="AB52" s="97">
        <f t="shared" si="44"/>
        <v>0</v>
      </c>
      <c r="AC52" s="214"/>
      <c r="AD52" s="99">
        <f t="shared" si="13"/>
        <v>0</v>
      </c>
      <c r="AE52" s="214"/>
      <c r="AF52" s="97">
        <f t="shared" si="44"/>
        <v>0</v>
      </c>
      <c r="AG52" s="214"/>
      <c r="AH52" s="99">
        <f t="shared" si="14"/>
        <v>0</v>
      </c>
      <c r="AI52" s="214"/>
      <c r="AJ52" s="97">
        <f t="shared" si="45"/>
        <v>0</v>
      </c>
      <c r="AK52" s="214"/>
      <c r="AL52" s="99">
        <f t="shared" si="15"/>
        <v>0</v>
      </c>
      <c r="AM52" s="214"/>
      <c r="AN52" s="97">
        <f t="shared" si="45"/>
        <v>0</v>
      </c>
      <c r="AO52" s="214"/>
      <c r="AP52" s="99">
        <f t="shared" si="16"/>
        <v>0</v>
      </c>
      <c r="AQ52" s="214"/>
      <c r="AR52" s="97">
        <f t="shared" si="45"/>
        <v>0</v>
      </c>
      <c r="AS52" s="214"/>
      <c r="AT52" s="99">
        <f t="shared" si="17"/>
        <v>0</v>
      </c>
      <c r="AU52" s="214">
        <v>110</v>
      </c>
      <c r="AV52" s="97">
        <v>110</v>
      </c>
      <c r="AW52" s="214">
        <v>94</v>
      </c>
      <c r="AX52" s="99">
        <f t="shared" si="18"/>
        <v>85.454545454545453</v>
      </c>
      <c r="AY52" s="214"/>
      <c r="AZ52" s="97">
        <f t="shared" si="46"/>
        <v>0</v>
      </c>
      <c r="BA52" s="214"/>
      <c r="BB52" s="99">
        <f t="shared" si="19"/>
        <v>0</v>
      </c>
      <c r="BC52" s="214"/>
      <c r="BD52" s="97">
        <f t="shared" si="46"/>
        <v>0</v>
      </c>
      <c r="BE52" s="214"/>
      <c r="BF52" s="99" t="e">
        <f t="shared" si="32"/>
        <v>#DIV/0!</v>
      </c>
      <c r="BG52" s="214"/>
      <c r="BH52" s="97">
        <f t="shared" si="46"/>
        <v>0</v>
      </c>
      <c r="BI52" s="214"/>
      <c r="BJ52" s="99">
        <f t="shared" si="20"/>
        <v>0</v>
      </c>
      <c r="BK52" s="214"/>
      <c r="BL52" s="97">
        <f t="shared" si="46"/>
        <v>0</v>
      </c>
      <c r="BM52" s="214"/>
      <c r="BN52" s="99">
        <f t="shared" si="21"/>
        <v>0</v>
      </c>
      <c r="BO52" s="235">
        <f t="shared" si="22"/>
        <v>147</v>
      </c>
      <c r="BP52" s="235">
        <f t="shared" si="23"/>
        <v>147</v>
      </c>
      <c r="BQ52" s="235">
        <f t="shared" si="24"/>
        <v>137</v>
      </c>
      <c r="BR52" s="235">
        <f t="shared" si="25"/>
        <v>93.197278911564624</v>
      </c>
    </row>
    <row r="53" spans="1:70" ht="31.5" x14ac:dyDescent="0.25">
      <c r="A53" s="174" t="s">
        <v>154</v>
      </c>
      <c r="B53" s="199" t="s">
        <v>3</v>
      </c>
      <c r="C53" s="216">
        <f t="shared" ref="C53:BL53" si="49">C54+C55+C70+C74</f>
        <v>46155</v>
      </c>
      <c r="D53" s="216">
        <f t="shared" si="49"/>
        <v>46155</v>
      </c>
      <c r="E53" s="216">
        <f t="shared" ref="E53:BM53" si="50">E54+E55+E70+E74</f>
        <v>54523</v>
      </c>
      <c r="F53" s="163">
        <f t="shared" si="7"/>
        <v>118.13021341133138</v>
      </c>
      <c r="G53" s="216">
        <f t="shared" si="49"/>
        <v>12049</v>
      </c>
      <c r="H53" s="216">
        <f t="shared" si="49"/>
        <v>12049</v>
      </c>
      <c r="I53" s="216">
        <f t="shared" si="50"/>
        <v>9036</v>
      </c>
      <c r="J53" s="163">
        <f t="shared" si="8"/>
        <v>74.993775417047061</v>
      </c>
      <c r="K53" s="216">
        <f t="shared" si="49"/>
        <v>2790</v>
      </c>
      <c r="L53" s="216">
        <f t="shared" si="49"/>
        <v>2790</v>
      </c>
      <c r="M53" s="216">
        <f t="shared" si="50"/>
        <v>1917</v>
      </c>
      <c r="N53" s="163">
        <f t="shared" si="9"/>
        <v>68.709677419354847</v>
      </c>
      <c r="O53" s="216">
        <f t="shared" si="49"/>
        <v>7860</v>
      </c>
      <c r="P53" s="216">
        <f t="shared" si="49"/>
        <v>7860</v>
      </c>
      <c r="Q53" s="216">
        <f t="shared" si="50"/>
        <v>7640</v>
      </c>
      <c r="R53" s="163">
        <f t="shared" si="10"/>
        <v>97.201017811704844</v>
      </c>
      <c r="S53" s="216">
        <f t="shared" si="49"/>
        <v>0</v>
      </c>
      <c r="T53" s="162">
        <f t="shared" si="44"/>
        <v>0</v>
      </c>
      <c r="U53" s="216">
        <f t="shared" si="50"/>
        <v>0</v>
      </c>
      <c r="V53" s="163">
        <f t="shared" si="11"/>
        <v>0</v>
      </c>
      <c r="W53" s="216">
        <f t="shared" si="49"/>
        <v>0</v>
      </c>
      <c r="X53" s="162">
        <f t="shared" si="44"/>
        <v>0</v>
      </c>
      <c r="Y53" s="216">
        <f t="shared" si="50"/>
        <v>0</v>
      </c>
      <c r="Z53" s="163">
        <f t="shared" si="12"/>
        <v>0</v>
      </c>
      <c r="AA53" s="216">
        <f t="shared" si="49"/>
        <v>0</v>
      </c>
      <c r="AB53" s="162">
        <f t="shared" si="44"/>
        <v>0</v>
      </c>
      <c r="AC53" s="216">
        <f t="shared" si="50"/>
        <v>0</v>
      </c>
      <c r="AD53" s="163">
        <f t="shared" si="13"/>
        <v>0</v>
      </c>
      <c r="AE53" s="216">
        <f t="shared" si="49"/>
        <v>0</v>
      </c>
      <c r="AF53" s="162">
        <f t="shared" si="44"/>
        <v>0</v>
      </c>
      <c r="AG53" s="216">
        <f t="shared" si="50"/>
        <v>0</v>
      </c>
      <c r="AH53" s="163">
        <f t="shared" si="14"/>
        <v>0</v>
      </c>
      <c r="AI53" s="216">
        <f t="shared" si="49"/>
        <v>0</v>
      </c>
      <c r="AJ53" s="162">
        <f t="shared" si="45"/>
        <v>0</v>
      </c>
      <c r="AK53" s="216">
        <f t="shared" si="50"/>
        <v>0</v>
      </c>
      <c r="AL53" s="163">
        <f t="shared" si="15"/>
        <v>0</v>
      </c>
      <c r="AM53" s="216">
        <f t="shared" si="49"/>
        <v>0</v>
      </c>
      <c r="AN53" s="162">
        <f t="shared" si="45"/>
        <v>0</v>
      </c>
      <c r="AO53" s="216">
        <f t="shared" si="50"/>
        <v>0</v>
      </c>
      <c r="AP53" s="163">
        <f t="shared" si="16"/>
        <v>0</v>
      </c>
      <c r="AQ53" s="216">
        <f t="shared" si="49"/>
        <v>0</v>
      </c>
      <c r="AR53" s="162">
        <f t="shared" si="45"/>
        <v>0</v>
      </c>
      <c r="AS53" s="216">
        <f t="shared" si="50"/>
        <v>0</v>
      </c>
      <c r="AT53" s="163">
        <f t="shared" si="17"/>
        <v>0</v>
      </c>
      <c r="AU53" s="216">
        <f t="shared" si="49"/>
        <v>77327</v>
      </c>
      <c r="AV53" s="216">
        <f t="shared" si="49"/>
        <v>77327</v>
      </c>
      <c r="AW53" s="216">
        <f t="shared" si="50"/>
        <v>106216</v>
      </c>
      <c r="AX53" s="163">
        <f t="shared" si="18"/>
        <v>137.35952513352387</v>
      </c>
      <c r="AY53" s="216">
        <f t="shared" si="49"/>
        <v>100</v>
      </c>
      <c r="AZ53" s="216">
        <f t="shared" si="49"/>
        <v>100</v>
      </c>
      <c r="BA53" s="216">
        <f t="shared" si="50"/>
        <v>123</v>
      </c>
      <c r="BB53" s="163">
        <f t="shared" si="19"/>
        <v>123</v>
      </c>
      <c r="BC53" s="216">
        <f t="shared" si="49"/>
        <v>0</v>
      </c>
      <c r="BD53" s="162">
        <f t="shared" si="46"/>
        <v>0</v>
      </c>
      <c r="BE53" s="216">
        <f t="shared" si="50"/>
        <v>0</v>
      </c>
      <c r="BF53" s="163" t="e">
        <f t="shared" si="32"/>
        <v>#DIV/0!</v>
      </c>
      <c r="BG53" s="216">
        <f t="shared" si="49"/>
        <v>245</v>
      </c>
      <c r="BH53" s="216">
        <f t="shared" si="49"/>
        <v>245</v>
      </c>
      <c r="BI53" s="216">
        <f t="shared" si="50"/>
        <v>239</v>
      </c>
      <c r="BJ53" s="163">
        <f t="shared" si="20"/>
        <v>97.551020408163268</v>
      </c>
      <c r="BK53" s="216">
        <f t="shared" si="49"/>
        <v>2024</v>
      </c>
      <c r="BL53" s="216">
        <f t="shared" si="49"/>
        <v>2024</v>
      </c>
      <c r="BM53" s="216">
        <f t="shared" si="50"/>
        <v>3379</v>
      </c>
      <c r="BN53" s="163">
        <f t="shared" si="21"/>
        <v>166.94664031620553</v>
      </c>
      <c r="BO53" s="235">
        <f t="shared" si="22"/>
        <v>148550</v>
      </c>
      <c r="BP53" s="235">
        <f t="shared" si="23"/>
        <v>148550</v>
      </c>
      <c r="BQ53" s="235">
        <f t="shared" si="24"/>
        <v>183073</v>
      </c>
      <c r="BR53" s="235">
        <f t="shared" si="25"/>
        <v>123.23998653651968</v>
      </c>
    </row>
    <row r="54" spans="1:70" s="275" customFormat="1" ht="31.5" x14ac:dyDescent="0.25">
      <c r="A54" s="265" t="s">
        <v>155</v>
      </c>
      <c r="B54" s="274"/>
      <c r="C54" s="269">
        <v>1008</v>
      </c>
      <c r="D54" s="195">
        <v>1008</v>
      </c>
      <c r="E54" s="269">
        <v>992</v>
      </c>
      <c r="F54" s="99">
        <f t="shared" si="7"/>
        <v>98.412698412698404</v>
      </c>
      <c r="G54" s="269">
        <v>200</v>
      </c>
      <c r="H54" s="195">
        <v>200</v>
      </c>
      <c r="I54" s="269">
        <v>189</v>
      </c>
      <c r="J54" s="99">
        <f t="shared" si="8"/>
        <v>94.5</v>
      </c>
      <c r="K54" s="269">
        <v>2790</v>
      </c>
      <c r="L54" s="195">
        <v>2790</v>
      </c>
      <c r="M54" s="269">
        <v>1917</v>
      </c>
      <c r="N54" s="99">
        <f t="shared" si="9"/>
        <v>68.709677419354847</v>
      </c>
      <c r="O54" s="269">
        <v>7860</v>
      </c>
      <c r="P54" s="195">
        <v>7860</v>
      </c>
      <c r="Q54" s="269">
        <v>7640</v>
      </c>
      <c r="R54" s="99">
        <f t="shared" si="10"/>
        <v>97.201017811704844</v>
      </c>
      <c r="S54" s="269"/>
      <c r="T54" s="195">
        <f t="shared" si="44"/>
        <v>0</v>
      </c>
      <c r="U54" s="269"/>
      <c r="V54" s="99">
        <f t="shared" si="11"/>
        <v>0</v>
      </c>
      <c r="W54" s="269"/>
      <c r="X54" s="195">
        <f t="shared" si="44"/>
        <v>0</v>
      </c>
      <c r="Y54" s="269"/>
      <c r="Z54" s="99">
        <f t="shared" si="12"/>
        <v>0</v>
      </c>
      <c r="AA54" s="269"/>
      <c r="AB54" s="195">
        <f t="shared" si="44"/>
        <v>0</v>
      </c>
      <c r="AC54" s="269"/>
      <c r="AD54" s="99">
        <f t="shared" si="13"/>
        <v>0</v>
      </c>
      <c r="AE54" s="269"/>
      <c r="AF54" s="195">
        <f t="shared" si="44"/>
        <v>0</v>
      </c>
      <c r="AG54" s="269"/>
      <c r="AH54" s="99">
        <f t="shared" si="14"/>
        <v>0</v>
      </c>
      <c r="AI54" s="269"/>
      <c r="AJ54" s="195">
        <f t="shared" si="45"/>
        <v>0</v>
      </c>
      <c r="AK54" s="269"/>
      <c r="AL54" s="99">
        <f t="shared" si="15"/>
        <v>0</v>
      </c>
      <c r="AM54" s="269"/>
      <c r="AN54" s="195">
        <f t="shared" si="45"/>
        <v>0</v>
      </c>
      <c r="AO54" s="269"/>
      <c r="AP54" s="99">
        <f t="shared" si="16"/>
        <v>0</v>
      </c>
      <c r="AQ54" s="269"/>
      <c r="AR54" s="195">
        <f t="shared" si="45"/>
        <v>0</v>
      </c>
      <c r="AS54" s="269"/>
      <c r="AT54" s="99">
        <f t="shared" si="17"/>
        <v>0</v>
      </c>
      <c r="AU54" s="269"/>
      <c r="AV54" s="195">
        <f t="shared" si="45"/>
        <v>0</v>
      </c>
      <c r="AW54" s="269"/>
      <c r="AX54" s="99">
        <f t="shared" si="18"/>
        <v>0</v>
      </c>
      <c r="AY54" s="269">
        <v>100</v>
      </c>
      <c r="AZ54" s="195">
        <v>100</v>
      </c>
      <c r="BA54" s="269">
        <v>123</v>
      </c>
      <c r="BB54" s="99">
        <f t="shared" si="19"/>
        <v>123</v>
      </c>
      <c r="BC54" s="269"/>
      <c r="BD54" s="195">
        <f t="shared" si="46"/>
        <v>0</v>
      </c>
      <c r="BE54" s="269"/>
      <c r="BF54" s="99" t="e">
        <f t="shared" si="32"/>
        <v>#DIV/0!</v>
      </c>
      <c r="BG54" s="269">
        <v>245</v>
      </c>
      <c r="BH54" s="195">
        <v>245</v>
      </c>
      <c r="BI54" s="269">
        <v>239</v>
      </c>
      <c r="BJ54" s="99">
        <f t="shared" si="20"/>
        <v>97.551020408163268</v>
      </c>
      <c r="BK54" s="269">
        <v>500</v>
      </c>
      <c r="BL54" s="195">
        <v>500</v>
      </c>
      <c r="BM54" s="269">
        <v>707</v>
      </c>
      <c r="BN54" s="99">
        <f t="shared" si="21"/>
        <v>141.4</v>
      </c>
      <c r="BO54" s="278">
        <f t="shared" si="22"/>
        <v>12703</v>
      </c>
      <c r="BP54" s="278">
        <f t="shared" si="23"/>
        <v>12703</v>
      </c>
      <c r="BQ54" s="278">
        <f t="shared" si="24"/>
        <v>11807</v>
      </c>
      <c r="BR54" s="278">
        <f t="shared" si="25"/>
        <v>92.946548059513503</v>
      </c>
    </row>
    <row r="55" spans="1:70" ht="31.5" x14ac:dyDescent="0.25">
      <c r="A55" s="180" t="s">
        <v>204</v>
      </c>
      <c r="B55" s="196" t="s">
        <v>3</v>
      </c>
      <c r="C55" s="217">
        <f t="shared" ref="C55:BK55" si="51">C56*4+C57+C58*3+C59*6+C60*2+C61*7+C62*2+C63*4+C64*8+C65*8+C66*3+C67*2+C68*7+C69*9</f>
        <v>26360</v>
      </c>
      <c r="D55" s="217">
        <f t="shared" si="51"/>
        <v>26360</v>
      </c>
      <c r="E55" s="217">
        <f t="shared" ref="E55:BM55" si="52">E56*4+E57+E58*3+E59*6+E60*2+E61*7+E62*2+E63*4+E64*8+E65*8+E66*3+E67*2+E68*7+E69*9</f>
        <v>30601</v>
      </c>
      <c r="F55" s="117">
        <f t="shared" si="7"/>
        <v>116.08877086494689</v>
      </c>
      <c r="G55" s="217">
        <f t="shared" si="51"/>
        <v>7209</v>
      </c>
      <c r="H55" s="217">
        <f t="shared" si="51"/>
        <v>7209</v>
      </c>
      <c r="I55" s="217">
        <f t="shared" si="52"/>
        <v>6054</v>
      </c>
      <c r="J55" s="117">
        <f t="shared" si="8"/>
        <v>83.97836038285476</v>
      </c>
      <c r="K55" s="217">
        <f t="shared" si="51"/>
        <v>0</v>
      </c>
      <c r="L55" s="115">
        <f t="shared" si="43"/>
        <v>0</v>
      </c>
      <c r="M55" s="217">
        <f t="shared" si="52"/>
        <v>0</v>
      </c>
      <c r="N55" s="117">
        <f t="shared" si="9"/>
        <v>0</v>
      </c>
      <c r="O55" s="217">
        <f t="shared" si="51"/>
        <v>0</v>
      </c>
      <c r="P55" s="115">
        <f t="shared" si="43"/>
        <v>0</v>
      </c>
      <c r="Q55" s="217">
        <f t="shared" si="52"/>
        <v>0</v>
      </c>
      <c r="R55" s="117">
        <f t="shared" si="10"/>
        <v>0</v>
      </c>
      <c r="S55" s="217">
        <f t="shared" si="51"/>
        <v>0</v>
      </c>
      <c r="T55" s="115">
        <f t="shared" si="44"/>
        <v>0</v>
      </c>
      <c r="U55" s="217">
        <f t="shared" si="52"/>
        <v>0</v>
      </c>
      <c r="V55" s="117">
        <f t="shared" si="11"/>
        <v>0</v>
      </c>
      <c r="W55" s="217">
        <f t="shared" si="51"/>
        <v>0</v>
      </c>
      <c r="X55" s="115">
        <f t="shared" si="44"/>
        <v>0</v>
      </c>
      <c r="Y55" s="217">
        <f t="shared" si="52"/>
        <v>0</v>
      </c>
      <c r="Z55" s="117">
        <f t="shared" si="12"/>
        <v>0</v>
      </c>
      <c r="AA55" s="217">
        <f t="shared" si="51"/>
        <v>0</v>
      </c>
      <c r="AB55" s="115">
        <f t="shared" si="44"/>
        <v>0</v>
      </c>
      <c r="AC55" s="217">
        <f t="shared" si="52"/>
        <v>0</v>
      </c>
      <c r="AD55" s="117">
        <f t="shared" si="13"/>
        <v>0</v>
      </c>
      <c r="AE55" s="217">
        <f t="shared" si="51"/>
        <v>0</v>
      </c>
      <c r="AF55" s="115">
        <f t="shared" si="44"/>
        <v>0</v>
      </c>
      <c r="AG55" s="217">
        <f t="shared" si="52"/>
        <v>0</v>
      </c>
      <c r="AH55" s="117">
        <f t="shared" si="14"/>
        <v>0</v>
      </c>
      <c r="AI55" s="217">
        <f t="shared" si="51"/>
        <v>0</v>
      </c>
      <c r="AJ55" s="115">
        <f t="shared" si="45"/>
        <v>0</v>
      </c>
      <c r="AK55" s="217">
        <f t="shared" si="52"/>
        <v>0</v>
      </c>
      <c r="AL55" s="117">
        <f t="shared" si="15"/>
        <v>0</v>
      </c>
      <c r="AM55" s="217">
        <f t="shared" si="51"/>
        <v>0</v>
      </c>
      <c r="AN55" s="115">
        <f t="shared" si="45"/>
        <v>0</v>
      </c>
      <c r="AO55" s="217">
        <f t="shared" si="52"/>
        <v>0</v>
      </c>
      <c r="AP55" s="117">
        <f t="shared" si="16"/>
        <v>0</v>
      </c>
      <c r="AQ55" s="217">
        <f t="shared" si="51"/>
        <v>0</v>
      </c>
      <c r="AR55" s="115">
        <f t="shared" si="45"/>
        <v>0</v>
      </c>
      <c r="AS55" s="217">
        <f t="shared" si="52"/>
        <v>0</v>
      </c>
      <c r="AT55" s="117">
        <f t="shared" si="17"/>
        <v>0</v>
      </c>
      <c r="AU55" s="217">
        <f t="shared" si="51"/>
        <v>50916</v>
      </c>
      <c r="AV55" s="217">
        <f t="shared" si="51"/>
        <v>50916</v>
      </c>
      <c r="AW55" s="217">
        <f t="shared" si="52"/>
        <v>89402</v>
      </c>
      <c r="AX55" s="117">
        <f t="shared" si="18"/>
        <v>175.58724173147931</v>
      </c>
      <c r="AY55" s="217">
        <f t="shared" si="51"/>
        <v>0</v>
      </c>
      <c r="AZ55" s="115">
        <f t="shared" si="46"/>
        <v>0</v>
      </c>
      <c r="BA55" s="217">
        <f t="shared" si="52"/>
        <v>0</v>
      </c>
      <c r="BB55" s="117">
        <f t="shared" si="19"/>
        <v>0</v>
      </c>
      <c r="BC55" s="217">
        <f t="shared" si="51"/>
        <v>0</v>
      </c>
      <c r="BD55" s="115">
        <f t="shared" si="46"/>
        <v>0</v>
      </c>
      <c r="BE55" s="217">
        <f t="shared" si="52"/>
        <v>0</v>
      </c>
      <c r="BF55" s="117" t="e">
        <f t="shared" si="32"/>
        <v>#DIV/0!</v>
      </c>
      <c r="BG55" s="217"/>
      <c r="BH55" s="115">
        <f t="shared" si="46"/>
        <v>0</v>
      </c>
      <c r="BI55" s="217">
        <f t="shared" si="52"/>
        <v>0</v>
      </c>
      <c r="BJ55" s="117">
        <f t="shared" si="20"/>
        <v>0</v>
      </c>
      <c r="BK55" s="217">
        <f t="shared" si="51"/>
        <v>274</v>
      </c>
      <c r="BL55" s="115">
        <f t="shared" si="46"/>
        <v>274</v>
      </c>
      <c r="BM55" s="217">
        <f t="shared" si="52"/>
        <v>1691</v>
      </c>
      <c r="BN55" s="117">
        <f t="shared" si="21"/>
        <v>617.15328467153279</v>
      </c>
      <c r="BO55" s="235">
        <f t="shared" si="22"/>
        <v>84759</v>
      </c>
      <c r="BP55" s="235">
        <f t="shared" si="23"/>
        <v>84759</v>
      </c>
      <c r="BQ55" s="235">
        <f t="shared" si="24"/>
        <v>127748</v>
      </c>
      <c r="BR55" s="235">
        <f t="shared" si="25"/>
        <v>150.71909767694288</v>
      </c>
    </row>
    <row r="56" spans="1:70" ht="31.5" x14ac:dyDescent="0.2">
      <c r="A56" s="183" t="s">
        <v>157</v>
      </c>
      <c r="B56" s="201" t="s">
        <v>339</v>
      </c>
      <c r="C56" s="214">
        <v>48</v>
      </c>
      <c r="D56" s="97">
        <v>48</v>
      </c>
      <c r="E56" s="214">
        <v>1</v>
      </c>
      <c r="F56" s="99">
        <f t="shared" si="7"/>
        <v>2.083333333333333</v>
      </c>
      <c r="G56" s="214">
        <v>112</v>
      </c>
      <c r="H56" s="97">
        <v>112</v>
      </c>
      <c r="I56" s="214">
        <v>99</v>
      </c>
      <c r="J56" s="99">
        <f t="shared" si="8"/>
        <v>88.392857142857139</v>
      </c>
      <c r="K56" s="214"/>
      <c r="L56" s="97">
        <f t="shared" si="43"/>
        <v>0</v>
      </c>
      <c r="M56" s="214"/>
      <c r="N56" s="99">
        <f t="shared" si="9"/>
        <v>0</v>
      </c>
      <c r="O56" s="214"/>
      <c r="P56" s="97">
        <f t="shared" si="43"/>
        <v>0</v>
      </c>
      <c r="Q56" s="214"/>
      <c r="R56" s="99">
        <f t="shared" si="10"/>
        <v>0</v>
      </c>
      <c r="S56" s="214"/>
      <c r="T56" s="97">
        <f t="shared" si="44"/>
        <v>0</v>
      </c>
      <c r="U56" s="214"/>
      <c r="V56" s="99">
        <f t="shared" si="11"/>
        <v>0</v>
      </c>
      <c r="W56" s="214"/>
      <c r="X56" s="97">
        <f t="shared" si="44"/>
        <v>0</v>
      </c>
      <c r="Y56" s="214"/>
      <c r="Z56" s="99">
        <f t="shared" si="12"/>
        <v>0</v>
      </c>
      <c r="AA56" s="214"/>
      <c r="AB56" s="97">
        <f t="shared" si="44"/>
        <v>0</v>
      </c>
      <c r="AC56" s="214"/>
      <c r="AD56" s="99">
        <f t="shared" si="13"/>
        <v>0</v>
      </c>
      <c r="AE56" s="214"/>
      <c r="AF56" s="97">
        <f t="shared" si="44"/>
        <v>0</v>
      </c>
      <c r="AG56" s="214"/>
      <c r="AH56" s="99">
        <f t="shared" si="14"/>
        <v>0</v>
      </c>
      <c r="AI56" s="214"/>
      <c r="AJ56" s="97">
        <f t="shared" si="45"/>
        <v>0</v>
      </c>
      <c r="AK56" s="214"/>
      <c r="AL56" s="99">
        <f t="shared" si="15"/>
        <v>0</v>
      </c>
      <c r="AM56" s="214"/>
      <c r="AN56" s="97">
        <f t="shared" si="45"/>
        <v>0</v>
      </c>
      <c r="AO56" s="214"/>
      <c r="AP56" s="99">
        <f t="shared" si="16"/>
        <v>0</v>
      </c>
      <c r="AQ56" s="214"/>
      <c r="AR56" s="97">
        <f t="shared" si="45"/>
        <v>0</v>
      </c>
      <c r="AS56" s="214"/>
      <c r="AT56" s="99">
        <f t="shared" si="17"/>
        <v>0</v>
      </c>
      <c r="AU56" s="214">
        <v>783</v>
      </c>
      <c r="AV56" s="97">
        <v>783</v>
      </c>
      <c r="AW56" s="214">
        <v>1172</v>
      </c>
      <c r="AX56" s="99">
        <f t="shared" si="18"/>
        <v>149.68071519795657</v>
      </c>
      <c r="AY56" s="214"/>
      <c r="AZ56" s="97">
        <f t="shared" si="46"/>
        <v>0</v>
      </c>
      <c r="BA56" s="214"/>
      <c r="BB56" s="99">
        <f t="shared" si="19"/>
        <v>0</v>
      </c>
      <c r="BC56" s="214"/>
      <c r="BD56" s="97">
        <f t="shared" si="46"/>
        <v>0</v>
      </c>
      <c r="BE56" s="214"/>
      <c r="BF56" s="99" t="e">
        <f t="shared" si="32"/>
        <v>#DIV/0!</v>
      </c>
      <c r="BG56" s="214"/>
      <c r="BH56" s="97">
        <f t="shared" si="46"/>
        <v>0</v>
      </c>
      <c r="BI56" s="214"/>
      <c r="BJ56" s="99">
        <f t="shared" si="20"/>
        <v>0</v>
      </c>
      <c r="BK56" s="214"/>
      <c r="BL56" s="97">
        <f t="shared" si="46"/>
        <v>0</v>
      </c>
      <c r="BM56" s="214">
        <v>18</v>
      </c>
      <c r="BN56" s="99">
        <f t="shared" si="21"/>
        <v>0</v>
      </c>
      <c r="BO56" s="235">
        <f t="shared" si="22"/>
        <v>943</v>
      </c>
      <c r="BP56" s="235">
        <f t="shared" si="23"/>
        <v>943</v>
      </c>
      <c r="BQ56" s="235">
        <f t="shared" si="24"/>
        <v>1290</v>
      </c>
      <c r="BR56" s="235">
        <f t="shared" si="25"/>
        <v>136.79745493107106</v>
      </c>
    </row>
    <row r="57" spans="1:70" ht="63" x14ac:dyDescent="0.2">
      <c r="A57" s="183" t="s">
        <v>158</v>
      </c>
      <c r="B57" s="201" t="s">
        <v>339</v>
      </c>
      <c r="C57" s="214">
        <v>1420</v>
      </c>
      <c r="D57" s="97">
        <v>1420</v>
      </c>
      <c r="E57" s="214">
        <v>745</v>
      </c>
      <c r="F57" s="99">
        <f t="shared" si="7"/>
        <v>52.464788732394361</v>
      </c>
      <c r="G57" s="214">
        <v>521</v>
      </c>
      <c r="H57" s="97">
        <v>521</v>
      </c>
      <c r="I57" s="214">
        <v>1220</v>
      </c>
      <c r="J57" s="99">
        <f t="shared" si="8"/>
        <v>234.16506717850291</v>
      </c>
      <c r="K57" s="214"/>
      <c r="L57" s="97">
        <f t="shared" si="43"/>
        <v>0</v>
      </c>
      <c r="M57" s="214"/>
      <c r="N57" s="99">
        <f t="shared" si="9"/>
        <v>0</v>
      </c>
      <c r="O57" s="214"/>
      <c r="P57" s="97">
        <f t="shared" si="43"/>
        <v>0</v>
      </c>
      <c r="Q57" s="214"/>
      <c r="R57" s="99">
        <f t="shared" si="10"/>
        <v>0</v>
      </c>
      <c r="S57" s="214"/>
      <c r="T57" s="97">
        <f t="shared" si="44"/>
        <v>0</v>
      </c>
      <c r="U57" s="214"/>
      <c r="V57" s="99">
        <f t="shared" si="11"/>
        <v>0</v>
      </c>
      <c r="W57" s="214"/>
      <c r="X57" s="97">
        <f t="shared" si="44"/>
        <v>0</v>
      </c>
      <c r="Y57" s="214"/>
      <c r="Z57" s="99">
        <f t="shared" si="12"/>
        <v>0</v>
      </c>
      <c r="AA57" s="214"/>
      <c r="AB57" s="97">
        <f t="shared" si="44"/>
        <v>0</v>
      </c>
      <c r="AC57" s="214"/>
      <c r="AD57" s="99">
        <f t="shared" si="13"/>
        <v>0</v>
      </c>
      <c r="AE57" s="214"/>
      <c r="AF57" s="97">
        <f t="shared" si="44"/>
        <v>0</v>
      </c>
      <c r="AG57" s="214"/>
      <c r="AH57" s="99">
        <f t="shared" si="14"/>
        <v>0</v>
      </c>
      <c r="AI57" s="214"/>
      <c r="AJ57" s="97">
        <f t="shared" si="45"/>
        <v>0</v>
      </c>
      <c r="AK57" s="214"/>
      <c r="AL57" s="99">
        <f t="shared" si="15"/>
        <v>0</v>
      </c>
      <c r="AM57" s="214"/>
      <c r="AN57" s="97">
        <f t="shared" si="45"/>
        <v>0</v>
      </c>
      <c r="AO57" s="214"/>
      <c r="AP57" s="99">
        <f t="shared" si="16"/>
        <v>0</v>
      </c>
      <c r="AQ57" s="214"/>
      <c r="AR57" s="97">
        <f t="shared" si="45"/>
        <v>0</v>
      </c>
      <c r="AS57" s="214"/>
      <c r="AT57" s="99">
        <f t="shared" si="17"/>
        <v>0</v>
      </c>
      <c r="AU57" s="214">
        <v>10182</v>
      </c>
      <c r="AV57" s="97">
        <v>10182</v>
      </c>
      <c r="AW57" s="214">
        <v>14583</v>
      </c>
      <c r="AX57" s="99">
        <f t="shared" si="18"/>
        <v>143.22333529758399</v>
      </c>
      <c r="AY57" s="214"/>
      <c r="AZ57" s="97">
        <f t="shared" si="46"/>
        <v>0</v>
      </c>
      <c r="BA57" s="214"/>
      <c r="BB57" s="99">
        <f t="shared" si="19"/>
        <v>0</v>
      </c>
      <c r="BC57" s="214"/>
      <c r="BD57" s="97">
        <f t="shared" si="46"/>
        <v>0</v>
      </c>
      <c r="BE57" s="214"/>
      <c r="BF57" s="99" t="e">
        <f t="shared" si="32"/>
        <v>#DIV/0!</v>
      </c>
      <c r="BG57" s="214"/>
      <c r="BH57" s="97">
        <f t="shared" si="46"/>
        <v>0</v>
      </c>
      <c r="BI57" s="214"/>
      <c r="BJ57" s="99">
        <f t="shared" si="20"/>
        <v>0</v>
      </c>
      <c r="BK57" s="214">
        <v>274</v>
      </c>
      <c r="BL57" s="97">
        <f t="shared" si="46"/>
        <v>274</v>
      </c>
      <c r="BM57" s="214">
        <v>211</v>
      </c>
      <c r="BN57" s="99">
        <f t="shared" si="21"/>
        <v>77.007299270072991</v>
      </c>
      <c r="BO57" s="235">
        <f t="shared" si="22"/>
        <v>12397</v>
      </c>
      <c r="BP57" s="235">
        <f t="shared" si="23"/>
        <v>12397</v>
      </c>
      <c r="BQ57" s="235">
        <f t="shared" si="24"/>
        <v>16759</v>
      </c>
      <c r="BR57" s="235">
        <f t="shared" si="25"/>
        <v>135.18593208034201</v>
      </c>
    </row>
    <row r="58" spans="1:70" ht="31.5" x14ac:dyDescent="0.2">
      <c r="A58" s="183" t="s">
        <v>198</v>
      </c>
      <c r="B58" s="201" t="s">
        <v>339</v>
      </c>
      <c r="C58" s="214">
        <v>99</v>
      </c>
      <c r="D58" s="97">
        <v>99</v>
      </c>
      <c r="E58" s="214">
        <v>0</v>
      </c>
      <c r="F58" s="99">
        <f t="shared" si="7"/>
        <v>0</v>
      </c>
      <c r="G58" s="214">
        <v>224</v>
      </c>
      <c r="H58" s="97">
        <v>224</v>
      </c>
      <c r="I58" s="214">
        <v>233</v>
      </c>
      <c r="J58" s="99">
        <f t="shared" si="8"/>
        <v>104.01785714285714</v>
      </c>
      <c r="K58" s="214"/>
      <c r="L58" s="97">
        <f t="shared" si="43"/>
        <v>0</v>
      </c>
      <c r="M58" s="214"/>
      <c r="N58" s="99">
        <f t="shared" si="9"/>
        <v>0</v>
      </c>
      <c r="O58" s="214"/>
      <c r="P58" s="97">
        <f t="shared" si="43"/>
        <v>0</v>
      </c>
      <c r="Q58" s="214"/>
      <c r="R58" s="99">
        <f t="shared" si="10"/>
        <v>0</v>
      </c>
      <c r="S58" s="214"/>
      <c r="T58" s="97">
        <f t="shared" si="44"/>
        <v>0</v>
      </c>
      <c r="U58" s="214"/>
      <c r="V58" s="99">
        <f t="shared" si="11"/>
        <v>0</v>
      </c>
      <c r="W58" s="214"/>
      <c r="X58" s="97">
        <f t="shared" si="44"/>
        <v>0</v>
      </c>
      <c r="Y58" s="214"/>
      <c r="Z58" s="99">
        <f t="shared" si="12"/>
        <v>0</v>
      </c>
      <c r="AA58" s="214"/>
      <c r="AB58" s="97">
        <f t="shared" si="44"/>
        <v>0</v>
      </c>
      <c r="AC58" s="214"/>
      <c r="AD58" s="99">
        <f t="shared" si="13"/>
        <v>0</v>
      </c>
      <c r="AE58" s="214"/>
      <c r="AF58" s="97">
        <f t="shared" si="44"/>
        <v>0</v>
      </c>
      <c r="AG58" s="214"/>
      <c r="AH58" s="99">
        <f t="shared" si="14"/>
        <v>0</v>
      </c>
      <c r="AI58" s="214"/>
      <c r="AJ58" s="97">
        <f t="shared" si="45"/>
        <v>0</v>
      </c>
      <c r="AK58" s="214"/>
      <c r="AL58" s="99">
        <f t="shared" si="15"/>
        <v>0</v>
      </c>
      <c r="AM58" s="214"/>
      <c r="AN58" s="97">
        <f t="shared" si="45"/>
        <v>0</v>
      </c>
      <c r="AO58" s="214"/>
      <c r="AP58" s="99">
        <f t="shared" si="16"/>
        <v>0</v>
      </c>
      <c r="AQ58" s="214"/>
      <c r="AR58" s="97">
        <f t="shared" si="45"/>
        <v>0</v>
      </c>
      <c r="AS58" s="214"/>
      <c r="AT58" s="99">
        <f t="shared" si="17"/>
        <v>0</v>
      </c>
      <c r="AU58" s="214">
        <v>1566</v>
      </c>
      <c r="AV58" s="97">
        <v>1566</v>
      </c>
      <c r="AW58" s="214">
        <v>2348</v>
      </c>
      <c r="AX58" s="99">
        <f t="shared" si="18"/>
        <v>149.93614303959131</v>
      </c>
      <c r="AY58" s="214"/>
      <c r="AZ58" s="97">
        <f t="shared" si="46"/>
        <v>0</v>
      </c>
      <c r="BA58" s="214"/>
      <c r="BB58" s="99">
        <f t="shared" si="19"/>
        <v>0</v>
      </c>
      <c r="BC58" s="214"/>
      <c r="BD58" s="97">
        <f t="shared" si="46"/>
        <v>0</v>
      </c>
      <c r="BE58" s="214"/>
      <c r="BF58" s="99" t="e">
        <f t="shared" si="32"/>
        <v>#DIV/0!</v>
      </c>
      <c r="BG58" s="214"/>
      <c r="BH58" s="97">
        <f t="shared" si="46"/>
        <v>0</v>
      </c>
      <c r="BI58" s="214"/>
      <c r="BJ58" s="99">
        <f t="shared" si="20"/>
        <v>0</v>
      </c>
      <c r="BK58" s="214"/>
      <c r="BL58" s="97">
        <f t="shared" si="46"/>
        <v>0</v>
      </c>
      <c r="BM58" s="214">
        <v>64</v>
      </c>
      <c r="BN58" s="99">
        <f t="shared" si="21"/>
        <v>0</v>
      </c>
      <c r="BO58" s="235">
        <f t="shared" si="22"/>
        <v>1889</v>
      </c>
      <c r="BP58" s="235">
        <f t="shared" si="23"/>
        <v>1889</v>
      </c>
      <c r="BQ58" s="235">
        <f t="shared" si="24"/>
        <v>2645</v>
      </c>
      <c r="BR58" s="235">
        <f t="shared" si="25"/>
        <v>140.02117522498676</v>
      </c>
    </row>
    <row r="59" spans="1:70" ht="31.5" x14ac:dyDescent="0.2">
      <c r="A59" s="183" t="s">
        <v>159</v>
      </c>
      <c r="B59" s="201" t="s">
        <v>339</v>
      </c>
      <c r="C59" s="214">
        <v>44</v>
      </c>
      <c r="D59" s="97">
        <v>44</v>
      </c>
      <c r="E59" s="214">
        <v>255</v>
      </c>
      <c r="F59" s="99">
        <f t="shared" si="7"/>
        <v>579.54545454545462</v>
      </c>
      <c r="G59" s="214">
        <v>154</v>
      </c>
      <c r="H59" s="97">
        <v>154</v>
      </c>
      <c r="I59" s="214">
        <v>116</v>
      </c>
      <c r="J59" s="99">
        <f t="shared" si="8"/>
        <v>75.324675324675326</v>
      </c>
      <c r="K59" s="214"/>
      <c r="L59" s="97">
        <f t="shared" si="43"/>
        <v>0</v>
      </c>
      <c r="M59" s="214"/>
      <c r="N59" s="99">
        <f t="shared" si="9"/>
        <v>0</v>
      </c>
      <c r="O59" s="214"/>
      <c r="P59" s="97">
        <f t="shared" si="43"/>
        <v>0</v>
      </c>
      <c r="Q59" s="214"/>
      <c r="R59" s="99">
        <f t="shared" si="10"/>
        <v>0</v>
      </c>
      <c r="S59" s="214"/>
      <c r="T59" s="97">
        <f t="shared" si="44"/>
        <v>0</v>
      </c>
      <c r="U59" s="214"/>
      <c r="V59" s="99">
        <f t="shared" si="11"/>
        <v>0</v>
      </c>
      <c r="W59" s="214"/>
      <c r="X59" s="97">
        <f t="shared" si="44"/>
        <v>0</v>
      </c>
      <c r="Y59" s="214"/>
      <c r="Z59" s="99">
        <f t="shared" si="12"/>
        <v>0</v>
      </c>
      <c r="AA59" s="214"/>
      <c r="AB59" s="97">
        <f t="shared" si="44"/>
        <v>0</v>
      </c>
      <c r="AC59" s="214"/>
      <c r="AD59" s="99">
        <f t="shared" si="13"/>
        <v>0</v>
      </c>
      <c r="AE59" s="214"/>
      <c r="AF59" s="97">
        <f t="shared" si="44"/>
        <v>0</v>
      </c>
      <c r="AG59" s="214"/>
      <c r="AH59" s="99">
        <f t="shared" si="14"/>
        <v>0</v>
      </c>
      <c r="AI59" s="214"/>
      <c r="AJ59" s="97">
        <f t="shared" si="45"/>
        <v>0</v>
      </c>
      <c r="AK59" s="214"/>
      <c r="AL59" s="99">
        <f t="shared" si="15"/>
        <v>0</v>
      </c>
      <c r="AM59" s="214"/>
      <c r="AN59" s="97">
        <f t="shared" si="45"/>
        <v>0</v>
      </c>
      <c r="AO59" s="214"/>
      <c r="AP59" s="99">
        <f t="shared" si="16"/>
        <v>0</v>
      </c>
      <c r="AQ59" s="214"/>
      <c r="AR59" s="97">
        <f t="shared" si="45"/>
        <v>0</v>
      </c>
      <c r="AS59" s="214"/>
      <c r="AT59" s="99">
        <f t="shared" si="17"/>
        <v>0</v>
      </c>
      <c r="AU59" s="214">
        <v>783</v>
      </c>
      <c r="AV59" s="97">
        <v>783</v>
      </c>
      <c r="AW59" s="214">
        <v>1339</v>
      </c>
      <c r="AX59" s="99">
        <f t="shared" si="18"/>
        <v>171.00893997445721</v>
      </c>
      <c r="AY59" s="214"/>
      <c r="AZ59" s="97">
        <f t="shared" si="46"/>
        <v>0</v>
      </c>
      <c r="BA59" s="214"/>
      <c r="BB59" s="99">
        <f t="shared" si="19"/>
        <v>0</v>
      </c>
      <c r="BC59" s="214"/>
      <c r="BD59" s="97">
        <f t="shared" si="46"/>
        <v>0</v>
      </c>
      <c r="BE59" s="214"/>
      <c r="BF59" s="99" t="e">
        <f t="shared" si="32"/>
        <v>#DIV/0!</v>
      </c>
      <c r="BG59" s="214"/>
      <c r="BH59" s="97">
        <f t="shared" si="46"/>
        <v>0</v>
      </c>
      <c r="BI59" s="214"/>
      <c r="BJ59" s="99">
        <f t="shared" si="20"/>
        <v>0</v>
      </c>
      <c r="BK59" s="214"/>
      <c r="BL59" s="97">
        <f t="shared" si="46"/>
        <v>0</v>
      </c>
      <c r="BM59" s="214">
        <v>26</v>
      </c>
      <c r="BN59" s="99">
        <f t="shared" si="21"/>
        <v>0</v>
      </c>
      <c r="BO59" s="235">
        <f t="shared" si="22"/>
        <v>981</v>
      </c>
      <c r="BP59" s="235">
        <f t="shared" si="23"/>
        <v>981</v>
      </c>
      <c r="BQ59" s="235">
        <f t="shared" si="24"/>
        <v>1736</v>
      </c>
      <c r="BR59" s="235">
        <f t="shared" si="25"/>
        <v>176.96228338430174</v>
      </c>
    </row>
    <row r="60" spans="1:70" ht="31.5" x14ac:dyDescent="0.2">
      <c r="A60" s="183" t="s">
        <v>160</v>
      </c>
      <c r="B60" s="201" t="s">
        <v>339</v>
      </c>
      <c r="C60" s="214">
        <v>403</v>
      </c>
      <c r="D60" s="97">
        <v>403</v>
      </c>
      <c r="E60" s="214">
        <v>231</v>
      </c>
      <c r="F60" s="99">
        <f t="shared" si="7"/>
        <v>57.320099255583123</v>
      </c>
      <c r="G60" s="214">
        <v>34</v>
      </c>
      <c r="H60" s="97">
        <v>34</v>
      </c>
      <c r="I60" s="214">
        <v>48</v>
      </c>
      <c r="J60" s="99">
        <f t="shared" si="8"/>
        <v>141.1764705882353</v>
      </c>
      <c r="K60" s="214"/>
      <c r="L60" s="97">
        <f t="shared" si="43"/>
        <v>0</v>
      </c>
      <c r="M60" s="214"/>
      <c r="N60" s="99">
        <f t="shared" si="9"/>
        <v>0</v>
      </c>
      <c r="O60" s="214"/>
      <c r="P60" s="97">
        <f t="shared" si="43"/>
        <v>0</v>
      </c>
      <c r="Q60" s="214"/>
      <c r="R60" s="99">
        <f t="shared" si="10"/>
        <v>0</v>
      </c>
      <c r="S60" s="214"/>
      <c r="T60" s="97">
        <f t="shared" si="44"/>
        <v>0</v>
      </c>
      <c r="U60" s="214"/>
      <c r="V60" s="99">
        <f t="shared" si="11"/>
        <v>0</v>
      </c>
      <c r="W60" s="214"/>
      <c r="X60" s="97">
        <f t="shared" si="44"/>
        <v>0</v>
      </c>
      <c r="Y60" s="214"/>
      <c r="Z60" s="99">
        <f t="shared" si="12"/>
        <v>0</v>
      </c>
      <c r="AA60" s="214"/>
      <c r="AB60" s="97">
        <f t="shared" si="44"/>
        <v>0</v>
      </c>
      <c r="AC60" s="214"/>
      <c r="AD60" s="99">
        <f t="shared" si="13"/>
        <v>0</v>
      </c>
      <c r="AE60" s="214"/>
      <c r="AF60" s="97">
        <f t="shared" si="44"/>
        <v>0</v>
      </c>
      <c r="AG60" s="214"/>
      <c r="AH60" s="99">
        <f t="shared" si="14"/>
        <v>0</v>
      </c>
      <c r="AI60" s="214"/>
      <c r="AJ60" s="97">
        <f t="shared" si="45"/>
        <v>0</v>
      </c>
      <c r="AK60" s="214"/>
      <c r="AL60" s="99">
        <f t="shared" si="15"/>
        <v>0</v>
      </c>
      <c r="AM60" s="214"/>
      <c r="AN60" s="97">
        <f t="shared" si="45"/>
        <v>0</v>
      </c>
      <c r="AO60" s="214"/>
      <c r="AP60" s="99">
        <f t="shared" si="16"/>
        <v>0</v>
      </c>
      <c r="AQ60" s="214"/>
      <c r="AR60" s="97">
        <f t="shared" si="45"/>
        <v>0</v>
      </c>
      <c r="AS60" s="214"/>
      <c r="AT60" s="99">
        <f t="shared" si="17"/>
        <v>0</v>
      </c>
      <c r="AU60" s="214">
        <v>263</v>
      </c>
      <c r="AV60" s="97">
        <v>263</v>
      </c>
      <c r="AW60" s="214">
        <v>221</v>
      </c>
      <c r="AX60" s="99">
        <f t="shared" si="18"/>
        <v>84.030418250950561</v>
      </c>
      <c r="AY60" s="214"/>
      <c r="AZ60" s="97">
        <f t="shared" si="46"/>
        <v>0</v>
      </c>
      <c r="BA60" s="214"/>
      <c r="BB60" s="99">
        <f t="shared" si="19"/>
        <v>0</v>
      </c>
      <c r="BC60" s="214"/>
      <c r="BD60" s="97">
        <f t="shared" si="46"/>
        <v>0</v>
      </c>
      <c r="BE60" s="214"/>
      <c r="BF60" s="99" t="e">
        <f t="shared" si="32"/>
        <v>#DIV/0!</v>
      </c>
      <c r="BG60" s="214"/>
      <c r="BH60" s="97">
        <f t="shared" si="46"/>
        <v>0</v>
      </c>
      <c r="BI60" s="214"/>
      <c r="BJ60" s="99">
        <f t="shared" si="20"/>
        <v>0</v>
      </c>
      <c r="BK60" s="214"/>
      <c r="BL60" s="97">
        <f t="shared" si="46"/>
        <v>0</v>
      </c>
      <c r="BM60" s="214">
        <v>10</v>
      </c>
      <c r="BN60" s="99">
        <f t="shared" si="21"/>
        <v>0</v>
      </c>
      <c r="BO60" s="235">
        <f t="shared" si="22"/>
        <v>700</v>
      </c>
      <c r="BP60" s="235">
        <f t="shared" si="23"/>
        <v>700</v>
      </c>
      <c r="BQ60" s="235">
        <f t="shared" si="24"/>
        <v>510</v>
      </c>
      <c r="BR60" s="235">
        <f t="shared" si="25"/>
        <v>72.857142857142847</v>
      </c>
    </row>
    <row r="61" spans="1:70" ht="31.5" x14ac:dyDescent="0.2">
      <c r="A61" s="183" t="s">
        <v>161</v>
      </c>
      <c r="B61" s="201" t="s">
        <v>339</v>
      </c>
      <c r="C61" s="214">
        <v>433</v>
      </c>
      <c r="D61" s="97">
        <v>433</v>
      </c>
      <c r="E61" s="214">
        <v>357</v>
      </c>
      <c r="F61" s="99">
        <f t="shared" si="7"/>
        <v>82.448036951501152</v>
      </c>
      <c r="G61" s="214">
        <v>76</v>
      </c>
      <c r="H61" s="97">
        <v>76</v>
      </c>
      <c r="I61" s="214">
        <v>75</v>
      </c>
      <c r="J61" s="99">
        <f t="shared" si="8"/>
        <v>98.68421052631578</v>
      </c>
      <c r="K61" s="214"/>
      <c r="L61" s="97">
        <f t="shared" si="43"/>
        <v>0</v>
      </c>
      <c r="M61" s="214"/>
      <c r="N61" s="99">
        <f t="shared" si="9"/>
        <v>0</v>
      </c>
      <c r="O61" s="214"/>
      <c r="P61" s="97">
        <f t="shared" si="43"/>
        <v>0</v>
      </c>
      <c r="Q61" s="214"/>
      <c r="R61" s="99">
        <f t="shared" si="10"/>
        <v>0</v>
      </c>
      <c r="S61" s="214"/>
      <c r="T61" s="97">
        <f t="shared" si="44"/>
        <v>0</v>
      </c>
      <c r="U61" s="214"/>
      <c r="V61" s="99">
        <f t="shared" si="11"/>
        <v>0</v>
      </c>
      <c r="W61" s="214"/>
      <c r="X61" s="97">
        <f t="shared" si="44"/>
        <v>0</v>
      </c>
      <c r="Y61" s="214"/>
      <c r="Z61" s="99">
        <f t="shared" si="12"/>
        <v>0</v>
      </c>
      <c r="AA61" s="214"/>
      <c r="AB61" s="97">
        <f t="shared" si="44"/>
        <v>0</v>
      </c>
      <c r="AC61" s="214"/>
      <c r="AD61" s="99">
        <f t="shared" si="13"/>
        <v>0</v>
      </c>
      <c r="AE61" s="214"/>
      <c r="AF61" s="97">
        <f t="shared" si="44"/>
        <v>0</v>
      </c>
      <c r="AG61" s="214"/>
      <c r="AH61" s="99">
        <f t="shared" si="14"/>
        <v>0</v>
      </c>
      <c r="AI61" s="214"/>
      <c r="AJ61" s="97">
        <f t="shared" si="45"/>
        <v>0</v>
      </c>
      <c r="AK61" s="214"/>
      <c r="AL61" s="99">
        <f t="shared" si="15"/>
        <v>0</v>
      </c>
      <c r="AM61" s="214"/>
      <c r="AN61" s="97">
        <f t="shared" si="45"/>
        <v>0</v>
      </c>
      <c r="AO61" s="214"/>
      <c r="AP61" s="99">
        <f t="shared" si="16"/>
        <v>0</v>
      </c>
      <c r="AQ61" s="214"/>
      <c r="AR61" s="97">
        <f t="shared" si="45"/>
        <v>0</v>
      </c>
      <c r="AS61" s="214"/>
      <c r="AT61" s="99">
        <f t="shared" si="17"/>
        <v>0</v>
      </c>
      <c r="AU61" s="214">
        <v>110</v>
      </c>
      <c r="AV61" s="97">
        <v>110</v>
      </c>
      <c r="AW61" s="214">
        <v>50</v>
      </c>
      <c r="AX61" s="99">
        <f t="shared" si="18"/>
        <v>45.454545454545453</v>
      </c>
      <c r="AY61" s="214"/>
      <c r="AZ61" s="97">
        <f t="shared" si="46"/>
        <v>0</v>
      </c>
      <c r="BA61" s="214"/>
      <c r="BB61" s="99">
        <f t="shared" si="19"/>
        <v>0</v>
      </c>
      <c r="BC61" s="214"/>
      <c r="BD61" s="97">
        <f t="shared" si="46"/>
        <v>0</v>
      </c>
      <c r="BE61" s="214"/>
      <c r="BF61" s="99" t="e">
        <f t="shared" si="32"/>
        <v>#DIV/0!</v>
      </c>
      <c r="BG61" s="214"/>
      <c r="BH61" s="97">
        <f t="shared" si="46"/>
        <v>0</v>
      </c>
      <c r="BI61" s="214"/>
      <c r="BJ61" s="99">
        <f t="shared" si="20"/>
        <v>0</v>
      </c>
      <c r="BK61" s="214"/>
      <c r="BL61" s="97">
        <f t="shared" si="46"/>
        <v>0</v>
      </c>
      <c r="BM61" s="214">
        <v>4</v>
      </c>
      <c r="BN61" s="99">
        <f t="shared" si="21"/>
        <v>0</v>
      </c>
      <c r="BO61" s="235">
        <f t="shared" si="22"/>
        <v>619</v>
      </c>
      <c r="BP61" s="235">
        <f t="shared" si="23"/>
        <v>619</v>
      </c>
      <c r="BQ61" s="235">
        <f t="shared" si="24"/>
        <v>486</v>
      </c>
      <c r="BR61" s="235">
        <f t="shared" si="25"/>
        <v>78.513731825525042</v>
      </c>
    </row>
    <row r="62" spans="1:70" ht="31.5" x14ac:dyDescent="0.2">
      <c r="A62" s="183" t="s">
        <v>162</v>
      </c>
      <c r="B62" s="201" t="s">
        <v>339</v>
      </c>
      <c r="C62" s="214">
        <v>439</v>
      </c>
      <c r="D62" s="97">
        <v>439</v>
      </c>
      <c r="E62" s="214">
        <v>1496</v>
      </c>
      <c r="F62" s="99">
        <f t="shared" si="7"/>
        <v>340.77448747152619</v>
      </c>
      <c r="G62" s="214">
        <v>155</v>
      </c>
      <c r="H62" s="97">
        <v>155</v>
      </c>
      <c r="I62" s="214">
        <v>152</v>
      </c>
      <c r="J62" s="99">
        <f t="shared" si="8"/>
        <v>98.064516129032256</v>
      </c>
      <c r="K62" s="214"/>
      <c r="L62" s="97">
        <f t="shared" ref="H62:P77" si="53">ROUND(K62/12*$A$7,0)</f>
        <v>0</v>
      </c>
      <c r="M62" s="214"/>
      <c r="N62" s="99">
        <f t="shared" si="9"/>
        <v>0</v>
      </c>
      <c r="O62" s="214"/>
      <c r="P62" s="97">
        <f t="shared" si="53"/>
        <v>0</v>
      </c>
      <c r="Q62" s="214"/>
      <c r="R62" s="99">
        <f t="shared" si="10"/>
        <v>0</v>
      </c>
      <c r="S62" s="214"/>
      <c r="T62" s="97">
        <f t="shared" ref="T62:AF77" si="54">ROUND(S62/12*$A$7,0)</f>
        <v>0</v>
      </c>
      <c r="U62" s="214"/>
      <c r="V62" s="99">
        <f t="shared" si="11"/>
        <v>0</v>
      </c>
      <c r="W62" s="214"/>
      <c r="X62" s="97">
        <f t="shared" si="54"/>
        <v>0</v>
      </c>
      <c r="Y62" s="214"/>
      <c r="Z62" s="99">
        <f t="shared" si="12"/>
        <v>0</v>
      </c>
      <c r="AA62" s="214"/>
      <c r="AB62" s="97">
        <f t="shared" si="54"/>
        <v>0</v>
      </c>
      <c r="AC62" s="214"/>
      <c r="AD62" s="99">
        <f t="shared" si="13"/>
        <v>0</v>
      </c>
      <c r="AE62" s="214"/>
      <c r="AF62" s="97">
        <f t="shared" si="54"/>
        <v>0</v>
      </c>
      <c r="AG62" s="214"/>
      <c r="AH62" s="99">
        <f t="shared" si="14"/>
        <v>0</v>
      </c>
      <c r="AI62" s="214"/>
      <c r="AJ62" s="97">
        <f t="shared" ref="AJ62:AR77" si="55">ROUND(AI62/12*$A$7,0)</f>
        <v>0</v>
      </c>
      <c r="AK62" s="214"/>
      <c r="AL62" s="99">
        <f t="shared" si="15"/>
        <v>0</v>
      </c>
      <c r="AM62" s="214"/>
      <c r="AN62" s="97">
        <f t="shared" si="55"/>
        <v>0</v>
      </c>
      <c r="AO62" s="214"/>
      <c r="AP62" s="99">
        <f t="shared" si="16"/>
        <v>0</v>
      </c>
      <c r="AQ62" s="214"/>
      <c r="AR62" s="97">
        <f t="shared" si="55"/>
        <v>0</v>
      </c>
      <c r="AS62" s="214"/>
      <c r="AT62" s="99">
        <f t="shared" si="17"/>
        <v>0</v>
      </c>
      <c r="AU62" s="214">
        <v>813</v>
      </c>
      <c r="AV62" s="97">
        <v>813</v>
      </c>
      <c r="AW62" s="214">
        <v>2280</v>
      </c>
      <c r="AX62" s="99">
        <f t="shared" si="18"/>
        <v>280.44280442804433</v>
      </c>
      <c r="AY62" s="214"/>
      <c r="AZ62" s="97">
        <f t="shared" ref="AZ62:BL77" si="56">ROUND(AY62/12*$A$7,0)</f>
        <v>0</v>
      </c>
      <c r="BA62" s="214"/>
      <c r="BB62" s="99">
        <f t="shared" si="19"/>
        <v>0</v>
      </c>
      <c r="BC62" s="214"/>
      <c r="BD62" s="97">
        <f t="shared" si="56"/>
        <v>0</v>
      </c>
      <c r="BE62" s="214"/>
      <c r="BF62" s="99" t="e">
        <f t="shared" si="32"/>
        <v>#DIV/0!</v>
      </c>
      <c r="BG62" s="214"/>
      <c r="BH62" s="97">
        <f t="shared" si="56"/>
        <v>0</v>
      </c>
      <c r="BI62" s="214"/>
      <c r="BJ62" s="99">
        <f t="shared" si="20"/>
        <v>0</v>
      </c>
      <c r="BK62" s="214"/>
      <c r="BL62" s="97">
        <f t="shared" si="56"/>
        <v>0</v>
      </c>
      <c r="BM62" s="214">
        <v>5</v>
      </c>
      <c r="BN62" s="99">
        <f t="shared" si="21"/>
        <v>0</v>
      </c>
      <c r="BO62" s="235">
        <f t="shared" si="22"/>
        <v>1407</v>
      </c>
      <c r="BP62" s="235">
        <f t="shared" si="23"/>
        <v>1407</v>
      </c>
      <c r="BQ62" s="235">
        <f t="shared" si="24"/>
        <v>3933</v>
      </c>
      <c r="BR62" s="235">
        <f t="shared" si="25"/>
        <v>279.53091684434969</v>
      </c>
    </row>
    <row r="63" spans="1:70" ht="31.5" x14ac:dyDescent="0.2">
      <c r="A63" s="183" t="s">
        <v>163</v>
      </c>
      <c r="B63" s="201" t="s">
        <v>339</v>
      </c>
      <c r="C63" s="214">
        <v>459</v>
      </c>
      <c r="D63" s="97">
        <v>459</v>
      </c>
      <c r="E63" s="214">
        <v>268</v>
      </c>
      <c r="F63" s="99">
        <f t="shared" si="7"/>
        <v>58.387799564270146</v>
      </c>
      <c r="G63" s="214">
        <v>67</v>
      </c>
      <c r="H63" s="97">
        <v>67</v>
      </c>
      <c r="I63" s="214">
        <v>91</v>
      </c>
      <c r="J63" s="99">
        <f t="shared" si="8"/>
        <v>135.82089552238804</v>
      </c>
      <c r="K63" s="214"/>
      <c r="L63" s="97">
        <f t="shared" si="53"/>
        <v>0</v>
      </c>
      <c r="M63" s="214"/>
      <c r="N63" s="99">
        <f t="shared" si="9"/>
        <v>0</v>
      </c>
      <c r="O63" s="214"/>
      <c r="P63" s="97">
        <f t="shared" si="53"/>
        <v>0</v>
      </c>
      <c r="Q63" s="214"/>
      <c r="R63" s="99">
        <f t="shared" si="10"/>
        <v>0</v>
      </c>
      <c r="S63" s="214"/>
      <c r="T63" s="97">
        <f t="shared" si="54"/>
        <v>0</v>
      </c>
      <c r="U63" s="214"/>
      <c r="V63" s="99">
        <f t="shared" si="11"/>
        <v>0</v>
      </c>
      <c r="W63" s="214"/>
      <c r="X63" s="97">
        <f t="shared" si="54"/>
        <v>0</v>
      </c>
      <c r="Y63" s="214"/>
      <c r="Z63" s="99">
        <f t="shared" si="12"/>
        <v>0</v>
      </c>
      <c r="AA63" s="214"/>
      <c r="AB63" s="97">
        <f t="shared" si="54"/>
        <v>0</v>
      </c>
      <c r="AC63" s="214"/>
      <c r="AD63" s="99">
        <f t="shared" si="13"/>
        <v>0</v>
      </c>
      <c r="AE63" s="214"/>
      <c r="AF63" s="97">
        <f t="shared" si="54"/>
        <v>0</v>
      </c>
      <c r="AG63" s="214"/>
      <c r="AH63" s="99">
        <f t="shared" si="14"/>
        <v>0</v>
      </c>
      <c r="AI63" s="214"/>
      <c r="AJ63" s="97">
        <f t="shared" si="55"/>
        <v>0</v>
      </c>
      <c r="AK63" s="214"/>
      <c r="AL63" s="99">
        <f t="shared" si="15"/>
        <v>0</v>
      </c>
      <c r="AM63" s="214"/>
      <c r="AN63" s="97">
        <f t="shared" si="55"/>
        <v>0</v>
      </c>
      <c r="AO63" s="214"/>
      <c r="AP63" s="99">
        <f t="shared" si="16"/>
        <v>0</v>
      </c>
      <c r="AQ63" s="214"/>
      <c r="AR63" s="97">
        <f t="shared" si="55"/>
        <v>0</v>
      </c>
      <c r="AS63" s="214"/>
      <c r="AT63" s="99">
        <f t="shared" si="17"/>
        <v>0</v>
      </c>
      <c r="AU63" s="214">
        <v>391</v>
      </c>
      <c r="AV63" s="97">
        <v>391</v>
      </c>
      <c r="AW63" s="214">
        <v>1263</v>
      </c>
      <c r="AX63" s="99">
        <f t="shared" si="18"/>
        <v>323.01790281329926</v>
      </c>
      <c r="AY63" s="214"/>
      <c r="AZ63" s="97">
        <f t="shared" si="56"/>
        <v>0</v>
      </c>
      <c r="BA63" s="214"/>
      <c r="BB63" s="99">
        <f t="shared" si="19"/>
        <v>0</v>
      </c>
      <c r="BC63" s="214"/>
      <c r="BD63" s="97">
        <f t="shared" si="56"/>
        <v>0</v>
      </c>
      <c r="BE63" s="214"/>
      <c r="BF63" s="99" t="e">
        <f t="shared" si="32"/>
        <v>#DIV/0!</v>
      </c>
      <c r="BG63" s="214"/>
      <c r="BH63" s="97">
        <f t="shared" si="56"/>
        <v>0</v>
      </c>
      <c r="BI63" s="214"/>
      <c r="BJ63" s="99">
        <f t="shared" si="20"/>
        <v>0</v>
      </c>
      <c r="BK63" s="214"/>
      <c r="BL63" s="97">
        <f t="shared" si="56"/>
        <v>0</v>
      </c>
      <c r="BM63" s="214">
        <v>5</v>
      </c>
      <c r="BN63" s="99">
        <f t="shared" si="21"/>
        <v>0</v>
      </c>
      <c r="BO63" s="235">
        <f t="shared" si="22"/>
        <v>917</v>
      </c>
      <c r="BP63" s="235">
        <f t="shared" si="23"/>
        <v>917</v>
      </c>
      <c r="BQ63" s="235">
        <f t="shared" si="24"/>
        <v>1627</v>
      </c>
      <c r="BR63" s="235">
        <f t="shared" si="25"/>
        <v>177.42639040348965</v>
      </c>
    </row>
    <row r="64" spans="1:70" ht="31.5" x14ac:dyDescent="0.2">
      <c r="A64" s="183" t="s">
        <v>164</v>
      </c>
      <c r="B64" s="201" t="s">
        <v>339</v>
      </c>
      <c r="C64" s="214">
        <v>480</v>
      </c>
      <c r="D64" s="97">
        <v>480</v>
      </c>
      <c r="E64" s="214">
        <v>37</v>
      </c>
      <c r="F64" s="99">
        <f t="shared" si="7"/>
        <v>7.7083333333333339</v>
      </c>
      <c r="G64" s="214">
        <v>170</v>
      </c>
      <c r="H64" s="97">
        <v>170</v>
      </c>
      <c r="I64" s="214">
        <v>51</v>
      </c>
      <c r="J64" s="99">
        <f t="shared" si="8"/>
        <v>30</v>
      </c>
      <c r="K64" s="214"/>
      <c r="L64" s="97">
        <f t="shared" si="53"/>
        <v>0</v>
      </c>
      <c r="M64" s="214"/>
      <c r="N64" s="99">
        <f t="shared" si="9"/>
        <v>0</v>
      </c>
      <c r="O64" s="214"/>
      <c r="P64" s="97">
        <f t="shared" si="53"/>
        <v>0</v>
      </c>
      <c r="Q64" s="214"/>
      <c r="R64" s="99">
        <f t="shared" si="10"/>
        <v>0</v>
      </c>
      <c r="S64" s="214"/>
      <c r="T64" s="97">
        <f t="shared" si="54"/>
        <v>0</v>
      </c>
      <c r="U64" s="214"/>
      <c r="V64" s="99">
        <f t="shared" si="11"/>
        <v>0</v>
      </c>
      <c r="W64" s="214"/>
      <c r="X64" s="97">
        <f t="shared" si="54"/>
        <v>0</v>
      </c>
      <c r="Y64" s="214"/>
      <c r="Z64" s="99">
        <f t="shared" si="12"/>
        <v>0</v>
      </c>
      <c r="AA64" s="214"/>
      <c r="AB64" s="97">
        <f t="shared" si="54"/>
        <v>0</v>
      </c>
      <c r="AC64" s="214"/>
      <c r="AD64" s="99">
        <f t="shared" si="13"/>
        <v>0</v>
      </c>
      <c r="AE64" s="214"/>
      <c r="AF64" s="97">
        <f t="shared" si="54"/>
        <v>0</v>
      </c>
      <c r="AG64" s="214"/>
      <c r="AH64" s="99">
        <f t="shared" si="14"/>
        <v>0</v>
      </c>
      <c r="AI64" s="214"/>
      <c r="AJ64" s="97">
        <f t="shared" si="55"/>
        <v>0</v>
      </c>
      <c r="AK64" s="214"/>
      <c r="AL64" s="99">
        <f t="shared" si="15"/>
        <v>0</v>
      </c>
      <c r="AM64" s="214"/>
      <c r="AN64" s="97">
        <f t="shared" si="55"/>
        <v>0</v>
      </c>
      <c r="AO64" s="214"/>
      <c r="AP64" s="99">
        <f t="shared" si="16"/>
        <v>0</v>
      </c>
      <c r="AQ64" s="214"/>
      <c r="AR64" s="97">
        <f t="shared" si="55"/>
        <v>0</v>
      </c>
      <c r="AS64" s="214"/>
      <c r="AT64" s="99">
        <f t="shared" si="17"/>
        <v>0</v>
      </c>
      <c r="AU64" s="214">
        <v>670</v>
      </c>
      <c r="AV64" s="97">
        <v>670</v>
      </c>
      <c r="AW64" s="214">
        <v>1050</v>
      </c>
      <c r="AX64" s="99">
        <f t="shared" si="18"/>
        <v>156.71641791044777</v>
      </c>
      <c r="AY64" s="214"/>
      <c r="AZ64" s="97">
        <f t="shared" si="56"/>
        <v>0</v>
      </c>
      <c r="BA64" s="214"/>
      <c r="BB64" s="99">
        <f t="shared" si="19"/>
        <v>0</v>
      </c>
      <c r="BC64" s="214"/>
      <c r="BD64" s="97">
        <f t="shared" si="56"/>
        <v>0</v>
      </c>
      <c r="BE64" s="214"/>
      <c r="BF64" s="99" t="e">
        <f t="shared" si="32"/>
        <v>#DIV/0!</v>
      </c>
      <c r="BG64" s="214"/>
      <c r="BH64" s="97">
        <f t="shared" si="56"/>
        <v>0</v>
      </c>
      <c r="BI64" s="214"/>
      <c r="BJ64" s="99">
        <f t="shared" si="20"/>
        <v>0</v>
      </c>
      <c r="BK64" s="214"/>
      <c r="BL64" s="97">
        <f t="shared" si="56"/>
        <v>0</v>
      </c>
      <c r="BM64" s="214">
        <v>2</v>
      </c>
      <c r="BN64" s="99">
        <f t="shared" si="21"/>
        <v>0</v>
      </c>
      <c r="BO64" s="235">
        <f t="shared" si="22"/>
        <v>1320</v>
      </c>
      <c r="BP64" s="235">
        <f t="shared" si="23"/>
        <v>1320</v>
      </c>
      <c r="BQ64" s="235">
        <f t="shared" si="24"/>
        <v>1140</v>
      </c>
      <c r="BR64" s="235">
        <f t="shared" si="25"/>
        <v>86.36363636363636</v>
      </c>
    </row>
    <row r="65" spans="1:70" ht="31.5" x14ac:dyDescent="0.2">
      <c r="A65" s="183" t="s">
        <v>165</v>
      </c>
      <c r="B65" s="201" t="s">
        <v>339</v>
      </c>
      <c r="C65" s="214">
        <v>485</v>
      </c>
      <c r="D65" s="97">
        <v>485</v>
      </c>
      <c r="E65" s="214">
        <v>695</v>
      </c>
      <c r="F65" s="99">
        <f t="shared" si="7"/>
        <v>143.29896907216494</v>
      </c>
      <c r="G65" s="214">
        <v>67</v>
      </c>
      <c r="H65" s="97">
        <v>67</v>
      </c>
      <c r="I65" s="214">
        <v>8</v>
      </c>
      <c r="J65" s="99">
        <f t="shared" si="8"/>
        <v>11.940298507462686</v>
      </c>
      <c r="K65" s="214"/>
      <c r="L65" s="97">
        <f t="shared" si="53"/>
        <v>0</v>
      </c>
      <c r="M65" s="214"/>
      <c r="N65" s="99">
        <f t="shared" si="9"/>
        <v>0</v>
      </c>
      <c r="O65" s="214"/>
      <c r="P65" s="97">
        <f t="shared" si="53"/>
        <v>0</v>
      </c>
      <c r="Q65" s="214"/>
      <c r="R65" s="99">
        <f t="shared" si="10"/>
        <v>0</v>
      </c>
      <c r="S65" s="214"/>
      <c r="T65" s="97">
        <f t="shared" si="54"/>
        <v>0</v>
      </c>
      <c r="U65" s="214"/>
      <c r="V65" s="99">
        <f t="shared" si="11"/>
        <v>0</v>
      </c>
      <c r="W65" s="214"/>
      <c r="X65" s="97">
        <f t="shared" si="54"/>
        <v>0</v>
      </c>
      <c r="Y65" s="214"/>
      <c r="Z65" s="99">
        <f t="shared" si="12"/>
        <v>0</v>
      </c>
      <c r="AA65" s="214"/>
      <c r="AB65" s="97">
        <f t="shared" si="54"/>
        <v>0</v>
      </c>
      <c r="AC65" s="214"/>
      <c r="AD65" s="99">
        <f t="shared" si="13"/>
        <v>0</v>
      </c>
      <c r="AE65" s="214"/>
      <c r="AF65" s="97">
        <f t="shared" si="54"/>
        <v>0</v>
      </c>
      <c r="AG65" s="214"/>
      <c r="AH65" s="99">
        <f t="shared" si="14"/>
        <v>0</v>
      </c>
      <c r="AI65" s="214"/>
      <c r="AJ65" s="97">
        <f t="shared" si="55"/>
        <v>0</v>
      </c>
      <c r="AK65" s="214"/>
      <c r="AL65" s="99">
        <f t="shared" si="15"/>
        <v>0</v>
      </c>
      <c r="AM65" s="214"/>
      <c r="AN65" s="97">
        <f t="shared" si="55"/>
        <v>0</v>
      </c>
      <c r="AO65" s="214"/>
      <c r="AP65" s="99">
        <f t="shared" si="16"/>
        <v>0</v>
      </c>
      <c r="AQ65" s="214"/>
      <c r="AR65" s="97">
        <f t="shared" si="55"/>
        <v>0</v>
      </c>
      <c r="AS65" s="214"/>
      <c r="AT65" s="99">
        <f t="shared" si="17"/>
        <v>0</v>
      </c>
      <c r="AU65" s="214">
        <v>0</v>
      </c>
      <c r="AV65" s="97">
        <v>0</v>
      </c>
      <c r="AW65" s="214">
        <v>44</v>
      </c>
      <c r="AX65" s="99">
        <f t="shared" si="18"/>
        <v>0</v>
      </c>
      <c r="AY65" s="214"/>
      <c r="AZ65" s="97">
        <f t="shared" si="56"/>
        <v>0</v>
      </c>
      <c r="BA65" s="214"/>
      <c r="BB65" s="99">
        <f t="shared" si="19"/>
        <v>0</v>
      </c>
      <c r="BC65" s="214"/>
      <c r="BD65" s="97">
        <f t="shared" si="56"/>
        <v>0</v>
      </c>
      <c r="BE65" s="214"/>
      <c r="BF65" s="99" t="e">
        <f t="shared" si="32"/>
        <v>#DIV/0!</v>
      </c>
      <c r="BG65" s="214"/>
      <c r="BH65" s="97">
        <f t="shared" si="56"/>
        <v>0</v>
      </c>
      <c r="BI65" s="214"/>
      <c r="BJ65" s="99">
        <f t="shared" si="20"/>
        <v>0</v>
      </c>
      <c r="BK65" s="214"/>
      <c r="BL65" s="97">
        <f t="shared" si="56"/>
        <v>0</v>
      </c>
      <c r="BM65" s="214">
        <v>0</v>
      </c>
      <c r="BN65" s="99">
        <f t="shared" si="21"/>
        <v>0</v>
      </c>
      <c r="BO65" s="235">
        <f t="shared" si="22"/>
        <v>552</v>
      </c>
      <c r="BP65" s="235">
        <f t="shared" si="23"/>
        <v>552</v>
      </c>
      <c r="BQ65" s="235">
        <f t="shared" si="24"/>
        <v>747</v>
      </c>
      <c r="BR65" s="235">
        <f t="shared" si="25"/>
        <v>135.32608695652172</v>
      </c>
    </row>
    <row r="66" spans="1:70" ht="31.5" x14ac:dyDescent="0.2">
      <c r="A66" s="183" t="s">
        <v>166</v>
      </c>
      <c r="B66" s="201" t="s">
        <v>339</v>
      </c>
      <c r="C66" s="214">
        <v>497</v>
      </c>
      <c r="D66" s="97">
        <v>497</v>
      </c>
      <c r="E66" s="214">
        <v>783</v>
      </c>
      <c r="F66" s="99">
        <f t="shared" si="7"/>
        <v>157.54527162977868</v>
      </c>
      <c r="G66" s="214">
        <v>72</v>
      </c>
      <c r="H66" s="97">
        <v>72</v>
      </c>
      <c r="I66" s="214">
        <v>64</v>
      </c>
      <c r="J66" s="99">
        <f t="shared" si="8"/>
        <v>88.888888888888886</v>
      </c>
      <c r="K66" s="214"/>
      <c r="L66" s="97">
        <f t="shared" si="53"/>
        <v>0</v>
      </c>
      <c r="M66" s="214"/>
      <c r="N66" s="99">
        <f t="shared" si="9"/>
        <v>0</v>
      </c>
      <c r="O66" s="214"/>
      <c r="P66" s="97">
        <f t="shared" si="53"/>
        <v>0</v>
      </c>
      <c r="Q66" s="214"/>
      <c r="R66" s="99">
        <f t="shared" si="10"/>
        <v>0</v>
      </c>
      <c r="S66" s="214"/>
      <c r="T66" s="97">
        <f t="shared" si="54"/>
        <v>0</v>
      </c>
      <c r="U66" s="214"/>
      <c r="V66" s="99">
        <f t="shared" si="11"/>
        <v>0</v>
      </c>
      <c r="W66" s="214"/>
      <c r="X66" s="97">
        <f t="shared" si="54"/>
        <v>0</v>
      </c>
      <c r="Y66" s="214"/>
      <c r="Z66" s="99">
        <f t="shared" si="12"/>
        <v>0</v>
      </c>
      <c r="AA66" s="214"/>
      <c r="AB66" s="97">
        <f t="shared" si="54"/>
        <v>0</v>
      </c>
      <c r="AC66" s="214"/>
      <c r="AD66" s="99">
        <f t="shared" si="13"/>
        <v>0</v>
      </c>
      <c r="AE66" s="214"/>
      <c r="AF66" s="97">
        <f t="shared" si="54"/>
        <v>0</v>
      </c>
      <c r="AG66" s="214"/>
      <c r="AH66" s="99">
        <f t="shared" si="14"/>
        <v>0</v>
      </c>
      <c r="AI66" s="214"/>
      <c r="AJ66" s="97">
        <f t="shared" si="55"/>
        <v>0</v>
      </c>
      <c r="AK66" s="214"/>
      <c r="AL66" s="99">
        <f t="shared" si="15"/>
        <v>0</v>
      </c>
      <c r="AM66" s="214"/>
      <c r="AN66" s="97">
        <f t="shared" si="55"/>
        <v>0</v>
      </c>
      <c r="AO66" s="214"/>
      <c r="AP66" s="99">
        <f t="shared" si="16"/>
        <v>0</v>
      </c>
      <c r="AQ66" s="214"/>
      <c r="AR66" s="97">
        <f t="shared" si="55"/>
        <v>0</v>
      </c>
      <c r="AS66" s="214"/>
      <c r="AT66" s="99">
        <f t="shared" si="17"/>
        <v>0</v>
      </c>
      <c r="AU66" s="214">
        <v>617</v>
      </c>
      <c r="AV66" s="97">
        <v>617</v>
      </c>
      <c r="AW66" s="214">
        <v>1549</v>
      </c>
      <c r="AX66" s="99">
        <f t="shared" si="18"/>
        <v>251.05348460291731</v>
      </c>
      <c r="AY66" s="214"/>
      <c r="AZ66" s="97">
        <f t="shared" si="56"/>
        <v>0</v>
      </c>
      <c r="BA66" s="214"/>
      <c r="BB66" s="99">
        <f t="shared" si="19"/>
        <v>0</v>
      </c>
      <c r="BC66" s="214"/>
      <c r="BD66" s="97">
        <f t="shared" si="56"/>
        <v>0</v>
      </c>
      <c r="BE66" s="214"/>
      <c r="BF66" s="99" t="e">
        <f t="shared" si="32"/>
        <v>#DIV/0!</v>
      </c>
      <c r="BG66" s="214"/>
      <c r="BH66" s="97">
        <f t="shared" si="56"/>
        <v>0</v>
      </c>
      <c r="BI66" s="214"/>
      <c r="BJ66" s="99">
        <f t="shared" si="20"/>
        <v>0</v>
      </c>
      <c r="BK66" s="214"/>
      <c r="BL66" s="97">
        <f t="shared" si="56"/>
        <v>0</v>
      </c>
      <c r="BM66" s="214">
        <v>9</v>
      </c>
      <c r="BN66" s="99">
        <f t="shared" si="21"/>
        <v>0</v>
      </c>
      <c r="BO66" s="235">
        <f t="shared" si="22"/>
        <v>1186</v>
      </c>
      <c r="BP66" s="235">
        <f t="shared" si="23"/>
        <v>1186</v>
      </c>
      <c r="BQ66" s="235">
        <f t="shared" si="24"/>
        <v>2405</v>
      </c>
      <c r="BR66" s="235">
        <f t="shared" si="25"/>
        <v>202.78246205733558</v>
      </c>
    </row>
    <row r="67" spans="1:70" ht="31.5" x14ac:dyDescent="0.2">
      <c r="A67" s="183" t="s">
        <v>167</v>
      </c>
      <c r="B67" s="201" t="s">
        <v>339</v>
      </c>
      <c r="C67" s="214">
        <v>442</v>
      </c>
      <c r="D67" s="97">
        <v>442</v>
      </c>
      <c r="E67" s="214">
        <v>765</v>
      </c>
      <c r="F67" s="99">
        <f t="shared" si="7"/>
        <v>173.07692307692309</v>
      </c>
      <c r="G67" s="214">
        <v>53</v>
      </c>
      <c r="H67" s="97">
        <v>53</v>
      </c>
      <c r="I67" s="214">
        <v>39</v>
      </c>
      <c r="J67" s="99">
        <f t="shared" si="8"/>
        <v>73.584905660377359</v>
      </c>
      <c r="K67" s="214"/>
      <c r="L67" s="97">
        <f t="shared" si="53"/>
        <v>0</v>
      </c>
      <c r="M67" s="214"/>
      <c r="N67" s="99">
        <f t="shared" si="9"/>
        <v>0</v>
      </c>
      <c r="O67" s="214"/>
      <c r="P67" s="97">
        <f t="shared" si="53"/>
        <v>0</v>
      </c>
      <c r="Q67" s="214"/>
      <c r="R67" s="99">
        <f t="shared" si="10"/>
        <v>0</v>
      </c>
      <c r="S67" s="214"/>
      <c r="T67" s="97">
        <f t="shared" si="54"/>
        <v>0</v>
      </c>
      <c r="U67" s="214"/>
      <c r="V67" s="99">
        <f t="shared" si="11"/>
        <v>0</v>
      </c>
      <c r="W67" s="214"/>
      <c r="X67" s="97">
        <f t="shared" si="54"/>
        <v>0</v>
      </c>
      <c r="Y67" s="214"/>
      <c r="Z67" s="99">
        <f t="shared" si="12"/>
        <v>0</v>
      </c>
      <c r="AA67" s="214"/>
      <c r="AB67" s="97">
        <f t="shared" si="54"/>
        <v>0</v>
      </c>
      <c r="AC67" s="214"/>
      <c r="AD67" s="99">
        <f t="shared" si="13"/>
        <v>0</v>
      </c>
      <c r="AE67" s="214"/>
      <c r="AF67" s="97">
        <f t="shared" si="54"/>
        <v>0</v>
      </c>
      <c r="AG67" s="214"/>
      <c r="AH67" s="99">
        <f t="shared" si="14"/>
        <v>0</v>
      </c>
      <c r="AI67" s="214"/>
      <c r="AJ67" s="97">
        <f t="shared" si="55"/>
        <v>0</v>
      </c>
      <c r="AK67" s="214"/>
      <c r="AL67" s="99">
        <f t="shared" si="15"/>
        <v>0</v>
      </c>
      <c r="AM67" s="214"/>
      <c r="AN67" s="97">
        <f t="shared" si="55"/>
        <v>0</v>
      </c>
      <c r="AO67" s="214"/>
      <c r="AP67" s="99">
        <f t="shared" si="16"/>
        <v>0</v>
      </c>
      <c r="AQ67" s="214"/>
      <c r="AR67" s="97">
        <f t="shared" si="55"/>
        <v>0</v>
      </c>
      <c r="AS67" s="214"/>
      <c r="AT67" s="99">
        <f t="shared" si="17"/>
        <v>0</v>
      </c>
      <c r="AU67" s="214">
        <v>554</v>
      </c>
      <c r="AV67" s="97">
        <v>554</v>
      </c>
      <c r="AW67" s="214">
        <v>1438</v>
      </c>
      <c r="AX67" s="99">
        <f t="shared" si="18"/>
        <v>259.5667870036101</v>
      </c>
      <c r="AY67" s="214"/>
      <c r="AZ67" s="97">
        <f t="shared" si="56"/>
        <v>0</v>
      </c>
      <c r="BA67" s="214"/>
      <c r="BB67" s="99">
        <f t="shared" si="19"/>
        <v>0</v>
      </c>
      <c r="BC67" s="214"/>
      <c r="BD67" s="97">
        <f t="shared" si="56"/>
        <v>0</v>
      </c>
      <c r="BE67" s="214"/>
      <c r="BF67" s="99" t="e">
        <f t="shared" si="32"/>
        <v>#DIV/0!</v>
      </c>
      <c r="BG67" s="214"/>
      <c r="BH67" s="97">
        <f t="shared" si="56"/>
        <v>0</v>
      </c>
      <c r="BI67" s="214"/>
      <c r="BJ67" s="99">
        <f t="shared" si="20"/>
        <v>0</v>
      </c>
      <c r="BK67" s="214"/>
      <c r="BL67" s="97">
        <f t="shared" si="56"/>
        <v>0</v>
      </c>
      <c r="BM67" s="214">
        <v>2</v>
      </c>
      <c r="BN67" s="99">
        <f t="shared" si="21"/>
        <v>0</v>
      </c>
      <c r="BO67" s="235">
        <f t="shared" si="22"/>
        <v>1049</v>
      </c>
      <c r="BP67" s="235">
        <f t="shared" si="23"/>
        <v>1049</v>
      </c>
      <c r="BQ67" s="235">
        <f t="shared" si="24"/>
        <v>2244</v>
      </c>
      <c r="BR67" s="235">
        <f t="shared" si="25"/>
        <v>213.91801715919922</v>
      </c>
    </row>
    <row r="68" spans="1:70" ht="31.5" x14ac:dyDescent="0.2">
      <c r="A68" s="183" t="s">
        <v>168</v>
      </c>
      <c r="B68" s="201" t="s">
        <v>339</v>
      </c>
      <c r="C68" s="214">
        <v>347</v>
      </c>
      <c r="D68" s="97">
        <v>347</v>
      </c>
      <c r="E68" s="214">
        <v>555</v>
      </c>
      <c r="F68" s="99">
        <f t="shared" si="7"/>
        <v>159.94236311239194</v>
      </c>
      <c r="G68" s="214">
        <v>51</v>
      </c>
      <c r="H68" s="97">
        <v>51</v>
      </c>
      <c r="I68" s="214">
        <v>43</v>
      </c>
      <c r="J68" s="99">
        <f t="shared" si="8"/>
        <v>84.313725490196077</v>
      </c>
      <c r="K68" s="214"/>
      <c r="L68" s="97">
        <f t="shared" si="53"/>
        <v>0</v>
      </c>
      <c r="M68" s="214"/>
      <c r="N68" s="99">
        <f t="shared" si="9"/>
        <v>0</v>
      </c>
      <c r="O68" s="214"/>
      <c r="P68" s="97">
        <f t="shared" si="53"/>
        <v>0</v>
      </c>
      <c r="Q68" s="214"/>
      <c r="R68" s="99">
        <f t="shared" si="10"/>
        <v>0</v>
      </c>
      <c r="S68" s="214"/>
      <c r="T68" s="97">
        <f t="shared" si="54"/>
        <v>0</v>
      </c>
      <c r="U68" s="214"/>
      <c r="V68" s="99">
        <f t="shared" si="11"/>
        <v>0</v>
      </c>
      <c r="W68" s="214"/>
      <c r="X68" s="97">
        <f t="shared" si="54"/>
        <v>0</v>
      </c>
      <c r="Y68" s="214"/>
      <c r="Z68" s="99">
        <f t="shared" si="12"/>
        <v>0</v>
      </c>
      <c r="AA68" s="214"/>
      <c r="AB68" s="97">
        <f t="shared" si="54"/>
        <v>0</v>
      </c>
      <c r="AC68" s="214"/>
      <c r="AD68" s="99">
        <f t="shared" si="13"/>
        <v>0</v>
      </c>
      <c r="AE68" s="214"/>
      <c r="AF68" s="97">
        <f t="shared" si="54"/>
        <v>0</v>
      </c>
      <c r="AG68" s="214"/>
      <c r="AH68" s="99">
        <f t="shared" si="14"/>
        <v>0</v>
      </c>
      <c r="AI68" s="214"/>
      <c r="AJ68" s="97">
        <f t="shared" si="55"/>
        <v>0</v>
      </c>
      <c r="AK68" s="214"/>
      <c r="AL68" s="99">
        <f t="shared" si="15"/>
        <v>0</v>
      </c>
      <c r="AM68" s="214"/>
      <c r="AN68" s="97">
        <f t="shared" si="55"/>
        <v>0</v>
      </c>
      <c r="AO68" s="214"/>
      <c r="AP68" s="99">
        <f t="shared" si="16"/>
        <v>0</v>
      </c>
      <c r="AQ68" s="214"/>
      <c r="AR68" s="97">
        <f t="shared" si="55"/>
        <v>0</v>
      </c>
      <c r="AS68" s="214"/>
      <c r="AT68" s="99">
        <f t="shared" si="17"/>
        <v>0</v>
      </c>
      <c r="AU68" s="214">
        <v>494</v>
      </c>
      <c r="AV68" s="97">
        <v>494</v>
      </c>
      <c r="AW68" s="214">
        <v>465</v>
      </c>
      <c r="AX68" s="99">
        <f t="shared" si="18"/>
        <v>94.129554655870436</v>
      </c>
      <c r="AY68" s="214"/>
      <c r="AZ68" s="97">
        <f t="shared" si="56"/>
        <v>0</v>
      </c>
      <c r="BA68" s="214"/>
      <c r="BB68" s="99">
        <f t="shared" si="19"/>
        <v>0</v>
      </c>
      <c r="BC68" s="214"/>
      <c r="BD68" s="97">
        <f t="shared" si="56"/>
        <v>0</v>
      </c>
      <c r="BE68" s="214"/>
      <c r="BF68" s="99" t="e">
        <f t="shared" si="32"/>
        <v>#DIV/0!</v>
      </c>
      <c r="BG68" s="214"/>
      <c r="BH68" s="97">
        <f t="shared" si="56"/>
        <v>0</v>
      </c>
      <c r="BI68" s="214"/>
      <c r="BJ68" s="99">
        <f t="shared" si="20"/>
        <v>0</v>
      </c>
      <c r="BK68" s="214"/>
      <c r="BL68" s="97">
        <f t="shared" si="56"/>
        <v>0</v>
      </c>
      <c r="BM68" s="214">
        <v>32</v>
      </c>
      <c r="BN68" s="99">
        <f t="shared" si="21"/>
        <v>0</v>
      </c>
      <c r="BO68" s="235">
        <f t="shared" si="22"/>
        <v>892</v>
      </c>
      <c r="BP68" s="235">
        <f t="shared" si="23"/>
        <v>892</v>
      </c>
      <c r="BQ68" s="235">
        <f t="shared" si="24"/>
        <v>1095</v>
      </c>
      <c r="BR68" s="235">
        <f t="shared" si="25"/>
        <v>122.75784753363229</v>
      </c>
    </row>
    <row r="69" spans="1:70" ht="31.5" x14ac:dyDescent="0.2">
      <c r="A69" s="183" t="s">
        <v>169</v>
      </c>
      <c r="B69" s="201" t="s">
        <v>339</v>
      </c>
      <c r="C69" s="214">
        <v>568</v>
      </c>
      <c r="D69" s="97">
        <v>568</v>
      </c>
      <c r="E69" s="214">
        <v>853</v>
      </c>
      <c r="F69" s="99">
        <f t="shared" si="7"/>
        <v>150.17605633802816</v>
      </c>
      <c r="G69" s="214">
        <v>99</v>
      </c>
      <c r="H69" s="97">
        <v>99</v>
      </c>
      <c r="I69" s="214">
        <v>79</v>
      </c>
      <c r="J69" s="99">
        <f t="shared" si="8"/>
        <v>79.797979797979806</v>
      </c>
      <c r="K69" s="214"/>
      <c r="L69" s="97">
        <f t="shared" si="53"/>
        <v>0</v>
      </c>
      <c r="M69" s="214"/>
      <c r="N69" s="99">
        <f t="shared" si="9"/>
        <v>0</v>
      </c>
      <c r="O69" s="214"/>
      <c r="P69" s="97">
        <f t="shared" si="53"/>
        <v>0</v>
      </c>
      <c r="Q69" s="214"/>
      <c r="R69" s="99">
        <f t="shared" si="10"/>
        <v>0</v>
      </c>
      <c r="S69" s="214"/>
      <c r="T69" s="97">
        <f t="shared" si="54"/>
        <v>0</v>
      </c>
      <c r="U69" s="214"/>
      <c r="V69" s="99">
        <f t="shared" si="11"/>
        <v>0</v>
      </c>
      <c r="W69" s="214"/>
      <c r="X69" s="97">
        <f t="shared" si="54"/>
        <v>0</v>
      </c>
      <c r="Y69" s="214"/>
      <c r="Z69" s="99">
        <f t="shared" si="12"/>
        <v>0</v>
      </c>
      <c r="AA69" s="214"/>
      <c r="AB69" s="97">
        <f t="shared" si="54"/>
        <v>0</v>
      </c>
      <c r="AC69" s="214"/>
      <c r="AD69" s="99">
        <f t="shared" si="13"/>
        <v>0</v>
      </c>
      <c r="AE69" s="214"/>
      <c r="AF69" s="97">
        <f t="shared" si="54"/>
        <v>0</v>
      </c>
      <c r="AG69" s="214"/>
      <c r="AH69" s="99">
        <f t="shared" si="14"/>
        <v>0</v>
      </c>
      <c r="AI69" s="214"/>
      <c r="AJ69" s="97">
        <f t="shared" si="55"/>
        <v>0</v>
      </c>
      <c r="AK69" s="214"/>
      <c r="AL69" s="99">
        <f t="shared" si="15"/>
        <v>0</v>
      </c>
      <c r="AM69" s="214"/>
      <c r="AN69" s="97">
        <f t="shared" si="55"/>
        <v>0</v>
      </c>
      <c r="AO69" s="214"/>
      <c r="AP69" s="99">
        <f t="shared" si="16"/>
        <v>0</v>
      </c>
      <c r="AQ69" s="214"/>
      <c r="AR69" s="97">
        <f t="shared" si="55"/>
        <v>0</v>
      </c>
      <c r="AS69" s="214"/>
      <c r="AT69" s="99">
        <f t="shared" si="17"/>
        <v>0</v>
      </c>
      <c r="AU69" s="214">
        <v>1327</v>
      </c>
      <c r="AV69" s="97">
        <v>1327</v>
      </c>
      <c r="AW69" s="214">
        <v>2791</v>
      </c>
      <c r="AX69" s="99">
        <f t="shared" si="18"/>
        <v>210.32403918613412</v>
      </c>
      <c r="AY69" s="214"/>
      <c r="AZ69" s="97">
        <f t="shared" si="56"/>
        <v>0</v>
      </c>
      <c r="BA69" s="214"/>
      <c r="BB69" s="99">
        <f t="shared" si="19"/>
        <v>0</v>
      </c>
      <c r="BC69" s="214"/>
      <c r="BD69" s="97">
        <f t="shared" si="56"/>
        <v>0</v>
      </c>
      <c r="BE69" s="214"/>
      <c r="BF69" s="99" t="e">
        <f t="shared" si="32"/>
        <v>#DIV/0!</v>
      </c>
      <c r="BG69" s="214"/>
      <c r="BH69" s="97">
        <f t="shared" si="56"/>
        <v>0</v>
      </c>
      <c r="BI69" s="214"/>
      <c r="BJ69" s="99">
        <f t="shared" si="20"/>
        <v>0</v>
      </c>
      <c r="BK69" s="214"/>
      <c r="BL69" s="97">
        <f t="shared" si="56"/>
        <v>0</v>
      </c>
      <c r="BM69" s="214">
        <v>79</v>
      </c>
      <c r="BN69" s="99">
        <f t="shared" si="21"/>
        <v>0</v>
      </c>
      <c r="BO69" s="235">
        <f t="shared" si="22"/>
        <v>1994</v>
      </c>
      <c r="BP69" s="235">
        <f t="shared" si="23"/>
        <v>1994</v>
      </c>
      <c r="BQ69" s="235">
        <f t="shared" si="24"/>
        <v>3802</v>
      </c>
      <c r="BR69" s="235">
        <f t="shared" si="25"/>
        <v>190.67201604814443</v>
      </c>
    </row>
    <row r="70" spans="1:70" ht="31.5" x14ac:dyDescent="0.2">
      <c r="A70" s="176" t="s">
        <v>170</v>
      </c>
      <c r="B70" s="197" t="s">
        <v>3</v>
      </c>
      <c r="C70" s="218">
        <f t="shared" ref="C70:BK70" si="57">C71*7+C72*8+C73*8</f>
        <v>15636</v>
      </c>
      <c r="D70" s="218">
        <f t="shared" si="57"/>
        <v>15636</v>
      </c>
      <c r="E70" s="218">
        <f t="shared" ref="E70:BM70" si="58">E71*7+E72*8+E73*8</f>
        <v>19364</v>
      </c>
      <c r="F70" s="179">
        <f t="shared" si="7"/>
        <v>123.84241493988233</v>
      </c>
      <c r="G70" s="218">
        <f t="shared" si="57"/>
        <v>3780</v>
      </c>
      <c r="H70" s="218">
        <f t="shared" si="57"/>
        <v>3780</v>
      </c>
      <c r="I70" s="218">
        <f t="shared" si="58"/>
        <v>2060</v>
      </c>
      <c r="J70" s="179">
        <f t="shared" si="8"/>
        <v>54.4973544973545</v>
      </c>
      <c r="K70" s="218">
        <f t="shared" si="57"/>
        <v>0</v>
      </c>
      <c r="L70" s="184">
        <f t="shared" si="53"/>
        <v>0</v>
      </c>
      <c r="M70" s="218">
        <f t="shared" si="58"/>
        <v>0</v>
      </c>
      <c r="N70" s="179">
        <f t="shared" si="9"/>
        <v>0</v>
      </c>
      <c r="O70" s="218">
        <f t="shared" si="57"/>
        <v>0</v>
      </c>
      <c r="P70" s="184">
        <f t="shared" si="53"/>
        <v>0</v>
      </c>
      <c r="Q70" s="218">
        <f t="shared" si="58"/>
        <v>0</v>
      </c>
      <c r="R70" s="179">
        <f t="shared" si="10"/>
        <v>0</v>
      </c>
      <c r="S70" s="218">
        <f t="shared" si="57"/>
        <v>0</v>
      </c>
      <c r="T70" s="184">
        <f t="shared" si="54"/>
        <v>0</v>
      </c>
      <c r="U70" s="218">
        <f t="shared" si="58"/>
        <v>0</v>
      </c>
      <c r="V70" s="179">
        <f t="shared" si="11"/>
        <v>0</v>
      </c>
      <c r="W70" s="218">
        <f t="shared" si="57"/>
        <v>0</v>
      </c>
      <c r="X70" s="184">
        <f t="shared" si="54"/>
        <v>0</v>
      </c>
      <c r="Y70" s="218">
        <f t="shared" si="58"/>
        <v>0</v>
      </c>
      <c r="Z70" s="179">
        <f t="shared" si="12"/>
        <v>0</v>
      </c>
      <c r="AA70" s="218">
        <f t="shared" si="57"/>
        <v>0</v>
      </c>
      <c r="AB70" s="184">
        <f t="shared" si="54"/>
        <v>0</v>
      </c>
      <c r="AC70" s="218">
        <f t="shared" si="58"/>
        <v>0</v>
      </c>
      <c r="AD70" s="179">
        <f t="shared" si="13"/>
        <v>0</v>
      </c>
      <c r="AE70" s="218">
        <f t="shared" si="57"/>
        <v>0</v>
      </c>
      <c r="AF70" s="184">
        <f t="shared" si="54"/>
        <v>0</v>
      </c>
      <c r="AG70" s="218">
        <f t="shared" si="58"/>
        <v>0</v>
      </c>
      <c r="AH70" s="179">
        <f t="shared" si="14"/>
        <v>0</v>
      </c>
      <c r="AI70" s="218">
        <f t="shared" si="57"/>
        <v>0</v>
      </c>
      <c r="AJ70" s="184">
        <f t="shared" si="55"/>
        <v>0</v>
      </c>
      <c r="AK70" s="218">
        <f t="shared" si="58"/>
        <v>0</v>
      </c>
      <c r="AL70" s="179">
        <f t="shared" si="15"/>
        <v>0</v>
      </c>
      <c r="AM70" s="218">
        <f t="shared" si="57"/>
        <v>0</v>
      </c>
      <c r="AN70" s="184">
        <f t="shared" si="55"/>
        <v>0</v>
      </c>
      <c r="AO70" s="218">
        <f t="shared" si="58"/>
        <v>0</v>
      </c>
      <c r="AP70" s="179">
        <f t="shared" si="16"/>
        <v>0</v>
      </c>
      <c r="AQ70" s="218">
        <f t="shared" si="57"/>
        <v>0</v>
      </c>
      <c r="AR70" s="184">
        <f t="shared" si="55"/>
        <v>0</v>
      </c>
      <c r="AS70" s="218">
        <f t="shared" si="58"/>
        <v>0</v>
      </c>
      <c r="AT70" s="179">
        <f t="shared" si="17"/>
        <v>0</v>
      </c>
      <c r="AU70" s="218">
        <f t="shared" si="57"/>
        <v>21691</v>
      </c>
      <c r="AV70" s="218">
        <f t="shared" si="57"/>
        <v>21691</v>
      </c>
      <c r="AW70" s="218">
        <f t="shared" si="58"/>
        <v>14807</v>
      </c>
      <c r="AX70" s="179">
        <f t="shared" si="18"/>
        <v>68.26333502374257</v>
      </c>
      <c r="AY70" s="218">
        <f t="shared" si="57"/>
        <v>0</v>
      </c>
      <c r="AZ70" s="184">
        <f t="shared" si="56"/>
        <v>0</v>
      </c>
      <c r="BA70" s="218">
        <f t="shared" si="58"/>
        <v>0</v>
      </c>
      <c r="BB70" s="179">
        <f t="shared" si="19"/>
        <v>0</v>
      </c>
      <c r="BC70" s="218">
        <f t="shared" si="57"/>
        <v>0</v>
      </c>
      <c r="BD70" s="184">
        <f t="shared" si="56"/>
        <v>0</v>
      </c>
      <c r="BE70" s="218">
        <f t="shared" si="58"/>
        <v>0</v>
      </c>
      <c r="BF70" s="179" t="e">
        <f t="shared" si="32"/>
        <v>#DIV/0!</v>
      </c>
      <c r="BG70" s="218">
        <f t="shared" si="57"/>
        <v>0</v>
      </c>
      <c r="BH70" s="184">
        <f t="shared" si="56"/>
        <v>0</v>
      </c>
      <c r="BI70" s="218">
        <f t="shared" si="58"/>
        <v>0</v>
      </c>
      <c r="BJ70" s="179">
        <f t="shared" si="20"/>
        <v>0</v>
      </c>
      <c r="BK70" s="218">
        <f t="shared" si="57"/>
        <v>1150</v>
      </c>
      <c r="BL70" s="184">
        <f t="shared" si="56"/>
        <v>1150</v>
      </c>
      <c r="BM70" s="218">
        <f t="shared" si="58"/>
        <v>978</v>
      </c>
      <c r="BN70" s="179">
        <f t="shared" si="21"/>
        <v>85.043478260869563</v>
      </c>
      <c r="BO70" s="235">
        <f t="shared" si="22"/>
        <v>42257</v>
      </c>
      <c r="BP70" s="235">
        <f t="shared" si="23"/>
        <v>42257</v>
      </c>
      <c r="BQ70" s="235">
        <f t="shared" si="24"/>
        <v>37209</v>
      </c>
      <c r="BR70" s="235">
        <f t="shared" si="25"/>
        <v>88.054050216532175</v>
      </c>
    </row>
    <row r="71" spans="1:70" ht="31.5" x14ac:dyDescent="0.2">
      <c r="A71" s="185" t="s">
        <v>171</v>
      </c>
      <c r="B71" s="201" t="s">
        <v>339</v>
      </c>
      <c r="C71" s="214">
        <v>700</v>
      </c>
      <c r="D71" s="97">
        <v>700</v>
      </c>
      <c r="E71" s="214">
        <v>1412</v>
      </c>
      <c r="F71" s="99">
        <f t="shared" si="7"/>
        <v>201.71428571428572</v>
      </c>
      <c r="G71" s="214">
        <v>220</v>
      </c>
      <c r="H71" s="97">
        <v>220</v>
      </c>
      <c r="I71" s="214">
        <v>116</v>
      </c>
      <c r="J71" s="99">
        <f t="shared" si="8"/>
        <v>52.72727272727272</v>
      </c>
      <c r="K71" s="214"/>
      <c r="L71" s="97">
        <f t="shared" si="53"/>
        <v>0</v>
      </c>
      <c r="M71" s="214"/>
      <c r="N71" s="99">
        <f t="shared" si="9"/>
        <v>0</v>
      </c>
      <c r="O71" s="214"/>
      <c r="P71" s="97">
        <f t="shared" si="53"/>
        <v>0</v>
      </c>
      <c r="Q71" s="214"/>
      <c r="R71" s="99">
        <f t="shared" si="10"/>
        <v>0</v>
      </c>
      <c r="S71" s="214"/>
      <c r="T71" s="97">
        <f t="shared" si="54"/>
        <v>0</v>
      </c>
      <c r="U71" s="214"/>
      <c r="V71" s="99">
        <f t="shared" si="11"/>
        <v>0</v>
      </c>
      <c r="W71" s="214"/>
      <c r="X71" s="97">
        <f t="shared" si="54"/>
        <v>0</v>
      </c>
      <c r="Y71" s="214"/>
      <c r="Z71" s="99">
        <f t="shared" si="12"/>
        <v>0</v>
      </c>
      <c r="AA71" s="214"/>
      <c r="AB71" s="97">
        <f t="shared" si="54"/>
        <v>0</v>
      </c>
      <c r="AC71" s="214"/>
      <c r="AD71" s="99">
        <f t="shared" si="13"/>
        <v>0</v>
      </c>
      <c r="AE71" s="214"/>
      <c r="AF71" s="97">
        <f t="shared" si="54"/>
        <v>0</v>
      </c>
      <c r="AG71" s="214"/>
      <c r="AH71" s="99">
        <f t="shared" si="14"/>
        <v>0</v>
      </c>
      <c r="AI71" s="214"/>
      <c r="AJ71" s="97">
        <f t="shared" si="55"/>
        <v>0</v>
      </c>
      <c r="AK71" s="214"/>
      <c r="AL71" s="99">
        <f t="shared" si="15"/>
        <v>0</v>
      </c>
      <c r="AM71" s="214"/>
      <c r="AN71" s="97">
        <f t="shared" si="55"/>
        <v>0</v>
      </c>
      <c r="AO71" s="214"/>
      <c r="AP71" s="99">
        <f t="shared" si="16"/>
        <v>0</v>
      </c>
      <c r="AQ71" s="214"/>
      <c r="AR71" s="97">
        <f t="shared" si="55"/>
        <v>0</v>
      </c>
      <c r="AS71" s="214"/>
      <c r="AT71" s="99">
        <f t="shared" si="17"/>
        <v>0</v>
      </c>
      <c r="AU71" s="214">
        <v>1277</v>
      </c>
      <c r="AV71" s="97">
        <v>1277</v>
      </c>
      <c r="AW71" s="214">
        <v>1081</v>
      </c>
      <c r="AX71" s="99">
        <f t="shared" si="18"/>
        <v>84.651527016444788</v>
      </c>
      <c r="AY71" s="214"/>
      <c r="AZ71" s="97">
        <f t="shared" si="56"/>
        <v>0</v>
      </c>
      <c r="BA71" s="214"/>
      <c r="BB71" s="99">
        <f t="shared" si="19"/>
        <v>0</v>
      </c>
      <c r="BC71" s="214"/>
      <c r="BD71" s="97">
        <f t="shared" si="56"/>
        <v>0</v>
      </c>
      <c r="BE71" s="214"/>
      <c r="BF71" s="99" t="e">
        <f t="shared" si="32"/>
        <v>#DIV/0!</v>
      </c>
      <c r="BG71" s="214"/>
      <c r="BH71" s="97">
        <f t="shared" si="56"/>
        <v>0</v>
      </c>
      <c r="BI71" s="214"/>
      <c r="BJ71" s="99">
        <f t="shared" si="20"/>
        <v>0</v>
      </c>
      <c r="BK71" s="214">
        <v>50</v>
      </c>
      <c r="BL71" s="97">
        <v>50</v>
      </c>
      <c r="BM71" s="214">
        <v>62</v>
      </c>
      <c r="BN71" s="99">
        <f t="shared" si="21"/>
        <v>124</v>
      </c>
      <c r="BO71" s="235">
        <f t="shared" si="22"/>
        <v>2247</v>
      </c>
      <c r="BP71" s="235">
        <f t="shared" si="23"/>
        <v>2247</v>
      </c>
      <c r="BQ71" s="235">
        <f t="shared" si="24"/>
        <v>2671</v>
      </c>
      <c r="BR71" s="235">
        <f t="shared" si="25"/>
        <v>118.86960391633288</v>
      </c>
    </row>
    <row r="72" spans="1:70" ht="47.25" x14ac:dyDescent="0.2">
      <c r="A72" s="185" t="s">
        <v>172</v>
      </c>
      <c r="B72" s="201" t="s">
        <v>339</v>
      </c>
      <c r="C72" s="214">
        <v>768</v>
      </c>
      <c r="D72" s="97">
        <v>768</v>
      </c>
      <c r="E72" s="214">
        <v>753</v>
      </c>
      <c r="F72" s="99">
        <f t="shared" si="7"/>
        <v>98.046875</v>
      </c>
      <c r="G72" s="214">
        <v>220</v>
      </c>
      <c r="H72" s="97">
        <v>220</v>
      </c>
      <c r="I72" s="214">
        <v>156</v>
      </c>
      <c r="J72" s="99">
        <f t="shared" si="8"/>
        <v>70.909090909090907</v>
      </c>
      <c r="K72" s="214"/>
      <c r="L72" s="97">
        <f t="shared" si="53"/>
        <v>0</v>
      </c>
      <c r="M72" s="214"/>
      <c r="N72" s="99">
        <f t="shared" si="9"/>
        <v>0</v>
      </c>
      <c r="O72" s="214"/>
      <c r="P72" s="97">
        <f t="shared" si="53"/>
        <v>0</v>
      </c>
      <c r="Q72" s="214"/>
      <c r="R72" s="99">
        <f t="shared" si="10"/>
        <v>0</v>
      </c>
      <c r="S72" s="214"/>
      <c r="T72" s="97">
        <f t="shared" si="54"/>
        <v>0</v>
      </c>
      <c r="U72" s="214"/>
      <c r="V72" s="99">
        <f t="shared" si="11"/>
        <v>0</v>
      </c>
      <c r="W72" s="214"/>
      <c r="X72" s="97">
        <f t="shared" si="54"/>
        <v>0</v>
      </c>
      <c r="Y72" s="214"/>
      <c r="Z72" s="99">
        <f t="shared" si="12"/>
        <v>0</v>
      </c>
      <c r="AA72" s="214"/>
      <c r="AB72" s="97">
        <f t="shared" si="54"/>
        <v>0</v>
      </c>
      <c r="AC72" s="214"/>
      <c r="AD72" s="99">
        <f t="shared" si="13"/>
        <v>0</v>
      </c>
      <c r="AE72" s="214"/>
      <c r="AF72" s="97">
        <f t="shared" si="54"/>
        <v>0</v>
      </c>
      <c r="AG72" s="214"/>
      <c r="AH72" s="99">
        <f t="shared" si="14"/>
        <v>0</v>
      </c>
      <c r="AI72" s="214"/>
      <c r="AJ72" s="97">
        <f t="shared" si="55"/>
        <v>0</v>
      </c>
      <c r="AK72" s="214"/>
      <c r="AL72" s="99">
        <f t="shared" si="15"/>
        <v>0</v>
      </c>
      <c r="AM72" s="214"/>
      <c r="AN72" s="97">
        <f t="shared" si="55"/>
        <v>0</v>
      </c>
      <c r="AO72" s="214"/>
      <c r="AP72" s="99">
        <f t="shared" si="16"/>
        <v>0</v>
      </c>
      <c r="AQ72" s="214"/>
      <c r="AR72" s="97">
        <f t="shared" si="55"/>
        <v>0</v>
      </c>
      <c r="AS72" s="214"/>
      <c r="AT72" s="99">
        <f t="shared" si="17"/>
        <v>0</v>
      </c>
      <c r="AU72" s="214">
        <v>522</v>
      </c>
      <c r="AV72" s="97">
        <v>522</v>
      </c>
      <c r="AW72" s="214">
        <v>655</v>
      </c>
      <c r="AX72" s="99">
        <f t="shared" si="18"/>
        <v>125.47892720306513</v>
      </c>
      <c r="AY72" s="214"/>
      <c r="AZ72" s="97">
        <f t="shared" si="56"/>
        <v>0</v>
      </c>
      <c r="BA72" s="214"/>
      <c r="BB72" s="99">
        <f t="shared" si="19"/>
        <v>0</v>
      </c>
      <c r="BC72" s="214"/>
      <c r="BD72" s="97">
        <f t="shared" si="56"/>
        <v>0</v>
      </c>
      <c r="BE72" s="214"/>
      <c r="BF72" s="99" t="e">
        <f t="shared" si="32"/>
        <v>#DIV/0!</v>
      </c>
      <c r="BG72" s="214"/>
      <c r="BH72" s="97">
        <f t="shared" si="56"/>
        <v>0</v>
      </c>
      <c r="BI72" s="214"/>
      <c r="BJ72" s="99">
        <f t="shared" si="20"/>
        <v>0</v>
      </c>
      <c r="BK72" s="214">
        <v>50</v>
      </c>
      <c r="BL72" s="97">
        <v>50</v>
      </c>
      <c r="BM72" s="214">
        <v>68</v>
      </c>
      <c r="BN72" s="99">
        <f t="shared" si="21"/>
        <v>136</v>
      </c>
      <c r="BO72" s="235">
        <f t="shared" si="22"/>
        <v>1560</v>
      </c>
      <c r="BP72" s="235">
        <f t="shared" si="23"/>
        <v>1560</v>
      </c>
      <c r="BQ72" s="235">
        <f t="shared" si="24"/>
        <v>1632</v>
      </c>
      <c r="BR72" s="235">
        <f t="shared" si="25"/>
        <v>104.61538461538463</v>
      </c>
    </row>
    <row r="73" spans="1:70" ht="94.5" x14ac:dyDescent="0.2">
      <c r="A73" s="185" t="s">
        <v>173</v>
      </c>
      <c r="B73" s="201" t="s">
        <v>339</v>
      </c>
      <c r="C73" s="214">
        <v>574</v>
      </c>
      <c r="D73" s="97">
        <v>574</v>
      </c>
      <c r="E73" s="214">
        <v>432</v>
      </c>
      <c r="F73" s="99">
        <f t="shared" si="7"/>
        <v>75.261324041811847</v>
      </c>
      <c r="G73" s="214">
        <v>60</v>
      </c>
      <c r="H73" s="97">
        <v>60</v>
      </c>
      <c r="I73" s="214">
        <v>0</v>
      </c>
      <c r="J73" s="99">
        <f t="shared" si="8"/>
        <v>0</v>
      </c>
      <c r="K73" s="214"/>
      <c r="L73" s="97">
        <f t="shared" si="53"/>
        <v>0</v>
      </c>
      <c r="M73" s="214"/>
      <c r="N73" s="99">
        <f t="shared" si="9"/>
        <v>0</v>
      </c>
      <c r="O73" s="214"/>
      <c r="P73" s="97">
        <f t="shared" si="53"/>
        <v>0</v>
      </c>
      <c r="Q73" s="214"/>
      <c r="R73" s="99">
        <f t="shared" si="10"/>
        <v>0</v>
      </c>
      <c r="S73" s="214"/>
      <c r="T73" s="97">
        <f t="shared" si="54"/>
        <v>0</v>
      </c>
      <c r="U73" s="214"/>
      <c r="V73" s="99">
        <f t="shared" si="11"/>
        <v>0</v>
      </c>
      <c r="W73" s="214"/>
      <c r="X73" s="97">
        <f t="shared" si="54"/>
        <v>0</v>
      </c>
      <c r="Y73" s="214"/>
      <c r="Z73" s="99">
        <f t="shared" si="12"/>
        <v>0</v>
      </c>
      <c r="AA73" s="214"/>
      <c r="AB73" s="97">
        <f t="shared" si="54"/>
        <v>0</v>
      </c>
      <c r="AC73" s="214"/>
      <c r="AD73" s="99">
        <f t="shared" si="13"/>
        <v>0</v>
      </c>
      <c r="AE73" s="214"/>
      <c r="AF73" s="97">
        <f t="shared" si="54"/>
        <v>0</v>
      </c>
      <c r="AG73" s="214"/>
      <c r="AH73" s="99">
        <f t="shared" si="14"/>
        <v>0</v>
      </c>
      <c r="AI73" s="214"/>
      <c r="AJ73" s="97">
        <f t="shared" si="55"/>
        <v>0</v>
      </c>
      <c r="AK73" s="214"/>
      <c r="AL73" s="99">
        <f t="shared" si="15"/>
        <v>0</v>
      </c>
      <c r="AM73" s="214"/>
      <c r="AN73" s="97">
        <f t="shared" si="55"/>
        <v>0</v>
      </c>
      <c r="AO73" s="214"/>
      <c r="AP73" s="99">
        <f t="shared" si="16"/>
        <v>0</v>
      </c>
      <c r="AQ73" s="214"/>
      <c r="AR73" s="97">
        <f t="shared" si="55"/>
        <v>0</v>
      </c>
      <c r="AS73" s="214"/>
      <c r="AT73" s="99">
        <f t="shared" si="17"/>
        <v>0</v>
      </c>
      <c r="AU73" s="214">
        <v>1072</v>
      </c>
      <c r="AV73" s="97">
        <v>1072</v>
      </c>
      <c r="AW73" s="214">
        <v>250</v>
      </c>
      <c r="AX73" s="99">
        <f t="shared" si="18"/>
        <v>23.32089552238806</v>
      </c>
      <c r="AY73" s="214"/>
      <c r="AZ73" s="97">
        <f t="shared" si="56"/>
        <v>0</v>
      </c>
      <c r="BA73" s="214"/>
      <c r="BB73" s="99">
        <f t="shared" si="19"/>
        <v>0</v>
      </c>
      <c r="BC73" s="214"/>
      <c r="BD73" s="97">
        <f t="shared" si="56"/>
        <v>0</v>
      </c>
      <c r="BE73" s="214"/>
      <c r="BF73" s="99" t="e">
        <f t="shared" si="32"/>
        <v>#DIV/0!</v>
      </c>
      <c r="BG73" s="214"/>
      <c r="BH73" s="97">
        <f t="shared" si="56"/>
        <v>0</v>
      </c>
      <c r="BI73" s="214"/>
      <c r="BJ73" s="99">
        <f t="shared" si="20"/>
        <v>0</v>
      </c>
      <c r="BK73" s="214">
        <v>50</v>
      </c>
      <c r="BL73" s="97">
        <v>50</v>
      </c>
      <c r="BM73" s="214">
        <v>0</v>
      </c>
      <c r="BN73" s="99">
        <f t="shared" si="21"/>
        <v>0</v>
      </c>
      <c r="BO73" s="235">
        <f t="shared" si="22"/>
        <v>1756</v>
      </c>
      <c r="BP73" s="235">
        <f t="shared" si="23"/>
        <v>1756</v>
      </c>
      <c r="BQ73" s="235">
        <f t="shared" si="24"/>
        <v>682</v>
      </c>
      <c r="BR73" s="235">
        <f t="shared" si="25"/>
        <v>38.838268792710707</v>
      </c>
    </row>
    <row r="74" spans="1:70" ht="31.5" x14ac:dyDescent="0.2">
      <c r="A74" s="176" t="s">
        <v>174</v>
      </c>
      <c r="B74" s="197" t="s">
        <v>3</v>
      </c>
      <c r="C74" s="218">
        <f t="shared" ref="C74:BK74" si="59">C75+C76+C77</f>
        <v>3151</v>
      </c>
      <c r="D74" s="218">
        <f t="shared" si="59"/>
        <v>3151</v>
      </c>
      <c r="E74" s="218">
        <f t="shared" ref="E74:BM74" si="60">E75+E76+E77</f>
        <v>3566</v>
      </c>
      <c r="F74" s="179">
        <f t="shared" si="7"/>
        <v>113.17042208822596</v>
      </c>
      <c r="G74" s="218">
        <f t="shared" si="59"/>
        <v>860</v>
      </c>
      <c r="H74" s="184">
        <f t="shared" si="53"/>
        <v>860</v>
      </c>
      <c r="I74" s="218">
        <f t="shared" si="60"/>
        <v>733</v>
      </c>
      <c r="J74" s="179">
        <f t="shared" si="8"/>
        <v>85.232558139534888</v>
      </c>
      <c r="K74" s="218">
        <f t="shared" si="59"/>
        <v>0</v>
      </c>
      <c r="L74" s="184">
        <f t="shared" si="53"/>
        <v>0</v>
      </c>
      <c r="M74" s="218">
        <f t="shared" si="60"/>
        <v>0</v>
      </c>
      <c r="N74" s="179">
        <f t="shared" si="9"/>
        <v>0</v>
      </c>
      <c r="O74" s="218">
        <f t="shared" si="59"/>
        <v>0</v>
      </c>
      <c r="P74" s="184">
        <f t="shared" si="53"/>
        <v>0</v>
      </c>
      <c r="Q74" s="218">
        <f t="shared" si="60"/>
        <v>0</v>
      </c>
      <c r="R74" s="179">
        <f t="shared" si="10"/>
        <v>0</v>
      </c>
      <c r="S74" s="218">
        <f t="shared" si="59"/>
        <v>0</v>
      </c>
      <c r="T74" s="184">
        <f t="shared" si="54"/>
        <v>0</v>
      </c>
      <c r="U74" s="218">
        <f t="shared" si="60"/>
        <v>0</v>
      </c>
      <c r="V74" s="179">
        <f t="shared" si="11"/>
        <v>0</v>
      </c>
      <c r="W74" s="218">
        <f t="shared" si="59"/>
        <v>0</v>
      </c>
      <c r="X74" s="184">
        <f t="shared" si="54"/>
        <v>0</v>
      </c>
      <c r="Y74" s="218">
        <f t="shared" si="60"/>
        <v>0</v>
      </c>
      <c r="Z74" s="179">
        <f t="shared" si="12"/>
        <v>0</v>
      </c>
      <c r="AA74" s="218">
        <f t="shared" si="59"/>
        <v>0</v>
      </c>
      <c r="AB74" s="184">
        <f t="shared" si="54"/>
        <v>0</v>
      </c>
      <c r="AC74" s="218">
        <f t="shared" si="60"/>
        <v>0</v>
      </c>
      <c r="AD74" s="179">
        <f t="shared" si="13"/>
        <v>0</v>
      </c>
      <c r="AE74" s="218">
        <f t="shared" si="59"/>
        <v>0</v>
      </c>
      <c r="AF74" s="184">
        <f t="shared" si="54"/>
        <v>0</v>
      </c>
      <c r="AG74" s="218">
        <f t="shared" si="60"/>
        <v>0</v>
      </c>
      <c r="AH74" s="179">
        <f t="shared" si="14"/>
        <v>0</v>
      </c>
      <c r="AI74" s="218">
        <f t="shared" si="59"/>
        <v>0</v>
      </c>
      <c r="AJ74" s="184">
        <f t="shared" si="55"/>
        <v>0</v>
      </c>
      <c r="AK74" s="218">
        <f t="shared" si="60"/>
        <v>0</v>
      </c>
      <c r="AL74" s="179">
        <f t="shared" si="15"/>
        <v>0</v>
      </c>
      <c r="AM74" s="218">
        <f t="shared" si="59"/>
        <v>0</v>
      </c>
      <c r="AN74" s="184">
        <f t="shared" si="55"/>
        <v>0</v>
      </c>
      <c r="AO74" s="218">
        <f t="shared" si="60"/>
        <v>0</v>
      </c>
      <c r="AP74" s="179">
        <f t="shared" si="16"/>
        <v>0</v>
      </c>
      <c r="AQ74" s="218">
        <f t="shared" si="59"/>
        <v>0</v>
      </c>
      <c r="AR74" s="184">
        <f t="shared" si="55"/>
        <v>0</v>
      </c>
      <c r="AS74" s="218">
        <f t="shared" si="60"/>
        <v>0</v>
      </c>
      <c r="AT74" s="179">
        <f t="shared" si="17"/>
        <v>0</v>
      </c>
      <c r="AU74" s="218">
        <f t="shared" si="59"/>
        <v>4720</v>
      </c>
      <c r="AV74" s="218">
        <f t="shared" si="59"/>
        <v>4720</v>
      </c>
      <c r="AW74" s="218">
        <f t="shared" si="60"/>
        <v>2007</v>
      </c>
      <c r="AX74" s="179">
        <f t="shared" si="18"/>
        <v>42.521186440677965</v>
      </c>
      <c r="AY74" s="218">
        <f t="shared" si="59"/>
        <v>0</v>
      </c>
      <c r="AZ74" s="184">
        <f t="shared" si="56"/>
        <v>0</v>
      </c>
      <c r="BA74" s="218">
        <f t="shared" si="60"/>
        <v>0</v>
      </c>
      <c r="BB74" s="179">
        <f t="shared" si="19"/>
        <v>0</v>
      </c>
      <c r="BC74" s="218">
        <f t="shared" si="59"/>
        <v>0</v>
      </c>
      <c r="BD74" s="184">
        <f t="shared" si="56"/>
        <v>0</v>
      </c>
      <c r="BE74" s="218">
        <f t="shared" si="60"/>
        <v>0</v>
      </c>
      <c r="BF74" s="179" t="e">
        <f t="shared" si="32"/>
        <v>#DIV/0!</v>
      </c>
      <c r="BG74" s="218">
        <f t="shared" si="59"/>
        <v>0</v>
      </c>
      <c r="BH74" s="184">
        <f t="shared" si="56"/>
        <v>0</v>
      </c>
      <c r="BI74" s="218">
        <f t="shared" si="60"/>
        <v>0</v>
      </c>
      <c r="BJ74" s="179">
        <f t="shared" si="20"/>
        <v>0</v>
      </c>
      <c r="BK74" s="218">
        <f t="shared" si="59"/>
        <v>100</v>
      </c>
      <c r="BL74" s="184">
        <f t="shared" si="56"/>
        <v>100</v>
      </c>
      <c r="BM74" s="218">
        <f t="shared" si="60"/>
        <v>3</v>
      </c>
      <c r="BN74" s="179">
        <f t="shared" si="21"/>
        <v>3</v>
      </c>
      <c r="BO74" s="235">
        <f t="shared" si="22"/>
        <v>8831</v>
      </c>
      <c r="BP74" s="235">
        <f t="shared" si="23"/>
        <v>8831</v>
      </c>
      <c r="BQ74" s="235">
        <f t="shared" si="24"/>
        <v>6309</v>
      </c>
      <c r="BR74" s="235">
        <f t="shared" si="25"/>
        <v>71.441512852451595</v>
      </c>
    </row>
    <row r="75" spans="1:70" ht="31.5" x14ac:dyDescent="0.2">
      <c r="A75" s="185" t="s">
        <v>175</v>
      </c>
      <c r="B75" s="201" t="s">
        <v>339</v>
      </c>
      <c r="C75" s="214">
        <v>1303</v>
      </c>
      <c r="D75" s="97">
        <v>1303</v>
      </c>
      <c r="E75" s="214">
        <v>1223</v>
      </c>
      <c r="F75" s="99">
        <f t="shared" si="7"/>
        <v>93.860322333077519</v>
      </c>
      <c r="G75" s="214">
        <v>225</v>
      </c>
      <c r="H75" s="97">
        <v>225</v>
      </c>
      <c r="I75" s="214">
        <v>258</v>
      </c>
      <c r="J75" s="99">
        <f t="shared" si="8"/>
        <v>114.66666666666667</v>
      </c>
      <c r="K75" s="214"/>
      <c r="L75" s="97">
        <f t="shared" si="53"/>
        <v>0</v>
      </c>
      <c r="M75" s="214"/>
      <c r="N75" s="99">
        <f t="shared" si="9"/>
        <v>0</v>
      </c>
      <c r="O75" s="214"/>
      <c r="P75" s="97">
        <f t="shared" si="53"/>
        <v>0</v>
      </c>
      <c r="Q75" s="214"/>
      <c r="R75" s="99">
        <f t="shared" si="10"/>
        <v>0</v>
      </c>
      <c r="S75" s="214"/>
      <c r="T75" s="97">
        <f t="shared" si="54"/>
        <v>0</v>
      </c>
      <c r="U75" s="214"/>
      <c r="V75" s="99">
        <f t="shared" si="11"/>
        <v>0</v>
      </c>
      <c r="W75" s="214"/>
      <c r="X75" s="97">
        <f t="shared" si="54"/>
        <v>0</v>
      </c>
      <c r="Y75" s="214"/>
      <c r="Z75" s="99">
        <f t="shared" si="12"/>
        <v>0</v>
      </c>
      <c r="AA75" s="214"/>
      <c r="AB75" s="97">
        <f t="shared" si="54"/>
        <v>0</v>
      </c>
      <c r="AC75" s="214"/>
      <c r="AD75" s="99">
        <f t="shared" si="13"/>
        <v>0</v>
      </c>
      <c r="AE75" s="214"/>
      <c r="AF75" s="97">
        <f t="shared" si="54"/>
        <v>0</v>
      </c>
      <c r="AG75" s="214"/>
      <c r="AH75" s="99">
        <f t="shared" si="14"/>
        <v>0</v>
      </c>
      <c r="AI75" s="214"/>
      <c r="AJ75" s="97">
        <f t="shared" si="55"/>
        <v>0</v>
      </c>
      <c r="AK75" s="214"/>
      <c r="AL75" s="99">
        <f t="shared" si="15"/>
        <v>0</v>
      </c>
      <c r="AM75" s="214"/>
      <c r="AN75" s="97">
        <f t="shared" si="55"/>
        <v>0</v>
      </c>
      <c r="AO75" s="214"/>
      <c r="AP75" s="99">
        <f t="shared" si="16"/>
        <v>0</v>
      </c>
      <c r="AQ75" s="214"/>
      <c r="AR75" s="97">
        <f t="shared" si="55"/>
        <v>0</v>
      </c>
      <c r="AS75" s="214"/>
      <c r="AT75" s="99">
        <f t="shared" si="17"/>
        <v>0</v>
      </c>
      <c r="AU75" s="214">
        <v>1146</v>
      </c>
      <c r="AV75" s="97">
        <v>1146</v>
      </c>
      <c r="AW75" s="214">
        <v>1384</v>
      </c>
      <c r="AX75" s="99">
        <f t="shared" si="18"/>
        <v>120.76788830715532</v>
      </c>
      <c r="AY75" s="214"/>
      <c r="AZ75" s="97">
        <f t="shared" si="56"/>
        <v>0</v>
      </c>
      <c r="BA75" s="214"/>
      <c r="BB75" s="99">
        <f t="shared" si="19"/>
        <v>0</v>
      </c>
      <c r="BC75" s="214"/>
      <c r="BD75" s="97">
        <f t="shared" si="56"/>
        <v>0</v>
      </c>
      <c r="BE75" s="214"/>
      <c r="BF75" s="99" t="e">
        <f t="shared" si="32"/>
        <v>#DIV/0!</v>
      </c>
      <c r="BG75" s="214"/>
      <c r="BH75" s="97">
        <f t="shared" si="56"/>
        <v>0</v>
      </c>
      <c r="BI75" s="214"/>
      <c r="BJ75" s="99">
        <f t="shared" si="20"/>
        <v>0</v>
      </c>
      <c r="BK75" s="214">
        <v>50</v>
      </c>
      <c r="BL75" s="97">
        <f t="shared" si="56"/>
        <v>50</v>
      </c>
      <c r="BM75" s="214">
        <v>0</v>
      </c>
      <c r="BN75" s="99">
        <f t="shared" si="21"/>
        <v>0</v>
      </c>
      <c r="BO75" s="235">
        <f t="shared" si="22"/>
        <v>2724</v>
      </c>
      <c r="BP75" s="235">
        <f t="shared" si="23"/>
        <v>2724</v>
      </c>
      <c r="BQ75" s="235">
        <f t="shared" si="24"/>
        <v>2865</v>
      </c>
      <c r="BR75" s="235">
        <f t="shared" si="25"/>
        <v>105.1762114537445</v>
      </c>
    </row>
    <row r="76" spans="1:70" ht="47.25" x14ac:dyDescent="0.2">
      <c r="A76" s="185" t="s">
        <v>176</v>
      </c>
      <c r="B76" s="201" t="s">
        <v>339</v>
      </c>
      <c r="C76" s="214">
        <v>1848</v>
      </c>
      <c r="D76" s="97">
        <v>1848</v>
      </c>
      <c r="E76" s="214">
        <v>2343</v>
      </c>
      <c r="F76" s="99">
        <f t="shared" si="7"/>
        <v>126.78571428571428</v>
      </c>
      <c r="G76" s="214">
        <v>635</v>
      </c>
      <c r="H76" s="97">
        <v>635</v>
      </c>
      <c r="I76" s="214">
        <v>475</v>
      </c>
      <c r="J76" s="99">
        <f t="shared" si="8"/>
        <v>74.803149606299215</v>
      </c>
      <c r="K76" s="214"/>
      <c r="L76" s="97">
        <f t="shared" si="53"/>
        <v>0</v>
      </c>
      <c r="M76" s="214"/>
      <c r="N76" s="99">
        <f t="shared" si="9"/>
        <v>0</v>
      </c>
      <c r="O76" s="214"/>
      <c r="P76" s="97">
        <f t="shared" si="53"/>
        <v>0</v>
      </c>
      <c r="Q76" s="214"/>
      <c r="R76" s="99">
        <f t="shared" si="10"/>
        <v>0</v>
      </c>
      <c r="S76" s="214"/>
      <c r="T76" s="97">
        <f t="shared" si="54"/>
        <v>0</v>
      </c>
      <c r="U76" s="214"/>
      <c r="V76" s="99">
        <f t="shared" si="11"/>
        <v>0</v>
      </c>
      <c r="W76" s="214"/>
      <c r="X76" s="97">
        <f t="shared" si="54"/>
        <v>0</v>
      </c>
      <c r="Y76" s="214"/>
      <c r="Z76" s="99">
        <f t="shared" si="12"/>
        <v>0</v>
      </c>
      <c r="AA76" s="214"/>
      <c r="AB76" s="97">
        <f t="shared" si="54"/>
        <v>0</v>
      </c>
      <c r="AC76" s="214"/>
      <c r="AD76" s="99">
        <f t="shared" si="13"/>
        <v>0</v>
      </c>
      <c r="AE76" s="214"/>
      <c r="AF76" s="97">
        <f t="shared" si="54"/>
        <v>0</v>
      </c>
      <c r="AG76" s="214"/>
      <c r="AH76" s="99">
        <f t="shared" si="14"/>
        <v>0</v>
      </c>
      <c r="AI76" s="214"/>
      <c r="AJ76" s="97">
        <f t="shared" si="55"/>
        <v>0</v>
      </c>
      <c r="AK76" s="214"/>
      <c r="AL76" s="99">
        <f t="shared" si="15"/>
        <v>0</v>
      </c>
      <c r="AM76" s="214"/>
      <c r="AN76" s="97">
        <f t="shared" si="55"/>
        <v>0</v>
      </c>
      <c r="AO76" s="214"/>
      <c r="AP76" s="99">
        <f t="shared" si="16"/>
        <v>0</v>
      </c>
      <c r="AQ76" s="214"/>
      <c r="AR76" s="97">
        <f t="shared" si="55"/>
        <v>0</v>
      </c>
      <c r="AS76" s="214"/>
      <c r="AT76" s="99">
        <f t="shared" si="17"/>
        <v>0</v>
      </c>
      <c r="AU76" s="214">
        <v>3574</v>
      </c>
      <c r="AV76" s="97">
        <v>3574</v>
      </c>
      <c r="AW76" s="214">
        <v>530</v>
      </c>
      <c r="AX76" s="99">
        <f t="shared" si="18"/>
        <v>14.829322887520984</v>
      </c>
      <c r="AY76" s="214"/>
      <c r="AZ76" s="97">
        <f t="shared" si="56"/>
        <v>0</v>
      </c>
      <c r="BA76" s="214"/>
      <c r="BB76" s="99">
        <f t="shared" si="19"/>
        <v>0</v>
      </c>
      <c r="BC76" s="214"/>
      <c r="BD76" s="97">
        <f t="shared" si="56"/>
        <v>0</v>
      </c>
      <c r="BE76" s="214"/>
      <c r="BF76" s="99" t="e">
        <f t="shared" si="32"/>
        <v>#DIV/0!</v>
      </c>
      <c r="BG76" s="214"/>
      <c r="BH76" s="97">
        <f t="shared" si="56"/>
        <v>0</v>
      </c>
      <c r="BI76" s="214"/>
      <c r="BJ76" s="99">
        <f t="shared" si="20"/>
        <v>0</v>
      </c>
      <c r="BK76" s="214">
        <v>50</v>
      </c>
      <c r="BL76" s="97">
        <f t="shared" si="56"/>
        <v>50</v>
      </c>
      <c r="BM76" s="214">
        <v>3</v>
      </c>
      <c r="BN76" s="99">
        <f t="shared" si="21"/>
        <v>6</v>
      </c>
      <c r="BO76" s="235">
        <f t="shared" si="22"/>
        <v>6107</v>
      </c>
      <c r="BP76" s="235">
        <f t="shared" si="23"/>
        <v>6107</v>
      </c>
      <c r="BQ76" s="235">
        <f t="shared" si="24"/>
        <v>3351</v>
      </c>
      <c r="BR76" s="235">
        <f t="shared" si="25"/>
        <v>54.871458981496644</v>
      </c>
    </row>
    <row r="77" spans="1:70" ht="94.5" x14ac:dyDescent="0.2">
      <c r="A77" s="185" t="s">
        <v>177</v>
      </c>
      <c r="B77" s="201" t="s">
        <v>339</v>
      </c>
      <c r="C77" s="214"/>
      <c r="D77" s="97"/>
      <c r="E77" s="214">
        <v>0</v>
      </c>
      <c r="F77" s="99">
        <f t="shared" si="7"/>
        <v>0</v>
      </c>
      <c r="G77" s="214"/>
      <c r="H77" s="97"/>
      <c r="I77" s="214">
        <v>0</v>
      </c>
      <c r="J77" s="99">
        <f t="shared" si="8"/>
        <v>0</v>
      </c>
      <c r="K77" s="214"/>
      <c r="L77" s="97">
        <f t="shared" si="53"/>
        <v>0</v>
      </c>
      <c r="M77" s="214"/>
      <c r="N77" s="99">
        <f t="shared" si="9"/>
        <v>0</v>
      </c>
      <c r="O77" s="214"/>
      <c r="P77" s="97">
        <f t="shared" si="53"/>
        <v>0</v>
      </c>
      <c r="Q77" s="214"/>
      <c r="R77" s="99">
        <f t="shared" si="10"/>
        <v>0</v>
      </c>
      <c r="S77" s="214"/>
      <c r="T77" s="97">
        <f t="shared" si="54"/>
        <v>0</v>
      </c>
      <c r="U77" s="214"/>
      <c r="V77" s="99">
        <f t="shared" si="11"/>
        <v>0</v>
      </c>
      <c r="W77" s="214"/>
      <c r="X77" s="97">
        <f t="shared" si="54"/>
        <v>0</v>
      </c>
      <c r="Y77" s="214"/>
      <c r="Z77" s="99">
        <f t="shared" si="12"/>
        <v>0</v>
      </c>
      <c r="AA77" s="214"/>
      <c r="AB77" s="97">
        <f t="shared" si="54"/>
        <v>0</v>
      </c>
      <c r="AC77" s="214"/>
      <c r="AD77" s="99">
        <f t="shared" si="13"/>
        <v>0</v>
      </c>
      <c r="AE77" s="214"/>
      <c r="AF77" s="97">
        <f t="shared" si="54"/>
        <v>0</v>
      </c>
      <c r="AG77" s="214"/>
      <c r="AH77" s="99">
        <f t="shared" si="14"/>
        <v>0</v>
      </c>
      <c r="AI77" s="214"/>
      <c r="AJ77" s="97">
        <f t="shared" si="55"/>
        <v>0</v>
      </c>
      <c r="AK77" s="214"/>
      <c r="AL77" s="99">
        <f t="shared" si="15"/>
        <v>0</v>
      </c>
      <c r="AM77" s="214"/>
      <c r="AN77" s="97">
        <f t="shared" si="55"/>
        <v>0</v>
      </c>
      <c r="AO77" s="214"/>
      <c r="AP77" s="99">
        <f t="shared" si="16"/>
        <v>0</v>
      </c>
      <c r="AQ77" s="214"/>
      <c r="AR77" s="97">
        <f t="shared" si="55"/>
        <v>0</v>
      </c>
      <c r="AS77" s="214"/>
      <c r="AT77" s="99">
        <f t="shared" si="17"/>
        <v>0</v>
      </c>
      <c r="AU77" s="214"/>
      <c r="AV77" s="97"/>
      <c r="AW77" s="214">
        <v>93</v>
      </c>
      <c r="AX77" s="99">
        <f t="shared" si="18"/>
        <v>0</v>
      </c>
      <c r="AY77" s="214"/>
      <c r="AZ77" s="97">
        <f t="shared" si="56"/>
        <v>0</v>
      </c>
      <c r="BA77" s="214"/>
      <c r="BB77" s="99">
        <f t="shared" si="19"/>
        <v>0</v>
      </c>
      <c r="BC77" s="214"/>
      <c r="BD77" s="97">
        <f t="shared" si="56"/>
        <v>0</v>
      </c>
      <c r="BE77" s="214"/>
      <c r="BF77" s="99" t="e">
        <f t="shared" si="32"/>
        <v>#DIV/0!</v>
      </c>
      <c r="BG77" s="214"/>
      <c r="BH77" s="97">
        <f t="shared" si="56"/>
        <v>0</v>
      </c>
      <c r="BI77" s="214"/>
      <c r="BJ77" s="99">
        <f t="shared" si="20"/>
        <v>0</v>
      </c>
      <c r="BK77" s="214"/>
      <c r="BL77" s="97">
        <f t="shared" si="56"/>
        <v>0</v>
      </c>
      <c r="BM77" s="214">
        <v>0</v>
      </c>
      <c r="BN77" s="99">
        <f t="shared" si="21"/>
        <v>0</v>
      </c>
      <c r="BO77" s="235">
        <f t="shared" si="22"/>
        <v>0</v>
      </c>
      <c r="BP77" s="235">
        <f t="shared" si="23"/>
        <v>0</v>
      </c>
      <c r="BQ77" s="235">
        <f t="shared" si="24"/>
        <v>93</v>
      </c>
      <c r="BR77" s="235">
        <f t="shared" si="25"/>
        <v>0</v>
      </c>
    </row>
    <row r="78" spans="1:70" ht="15.75" x14ac:dyDescent="0.25">
      <c r="A78" s="173" t="s">
        <v>178</v>
      </c>
      <c r="B78" s="201" t="s">
        <v>339</v>
      </c>
      <c r="C78" s="214"/>
      <c r="D78" s="97">
        <f t="shared" ref="D78:P88" si="61">ROUND(C78/12*$A$7,0)</f>
        <v>0</v>
      </c>
      <c r="E78" s="214"/>
      <c r="F78" s="99">
        <f t="shared" si="7"/>
        <v>0</v>
      </c>
      <c r="G78" s="214"/>
      <c r="H78" s="97">
        <f t="shared" si="61"/>
        <v>0</v>
      </c>
      <c r="I78" s="214"/>
      <c r="J78" s="99">
        <f t="shared" si="8"/>
        <v>0</v>
      </c>
      <c r="K78" s="214"/>
      <c r="L78" s="97">
        <f t="shared" si="61"/>
        <v>0</v>
      </c>
      <c r="M78" s="214"/>
      <c r="N78" s="99">
        <f t="shared" si="9"/>
        <v>0</v>
      </c>
      <c r="O78" s="214"/>
      <c r="P78" s="97">
        <f t="shared" si="61"/>
        <v>0</v>
      </c>
      <c r="Q78" s="214"/>
      <c r="R78" s="99">
        <f t="shared" si="10"/>
        <v>0</v>
      </c>
      <c r="S78" s="214">
        <v>103412</v>
      </c>
      <c r="T78" s="97">
        <v>103412</v>
      </c>
      <c r="U78" s="214">
        <v>103126</v>
      </c>
      <c r="V78" s="99">
        <f t="shared" si="11"/>
        <v>99.723436351680661</v>
      </c>
      <c r="W78" s="214">
        <v>55500</v>
      </c>
      <c r="X78" s="97">
        <f t="shared" ref="T78:AF88" si="62">ROUND(W78/12*$A$7,0)</f>
        <v>55500</v>
      </c>
      <c r="Y78" s="214">
        <v>56745</v>
      </c>
      <c r="Z78" s="99">
        <f t="shared" si="12"/>
        <v>102.24324324324326</v>
      </c>
      <c r="AA78" s="214">
        <v>27000</v>
      </c>
      <c r="AB78" s="97">
        <f t="shared" si="62"/>
        <v>27000</v>
      </c>
      <c r="AC78" s="214">
        <v>27344</v>
      </c>
      <c r="AD78" s="99">
        <f t="shared" si="13"/>
        <v>101.27407407407406</v>
      </c>
      <c r="AE78" s="214">
        <v>1500</v>
      </c>
      <c r="AF78" s="97">
        <f t="shared" si="62"/>
        <v>1500</v>
      </c>
      <c r="AG78" s="214">
        <v>2137</v>
      </c>
      <c r="AH78" s="99">
        <f t="shared" si="14"/>
        <v>142.46666666666667</v>
      </c>
      <c r="AI78" s="214"/>
      <c r="AJ78" s="97">
        <f t="shared" ref="AJ78:AV88" si="63">ROUND(AI78/12*$A$7,0)</f>
        <v>0</v>
      </c>
      <c r="AK78" s="214"/>
      <c r="AL78" s="99">
        <f t="shared" si="15"/>
        <v>0</v>
      </c>
      <c r="AM78" s="214"/>
      <c r="AN78" s="97">
        <f t="shared" si="63"/>
        <v>0</v>
      </c>
      <c r="AO78" s="214"/>
      <c r="AP78" s="99">
        <f t="shared" si="16"/>
        <v>0</v>
      </c>
      <c r="AQ78" s="214"/>
      <c r="AR78" s="97">
        <f t="shared" si="63"/>
        <v>0</v>
      </c>
      <c r="AS78" s="214"/>
      <c r="AT78" s="99">
        <f t="shared" si="17"/>
        <v>0</v>
      </c>
      <c r="AU78" s="214"/>
      <c r="AV78" s="97">
        <f t="shared" si="63"/>
        <v>0</v>
      </c>
      <c r="AW78" s="214"/>
      <c r="AX78" s="99">
        <f t="shared" si="18"/>
        <v>0</v>
      </c>
      <c r="AY78" s="214"/>
      <c r="AZ78" s="97">
        <f t="shared" ref="AZ78:BL88" si="64">ROUND(AY78/12*$A$7,0)</f>
        <v>0</v>
      </c>
      <c r="BA78" s="214"/>
      <c r="BB78" s="99">
        <f t="shared" si="19"/>
        <v>0</v>
      </c>
      <c r="BC78" s="214"/>
      <c r="BD78" s="97">
        <f t="shared" si="64"/>
        <v>0</v>
      </c>
      <c r="BE78" s="214"/>
      <c r="BF78" s="99" t="e">
        <f t="shared" si="32"/>
        <v>#DIV/0!</v>
      </c>
      <c r="BG78" s="214"/>
      <c r="BH78" s="97">
        <f t="shared" si="64"/>
        <v>0</v>
      </c>
      <c r="BI78" s="214"/>
      <c r="BJ78" s="99">
        <f t="shared" si="20"/>
        <v>0</v>
      </c>
      <c r="BK78" s="214"/>
      <c r="BL78" s="97">
        <f t="shared" si="64"/>
        <v>0</v>
      </c>
      <c r="BM78" s="214"/>
      <c r="BN78" s="99">
        <f t="shared" si="21"/>
        <v>0</v>
      </c>
      <c r="BO78" s="235">
        <f t="shared" si="22"/>
        <v>187412</v>
      </c>
      <c r="BP78" s="235">
        <f t="shared" si="23"/>
        <v>187412</v>
      </c>
      <c r="BQ78" s="235">
        <f t="shared" si="24"/>
        <v>189352</v>
      </c>
      <c r="BR78" s="235">
        <f t="shared" si="25"/>
        <v>101.03515249823917</v>
      </c>
    </row>
    <row r="79" spans="1:70" ht="15.75" x14ac:dyDescent="0.25">
      <c r="A79" s="174" t="s">
        <v>131</v>
      </c>
      <c r="B79" s="202"/>
      <c r="C79" s="216"/>
      <c r="D79" s="162">
        <f t="shared" si="61"/>
        <v>0</v>
      </c>
      <c r="E79" s="216"/>
      <c r="F79" s="163">
        <f t="shared" ref="F79:F89" si="65">IF(D79=0,0,E79/D79*100)</f>
        <v>0</v>
      </c>
      <c r="G79" s="216"/>
      <c r="H79" s="162">
        <f t="shared" si="61"/>
        <v>0</v>
      </c>
      <c r="I79" s="216"/>
      <c r="J79" s="163">
        <f t="shared" ref="J79:J89" si="66">IF(H79=0,0,I79/H79*100)</f>
        <v>0</v>
      </c>
      <c r="K79" s="216"/>
      <c r="L79" s="162">
        <f t="shared" si="61"/>
        <v>0</v>
      </c>
      <c r="M79" s="216"/>
      <c r="N79" s="163">
        <f t="shared" ref="N79:N89" si="67">IF(L79=0,0,M79/L79*100)</f>
        <v>0</v>
      </c>
      <c r="O79" s="216"/>
      <c r="P79" s="162">
        <f t="shared" si="61"/>
        <v>0</v>
      </c>
      <c r="Q79" s="216"/>
      <c r="R79" s="163">
        <f t="shared" ref="R79:R89" si="68">IF(P79=0,0,Q79/P79*100)</f>
        <v>0</v>
      </c>
      <c r="S79" s="216"/>
      <c r="T79" s="162">
        <f t="shared" si="62"/>
        <v>0</v>
      </c>
      <c r="U79" s="216"/>
      <c r="V79" s="163">
        <f t="shared" ref="V79:V89" si="69">IF(T79=0,0,U79/T79*100)</f>
        <v>0</v>
      </c>
      <c r="W79" s="216">
        <v>40469</v>
      </c>
      <c r="X79" s="162">
        <f t="shared" si="62"/>
        <v>40469</v>
      </c>
      <c r="Y79" s="216">
        <v>36034</v>
      </c>
      <c r="Z79" s="163">
        <f t="shared" ref="Z79:Z89" si="70">IF(X79=0,0,Y79/X79*100)</f>
        <v>89.040994341347698</v>
      </c>
      <c r="AA79" s="216"/>
      <c r="AB79" s="162">
        <f t="shared" si="62"/>
        <v>0</v>
      </c>
      <c r="AC79" s="216"/>
      <c r="AD79" s="163">
        <f t="shared" ref="AD79:AD89" si="71">IF(AB79=0,0,AC79/AB79*100)</f>
        <v>0</v>
      </c>
      <c r="AE79" s="216">
        <v>719</v>
      </c>
      <c r="AF79" s="162">
        <f t="shared" si="62"/>
        <v>719</v>
      </c>
      <c r="AG79" s="216">
        <v>760</v>
      </c>
      <c r="AH79" s="163">
        <f t="shared" ref="AH79:AH89" si="72">IF(AF79=0,0,AG79/AF79*100)</f>
        <v>105.70236439499305</v>
      </c>
      <c r="AI79" s="216"/>
      <c r="AJ79" s="162">
        <f t="shared" si="63"/>
        <v>0</v>
      </c>
      <c r="AK79" s="216"/>
      <c r="AL79" s="163">
        <f t="shared" ref="AL79:AL89" si="73">IF(AJ79=0,0,AK79/AJ79*100)</f>
        <v>0</v>
      </c>
      <c r="AM79" s="216"/>
      <c r="AN79" s="162">
        <f t="shared" si="63"/>
        <v>0</v>
      </c>
      <c r="AO79" s="216"/>
      <c r="AP79" s="163">
        <f t="shared" ref="AP79:AP89" si="74">IF(AN79=0,0,AO79/AN79*100)</f>
        <v>0</v>
      </c>
      <c r="AQ79" s="216"/>
      <c r="AR79" s="162">
        <f t="shared" si="63"/>
        <v>0</v>
      </c>
      <c r="AS79" s="216"/>
      <c r="AT79" s="163">
        <f t="shared" ref="AT79:AT89" si="75">IF(AR79=0,0,AS79/AR79*100)</f>
        <v>0</v>
      </c>
      <c r="AU79" s="216"/>
      <c r="AV79" s="162">
        <f t="shared" si="63"/>
        <v>0</v>
      </c>
      <c r="AW79" s="216"/>
      <c r="AX79" s="163">
        <f t="shared" ref="AX79:AX89" si="76">IF(AV79=0,0,AW79/AV79*100)</f>
        <v>0</v>
      </c>
      <c r="AY79" s="216"/>
      <c r="AZ79" s="162">
        <f t="shared" si="64"/>
        <v>0</v>
      </c>
      <c r="BA79" s="216"/>
      <c r="BB79" s="163">
        <f t="shared" ref="BB79:BB89" si="77">IF(AZ79=0,0,BA79/AZ79*100)</f>
        <v>0</v>
      </c>
      <c r="BC79" s="216"/>
      <c r="BD79" s="162">
        <f t="shared" si="64"/>
        <v>0</v>
      </c>
      <c r="BE79" s="216"/>
      <c r="BF79" s="163" t="e">
        <f t="shared" si="32"/>
        <v>#DIV/0!</v>
      </c>
      <c r="BG79" s="216"/>
      <c r="BH79" s="162">
        <f t="shared" si="64"/>
        <v>0</v>
      </c>
      <c r="BI79" s="216"/>
      <c r="BJ79" s="163">
        <f t="shared" ref="BJ79:BJ89" si="78">IF(BH79=0,0,BI79/BH79*100)</f>
        <v>0</v>
      </c>
      <c r="BK79" s="216"/>
      <c r="BL79" s="162">
        <f t="shared" si="64"/>
        <v>0</v>
      </c>
      <c r="BM79" s="216"/>
      <c r="BN79" s="163">
        <f t="shared" ref="BN79:BN89" si="79">IF(BL79=0,0,BM79/BL79*100)</f>
        <v>0</v>
      </c>
      <c r="BO79" s="235">
        <f t="shared" ref="BO79:BO89" si="80">SUM(BK79,BG79,BC79,AY79,AU79,AQ79,AM79,AI79,AE79,AA79,W79,S79,O79,K79,G79,C79)</f>
        <v>41188</v>
      </c>
      <c r="BP79" s="235">
        <f t="shared" ref="BP79:BP89" si="81">SUM(BL79,BH79,BD79,AZ79,AV79,AR79,AN79,AJ79,AF79,AB79,X79,T79,P79,L79,H79,D79)</f>
        <v>41188</v>
      </c>
      <c r="BQ79" s="235">
        <f t="shared" ref="BQ79:BQ89" si="82">SUM(BM79,BI79,BE79,BA79,AW79,AS79,AO79,AK79,AG79,AC79,Y79,U79,Q79,M79,I79,E79)</f>
        <v>36794</v>
      </c>
      <c r="BR79" s="235">
        <f t="shared" ref="BR79:BR89" si="83">IF(BP79=0,0,BQ79/BP79*100)</f>
        <v>89.331844226473734</v>
      </c>
    </row>
    <row r="80" spans="1:70" ht="31.5" x14ac:dyDescent="0.25">
      <c r="A80" s="174" t="s">
        <v>134</v>
      </c>
      <c r="B80" s="197" t="s">
        <v>3</v>
      </c>
      <c r="C80" s="216"/>
      <c r="D80" s="162">
        <f t="shared" si="61"/>
        <v>0</v>
      </c>
      <c r="E80" s="216"/>
      <c r="F80" s="163">
        <f t="shared" si="65"/>
        <v>0</v>
      </c>
      <c r="G80" s="216"/>
      <c r="H80" s="162">
        <f t="shared" si="61"/>
        <v>0</v>
      </c>
      <c r="I80" s="216"/>
      <c r="J80" s="163">
        <f t="shared" si="66"/>
        <v>0</v>
      </c>
      <c r="K80" s="216"/>
      <c r="L80" s="162">
        <f t="shared" si="61"/>
        <v>0</v>
      </c>
      <c r="M80" s="216"/>
      <c r="N80" s="163">
        <f t="shared" si="67"/>
        <v>0</v>
      </c>
      <c r="O80" s="216"/>
      <c r="P80" s="162">
        <f t="shared" si="61"/>
        <v>0</v>
      </c>
      <c r="Q80" s="216"/>
      <c r="R80" s="163">
        <f t="shared" si="68"/>
        <v>0</v>
      </c>
      <c r="S80" s="216"/>
      <c r="T80" s="162">
        <f t="shared" si="62"/>
        <v>0</v>
      </c>
      <c r="U80" s="216"/>
      <c r="V80" s="163">
        <f t="shared" si="69"/>
        <v>0</v>
      </c>
      <c r="W80" s="216"/>
      <c r="X80" s="162">
        <f t="shared" si="62"/>
        <v>0</v>
      </c>
      <c r="Y80" s="216"/>
      <c r="Z80" s="163">
        <f t="shared" si="70"/>
        <v>0</v>
      </c>
      <c r="AA80" s="216"/>
      <c r="AB80" s="162">
        <f t="shared" si="62"/>
        <v>0</v>
      </c>
      <c r="AC80" s="216"/>
      <c r="AD80" s="163">
        <f t="shared" si="71"/>
        <v>0</v>
      </c>
      <c r="AE80" s="216"/>
      <c r="AF80" s="162">
        <f t="shared" si="62"/>
        <v>0</v>
      </c>
      <c r="AG80" s="216"/>
      <c r="AH80" s="163">
        <f t="shared" si="72"/>
        <v>0</v>
      </c>
      <c r="AI80" s="216"/>
      <c r="AJ80" s="162">
        <f t="shared" si="63"/>
        <v>0</v>
      </c>
      <c r="AK80" s="216"/>
      <c r="AL80" s="163">
        <f t="shared" si="73"/>
        <v>0</v>
      </c>
      <c r="AM80" s="216"/>
      <c r="AN80" s="162">
        <f t="shared" si="63"/>
        <v>0</v>
      </c>
      <c r="AO80" s="216"/>
      <c r="AP80" s="163">
        <f t="shared" si="74"/>
        <v>0</v>
      </c>
      <c r="AQ80" s="216"/>
      <c r="AR80" s="162">
        <f t="shared" si="63"/>
        <v>0</v>
      </c>
      <c r="AS80" s="216"/>
      <c r="AT80" s="163">
        <f t="shared" si="75"/>
        <v>0</v>
      </c>
      <c r="AU80" s="216"/>
      <c r="AV80" s="162">
        <f t="shared" si="63"/>
        <v>0</v>
      </c>
      <c r="AW80" s="216"/>
      <c r="AX80" s="163">
        <f t="shared" si="76"/>
        <v>0</v>
      </c>
      <c r="AY80" s="216"/>
      <c r="AZ80" s="162">
        <f t="shared" si="64"/>
        <v>0</v>
      </c>
      <c r="BA80" s="216"/>
      <c r="BB80" s="163">
        <f t="shared" si="77"/>
        <v>0</v>
      </c>
      <c r="BC80" s="216"/>
      <c r="BD80" s="162">
        <f t="shared" si="64"/>
        <v>0</v>
      </c>
      <c r="BE80" s="216"/>
      <c r="BF80" s="163" t="e">
        <f t="shared" si="32"/>
        <v>#DIV/0!</v>
      </c>
      <c r="BG80" s="216"/>
      <c r="BH80" s="162">
        <f t="shared" si="64"/>
        <v>0</v>
      </c>
      <c r="BI80" s="216"/>
      <c r="BJ80" s="163">
        <f t="shared" si="78"/>
        <v>0</v>
      </c>
      <c r="BK80" s="216"/>
      <c r="BL80" s="162">
        <f t="shared" si="64"/>
        <v>0</v>
      </c>
      <c r="BM80" s="216"/>
      <c r="BN80" s="163">
        <f t="shared" si="79"/>
        <v>0</v>
      </c>
      <c r="BO80" s="235">
        <f t="shared" si="80"/>
        <v>0</v>
      </c>
      <c r="BP80" s="235">
        <f t="shared" si="81"/>
        <v>0</v>
      </c>
      <c r="BQ80" s="235">
        <f t="shared" si="82"/>
        <v>0</v>
      </c>
      <c r="BR80" s="235">
        <f t="shared" si="83"/>
        <v>0</v>
      </c>
    </row>
    <row r="81" spans="1:70" ht="15.75" x14ac:dyDescent="0.25">
      <c r="A81" s="188" t="s">
        <v>135</v>
      </c>
      <c r="B81" s="203"/>
      <c r="C81" s="214"/>
      <c r="D81" s="97">
        <f t="shared" si="61"/>
        <v>0</v>
      </c>
      <c r="E81" s="214"/>
      <c r="F81" s="99">
        <f t="shared" si="65"/>
        <v>0</v>
      </c>
      <c r="G81" s="214"/>
      <c r="H81" s="97">
        <f t="shared" si="61"/>
        <v>0</v>
      </c>
      <c r="I81" s="214"/>
      <c r="J81" s="99">
        <f t="shared" si="66"/>
        <v>0</v>
      </c>
      <c r="K81" s="214"/>
      <c r="L81" s="97">
        <f t="shared" si="61"/>
        <v>0</v>
      </c>
      <c r="M81" s="214"/>
      <c r="N81" s="99">
        <f t="shared" si="67"/>
        <v>0</v>
      </c>
      <c r="O81" s="214"/>
      <c r="P81" s="97">
        <f t="shared" si="61"/>
        <v>0</v>
      </c>
      <c r="Q81" s="214"/>
      <c r="R81" s="99">
        <f t="shared" si="68"/>
        <v>0</v>
      </c>
      <c r="S81" s="214"/>
      <c r="T81" s="97">
        <f t="shared" si="62"/>
        <v>0</v>
      </c>
      <c r="U81" s="214"/>
      <c r="V81" s="99">
        <f t="shared" si="69"/>
        <v>0</v>
      </c>
      <c r="W81" s="214"/>
      <c r="X81" s="97">
        <f t="shared" si="62"/>
        <v>0</v>
      </c>
      <c r="Y81" s="214"/>
      <c r="Z81" s="99">
        <f t="shared" si="70"/>
        <v>0</v>
      </c>
      <c r="AA81" s="214"/>
      <c r="AB81" s="97">
        <f t="shared" si="62"/>
        <v>0</v>
      </c>
      <c r="AC81" s="214"/>
      <c r="AD81" s="99">
        <f t="shared" si="71"/>
        <v>0</v>
      </c>
      <c r="AE81" s="214"/>
      <c r="AF81" s="97">
        <f t="shared" si="62"/>
        <v>0</v>
      </c>
      <c r="AG81" s="214"/>
      <c r="AH81" s="99">
        <f t="shared" si="72"/>
        <v>0</v>
      </c>
      <c r="AI81" s="214"/>
      <c r="AJ81" s="97">
        <f t="shared" si="63"/>
        <v>0</v>
      </c>
      <c r="AK81" s="214"/>
      <c r="AL81" s="99">
        <f t="shared" si="73"/>
        <v>0</v>
      </c>
      <c r="AM81" s="214"/>
      <c r="AN81" s="97">
        <f t="shared" si="63"/>
        <v>0</v>
      </c>
      <c r="AO81" s="214"/>
      <c r="AP81" s="99">
        <f t="shared" si="74"/>
        <v>0</v>
      </c>
      <c r="AQ81" s="214"/>
      <c r="AR81" s="97">
        <f t="shared" si="63"/>
        <v>0</v>
      </c>
      <c r="AS81" s="214"/>
      <c r="AT81" s="99">
        <f t="shared" si="75"/>
        <v>0</v>
      </c>
      <c r="AU81" s="214"/>
      <c r="AV81" s="97">
        <f t="shared" si="63"/>
        <v>0</v>
      </c>
      <c r="AW81" s="214"/>
      <c r="AX81" s="99">
        <f t="shared" si="76"/>
        <v>0</v>
      </c>
      <c r="AY81" s="214"/>
      <c r="AZ81" s="97">
        <f t="shared" si="64"/>
        <v>0</v>
      </c>
      <c r="BA81" s="214"/>
      <c r="BB81" s="99">
        <f t="shared" si="77"/>
        <v>0</v>
      </c>
      <c r="BC81" s="214"/>
      <c r="BD81" s="97">
        <f t="shared" si="64"/>
        <v>0</v>
      </c>
      <c r="BE81" s="214"/>
      <c r="BF81" s="99" t="e">
        <f t="shared" si="32"/>
        <v>#DIV/0!</v>
      </c>
      <c r="BG81" s="214"/>
      <c r="BH81" s="97">
        <f t="shared" si="64"/>
        <v>0</v>
      </c>
      <c r="BI81" s="214"/>
      <c r="BJ81" s="99">
        <f t="shared" si="78"/>
        <v>0</v>
      </c>
      <c r="BK81" s="214"/>
      <c r="BL81" s="97">
        <f t="shared" si="64"/>
        <v>0</v>
      </c>
      <c r="BM81" s="214"/>
      <c r="BN81" s="99">
        <f t="shared" si="79"/>
        <v>0</v>
      </c>
      <c r="BO81" s="235">
        <f t="shared" si="80"/>
        <v>0</v>
      </c>
      <c r="BP81" s="235">
        <f t="shared" si="81"/>
        <v>0</v>
      </c>
      <c r="BQ81" s="235">
        <f t="shared" si="82"/>
        <v>0</v>
      </c>
      <c r="BR81" s="235">
        <f t="shared" si="83"/>
        <v>0</v>
      </c>
    </row>
    <row r="82" spans="1:70" ht="15.75" x14ac:dyDescent="0.25">
      <c r="A82" s="188"/>
      <c r="B82" s="203"/>
      <c r="C82" s="214"/>
      <c r="D82" s="97"/>
      <c r="E82" s="214"/>
      <c r="F82" s="99">
        <f t="shared" si="65"/>
        <v>0</v>
      </c>
      <c r="G82" s="214"/>
      <c r="H82" s="97"/>
      <c r="I82" s="214"/>
      <c r="J82" s="99">
        <f t="shared" si="66"/>
        <v>0</v>
      </c>
      <c r="K82" s="214"/>
      <c r="L82" s="97"/>
      <c r="M82" s="214"/>
      <c r="N82" s="99">
        <f t="shared" si="67"/>
        <v>0</v>
      </c>
      <c r="O82" s="214"/>
      <c r="P82" s="97"/>
      <c r="Q82" s="214"/>
      <c r="R82" s="99">
        <f t="shared" si="68"/>
        <v>0</v>
      </c>
      <c r="S82" s="214"/>
      <c r="T82" s="97"/>
      <c r="U82" s="214"/>
      <c r="V82" s="99">
        <f t="shared" si="69"/>
        <v>0</v>
      </c>
      <c r="W82" s="214"/>
      <c r="X82" s="97"/>
      <c r="Y82" s="214"/>
      <c r="Z82" s="99">
        <f t="shared" si="70"/>
        <v>0</v>
      </c>
      <c r="AA82" s="214"/>
      <c r="AB82" s="97"/>
      <c r="AC82" s="214"/>
      <c r="AD82" s="99">
        <f t="shared" si="71"/>
        <v>0</v>
      </c>
      <c r="AE82" s="214"/>
      <c r="AF82" s="97"/>
      <c r="AG82" s="214"/>
      <c r="AH82" s="99">
        <f t="shared" si="72"/>
        <v>0</v>
      </c>
      <c r="AI82" s="214"/>
      <c r="AJ82" s="97"/>
      <c r="AK82" s="214"/>
      <c r="AL82" s="99">
        <f t="shared" si="73"/>
        <v>0</v>
      </c>
      <c r="AM82" s="214"/>
      <c r="AN82" s="97"/>
      <c r="AO82" s="214"/>
      <c r="AP82" s="99">
        <f t="shared" si="74"/>
        <v>0</v>
      </c>
      <c r="AQ82" s="214"/>
      <c r="AR82" s="97"/>
      <c r="AS82" s="214"/>
      <c r="AT82" s="99">
        <f t="shared" si="75"/>
        <v>0</v>
      </c>
      <c r="AU82" s="214"/>
      <c r="AV82" s="97"/>
      <c r="AW82" s="214"/>
      <c r="AX82" s="99">
        <f t="shared" si="76"/>
        <v>0</v>
      </c>
      <c r="AY82" s="214"/>
      <c r="AZ82" s="97"/>
      <c r="BA82" s="214"/>
      <c r="BB82" s="99">
        <f t="shared" si="77"/>
        <v>0</v>
      </c>
      <c r="BC82" s="214"/>
      <c r="BD82" s="97"/>
      <c r="BE82" s="214"/>
      <c r="BF82" s="99"/>
      <c r="BG82" s="214"/>
      <c r="BH82" s="97"/>
      <c r="BI82" s="214"/>
      <c r="BJ82" s="99">
        <f t="shared" si="78"/>
        <v>0</v>
      </c>
      <c r="BK82" s="214"/>
      <c r="BL82" s="97"/>
      <c r="BM82" s="214"/>
      <c r="BN82" s="99">
        <f t="shared" si="79"/>
        <v>0</v>
      </c>
      <c r="BO82" s="235"/>
      <c r="BP82" s="235"/>
      <c r="BQ82" s="235"/>
      <c r="BR82" s="235">
        <f t="shared" si="83"/>
        <v>0</v>
      </c>
    </row>
    <row r="83" spans="1:70" ht="15.75" x14ac:dyDescent="0.25">
      <c r="A83" s="94" t="s">
        <v>187</v>
      </c>
      <c r="B83" s="203"/>
      <c r="C83" s="214">
        <f>SUM(C25+C79*3.2+C80)</f>
        <v>71499</v>
      </c>
      <c r="D83" s="214">
        <f>SUM(D25+D79*3.2+D80)</f>
        <v>71499</v>
      </c>
      <c r="E83" s="214">
        <f>SUM(E25+E79*3.2+E80)</f>
        <v>72391</v>
      </c>
      <c r="F83" s="99">
        <f t="shared" si="65"/>
        <v>101.24756989608245</v>
      </c>
      <c r="G83" s="214">
        <f>SUM(G25+G79*3.2+G80)</f>
        <v>22057</v>
      </c>
      <c r="H83" s="214">
        <f>SUM(H25+H79*3.2+H80)</f>
        <v>22057</v>
      </c>
      <c r="I83" s="214">
        <f>SUM(I25+I79*3.2+I80)</f>
        <v>18067</v>
      </c>
      <c r="J83" s="99">
        <f t="shared" si="66"/>
        <v>81.91050460171374</v>
      </c>
      <c r="K83" s="214">
        <f>SUM(K25+K79*3.2+K80)</f>
        <v>12790</v>
      </c>
      <c r="L83" s="214">
        <f>SUM(L25+L79*3.2+L80)</f>
        <v>12790</v>
      </c>
      <c r="M83" s="214">
        <f>SUM(M25+M79*3.2+M80)</f>
        <v>10371</v>
      </c>
      <c r="N83" s="99">
        <f t="shared" si="67"/>
        <v>81.086786551993754</v>
      </c>
      <c r="O83" s="214">
        <f>SUM(O25+O79*3.2+O80)</f>
        <v>36055</v>
      </c>
      <c r="P83" s="214">
        <f>SUM(P25+P79*3.2+P80)</f>
        <v>36055</v>
      </c>
      <c r="Q83" s="214">
        <f>SUM(Q25+Q79*3.2+Q80)</f>
        <v>35271</v>
      </c>
      <c r="R83" s="99">
        <f t="shared" si="68"/>
        <v>97.825544307308277</v>
      </c>
      <c r="S83" s="214">
        <f>SUM(S25+S79*3.2+S80)</f>
        <v>186412</v>
      </c>
      <c r="T83" s="214">
        <f>SUM(T25+T79*3.2+T80)</f>
        <v>186412</v>
      </c>
      <c r="U83" s="214">
        <f>SUM(U25+U79*3.2+U80)</f>
        <v>175628</v>
      </c>
      <c r="V83" s="99">
        <f t="shared" si="69"/>
        <v>94.214964701843229</v>
      </c>
      <c r="W83" s="214">
        <f>SUM(W25+W79*3.2+W80)</f>
        <v>185000.8</v>
      </c>
      <c r="X83" s="214">
        <f>SUM(X25+X79*3.2+X80)</f>
        <v>185000.8</v>
      </c>
      <c r="Y83" s="214">
        <f>SUM(Y25+Y79*3.2+Y80)</f>
        <v>172053.8</v>
      </c>
      <c r="Z83" s="99">
        <f t="shared" si="70"/>
        <v>93.001651884748611</v>
      </c>
      <c r="AA83" s="214">
        <f>SUM(AA25+AA79*3.2+AA80)</f>
        <v>27000</v>
      </c>
      <c r="AB83" s="97">
        <f t="shared" si="62"/>
        <v>27000</v>
      </c>
      <c r="AC83" s="214">
        <f>SUM(AC25+AC79*3.2+AC80)</f>
        <v>27344</v>
      </c>
      <c r="AD83" s="99">
        <f t="shared" si="71"/>
        <v>101.27407407407406</v>
      </c>
      <c r="AE83" s="214">
        <f>SUM(AE25+AE79*3.2+AE80)</f>
        <v>3800.8</v>
      </c>
      <c r="AF83" s="214">
        <f>SUM(AF25+AF79*3.2+AF80)</f>
        <v>3800.8</v>
      </c>
      <c r="AG83" s="214">
        <f>SUM(AG25+AG79*3.2+AG80)</f>
        <v>4569</v>
      </c>
      <c r="AH83" s="99">
        <f t="shared" si="72"/>
        <v>120.21153441380761</v>
      </c>
      <c r="AI83" s="214">
        <f>SUM(AI25+AI79*3.2+AI80)</f>
        <v>0</v>
      </c>
      <c r="AJ83" s="97">
        <f t="shared" si="63"/>
        <v>0</v>
      </c>
      <c r="AK83" s="214">
        <f>SUM(AK25+AK79*3.2+AK80)</f>
        <v>0</v>
      </c>
      <c r="AL83" s="99">
        <f t="shared" si="73"/>
        <v>0</v>
      </c>
      <c r="AM83" s="214">
        <f>SUM(AM25+AM79*3.2+AM80)</f>
        <v>0</v>
      </c>
      <c r="AN83" s="97">
        <f t="shared" si="63"/>
        <v>0</v>
      </c>
      <c r="AO83" s="214">
        <f>SUM(AO25+AO79*3.2+AO80)</f>
        <v>0</v>
      </c>
      <c r="AP83" s="99">
        <f t="shared" si="74"/>
        <v>0</v>
      </c>
      <c r="AQ83" s="214">
        <f>SUM(AQ25+AQ79*3.2+AQ80)</f>
        <v>0</v>
      </c>
      <c r="AR83" s="97">
        <f t="shared" si="63"/>
        <v>0</v>
      </c>
      <c r="AS83" s="214">
        <f>SUM(AS25+AS79*3.2+AS80)</f>
        <v>0</v>
      </c>
      <c r="AT83" s="99">
        <f t="shared" si="75"/>
        <v>0</v>
      </c>
      <c r="AU83" s="214">
        <f>SUM(AU25+AU79*3.2+AU80)</f>
        <v>82468</v>
      </c>
      <c r="AV83" s="214">
        <f>SUM(AV25+AV79*3.2+AV80)</f>
        <v>82468</v>
      </c>
      <c r="AW83" s="214">
        <f>SUM(AW25+AW79*3.2+AW80)</f>
        <v>111323</v>
      </c>
      <c r="AX83" s="99">
        <f t="shared" si="76"/>
        <v>134.98932919435418</v>
      </c>
      <c r="AY83" s="214">
        <f>SUM(AY25+AY79*3.2+AY80)</f>
        <v>4500</v>
      </c>
      <c r="AZ83" s="214">
        <f>SUM(AZ25+AZ79*3.2+AZ80)</f>
        <v>4500</v>
      </c>
      <c r="BA83" s="214">
        <f>SUM(BA25+BA79*3.2+BA80)</f>
        <v>5111</v>
      </c>
      <c r="BB83" s="99">
        <f t="shared" si="77"/>
        <v>113.57777777777778</v>
      </c>
      <c r="BC83" s="214">
        <f>SUM(BC25+BC79*3.2+BC80)</f>
        <v>0</v>
      </c>
      <c r="BD83" s="97">
        <f t="shared" si="64"/>
        <v>0</v>
      </c>
      <c r="BE83" s="214">
        <f>SUM(BE25+BE79*3.2+BE80)</f>
        <v>0</v>
      </c>
      <c r="BF83" s="99" t="e">
        <f t="shared" si="32"/>
        <v>#DIV/0!</v>
      </c>
      <c r="BG83" s="214">
        <f>SUM(BG25+BG79*3.2+BG80)</f>
        <v>2948</v>
      </c>
      <c r="BH83" s="214">
        <f>SUM(BH25+BH79*3.2+BH80)</f>
        <v>2948</v>
      </c>
      <c r="BI83" s="214">
        <f>SUM(BI25+BI79*3.2+BI80)</f>
        <v>2056</v>
      </c>
      <c r="BJ83" s="99">
        <f t="shared" si="78"/>
        <v>69.742198100407066</v>
      </c>
      <c r="BK83" s="214">
        <f>SUM(BK25+BK79*3.2+BK80)</f>
        <v>4624</v>
      </c>
      <c r="BL83" s="214">
        <f>SUM(BL25+BL79*3.2+BL80)</f>
        <v>4624</v>
      </c>
      <c r="BM83" s="214">
        <f>SUM(BM25+BM79*3.2+BM80)</f>
        <v>5345</v>
      </c>
      <c r="BN83" s="99">
        <f t="shared" si="79"/>
        <v>115.59256055363323</v>
      </c>
      <c r="BO83" s="235">
        <f t="shared" si="80"/>
        <v>639154.6</v>
      </c>
      <c r="BP83" s="235">
        <f t="shared" si="81"/>
        <v>639154.6</v>
      </c>
      <c r="BQ83" s="235">
        <f t="shared" si="82"/>
        <v>639529.80000000005</v>
      </c>
      <c r="BR83" s="235">
        <f t="shared" si="83"/>
        <v>100.0587025423896</v>
      </c>
    </row>
    <row r="84" spans="1:70" ht="15.75" x14ac:dyDescent="0.25">
      <c r="A84" s="94" t="s">
        <v>184</v>
      </c>
      <c r="B84" s="204"/>
      <c r="C84" s="214"/>
      <c r="D84" s="97">
        <f t="shared" si="61"/>
        <v>0</v>
      </c>
      <c r="E84" s="214"/>
      <c r="F84" s="99">
        <f t="shared" si="65"/>
        <v>0</v>
      </c>
      <c r="G84" s="214"/>
      <c r="H84" s="97">
        <f t="shared" si="61"/>
        <v>0</v>
      </c>
      <c r="I84" s="214"/>
      <c r="J84" s="99">
        <f t="shared" si="66"/>
        <v>0</v>
      </c>
      <c r="K84" s="214"/>
      <c r="L84" s="97">
        <f t="shared" si="61"/>
        <v>0</v>
      </c>
      <c r="M84" s="214"/>
      <c r="N84" s="99">
        <f t="shared" si="67"/>
        <v>0</v>
      </c>
      <c r="O84" s="214"/>
      <c r="P84" s="97">
        <f t="shared" si="61"/>
        <v>0</v>
      </c>
      <c r="Q84" s="214"/>
      <c r="R84" s="99">
        <f t="shared" si="68"/>
        <v>0</v>
      </c>
      <c r="S84" s="214"/>
      <c r="T84" s="97">
        <f t="shared" si="62"/>
        <v>0</v>
      </c>
      <c r="U84" s="214"/>
      <c r="V84" s="99">
        <f t="shared" si="69"/>
        <v>0</v>
      </c>
      <c r="W84" s="214"/>
      <c r="X84" s="97">
        <f t="shared" si="62"/>
        <v>0</v>
      </c>
      <c r="Y84" s="214"/>
      <c r="Z84" s="99">
        <f t="shared" si="70"/>
        <v>0</v>
      </c>
      <c r="AA84" s="214"/>
      <c r="AB84" s="97">
        <f t="shared" si="62"/>
        <v>0</v>
      </c>
      <c r="AC84" s="214"/>
      <c r="AD84" s="99">
        <f t="shared" si="71"/>
        <v>0</v>
      </c>
      <c r="AE84" s="214"/>
      <c r="AF84" s="97">
        <f t="shared" si="62"/>
        <v>0</v>
      </c>
      <c r="AG84" s="214"/>
      <c r="AH84" s="99">
        <f t="shared" si="72"/>
        <v>0</v>
      </c>
      <c r="AI84" s="214"/>
      <c r="AJ84" s="97">
        <f t="shared" si="63"/>
        <v>0</v>
      </c>
      <c r="AK84" s="214"/>
      <c r="AL84" s="99">
        <f t="shared" si="73"/>
        <v>0</v>
      </c>
      <c r="AM84" s="214"/>
      <c r="AN84" s="97">
        <f t="shared" si="63"/>
        <v>0</v>
      </c>
      <c r="AO84" s="214"/>
      <c r="AP84" s="99">
        <f t="shared" si="74"/>
        <v>0</v>
      </c>
      <c r="AQ84" s="214"/>
      <c r="AR84" s="97">
        <f t="shared" si="63"/>
        <v>0</v>
      </c>
      <c r="AS84" s="214"/>
      <c r="AT84" s="99">
        <f t="shared" si="75"/>
        <v>0</v>
      </c>
      <c r="AU84" s="214"/>
      <c r="AV84" s="97">
        <f t="shared" si="63"/>
        <v>0</v>
      </c>
      <c r="AW84" s="214"/>
      <c r="AX84" s="99">
        <f t="shared" si="76"/>
        <v>0</v>
      </c>
      <c r="AY84" s="214"/>
      <c r="AZ84" s="97">
        <f t="shared" si="64"/>
        <v>0</v>
      </c>
      <c r="BA84" s="214"/>
      <c r="BB84" s="99">
        <f t="shared" si="77"/>
        <v>0</v>
      </c>
      <c r="BC84" s="214"/>
      <c r="BD84" s="97">
        <f t="shared" si="64"/>
        <v>0</v>
      </c>
      <c r="BE84" s="214"/>
      <c r="BF84" s="99" t="e">
        <f t="shared" si="32"/>
        <v>#DIV/0!</v>
      </c>
      <c r="BG84" s="214"/>
      <c r="BH84" s="97">
        <f t="shared" si="64"/>
        <v>0</v>
      </c>
      <c r="BI84" s="214"/>
      <c r="BJ84" s="99">
        <f t="shared" si="78"/>
        <v>0</v>
      </c>
      <c r="BK84" s="214"/>
      <c r="BL84" s="97">
        <f t="shared" si="64"/>
        <v>0</v>
      </c>
      <c r="BM84" s="214"/>
      <c r="BN84" s="99">
        <f t="shared" si="79"/>
        <v>0</v>
      </c>
      <c r="BO84" s="235">
        <f t="shared" si="80"/>
        <v>0</v>
      </c>
      <c r="BP84" s="235">
        <f t="shared" si="81"/>
        <v>0</v>
      </c>
      <c r="BQ84" s="235">
        <f t="shared" si="82"/>
        <v>0</v>
      </c>
      <c r="BR84" s="235">
        <f t="shared" si="83"/>
        <v>0</v>
      </c>
    </row>
    <row r="85" spans="1:70" s="17" customFormat="1" ht="15.75" x14ac:dyDescent="0.25">
      <c r="A85" s="306" t="s">
        <v>186</v>
      </c>
      <c r="B85" s="326"/>
      <c r="C85" s="310"/>
      <c r="D85" s="304">
        <f t="shared" si="61"/>
        <v>0</v>
      </c>
      <c r="E85" s="310"/>
      <c r="F85" s="213">
        <f t="shared" si="65"/>
        <v>0</v>
      </c>
      <c r="G85" s="310"/>
      <c r="H85" s="304">
        <f t="shared" si="61"/>
        <v>0</v>
      </c>
      <c r="I85" s="310"/>
      <c r="J85" s="213">
        <f t="shared" si="66"/>
        <v>0</v>
      </c>
      <c r="K85" s="310"/>
      <c r="L85" s="304">
        <f t="shared" si="61"/>
        <v>0</v>
      </c>
      <c r="M85" s="310"/>
      <c r="N85" s="213">
        <f t="shared" si="67"/>
        <v>0</v>
      </c>
      <c r="O85" s="310"/>
      <c r="P85" s="304">
        <f t="shared" si="61"/>
        <v>0</v>
      </c>
      <c r="Q85" s="310"/>
      <c r="R85" s="213">
        <f t="shared" si="68"/>
        <v>0</v>
      </c>
      <c r="S85" s="310">
        <v>10354</v>
      </c>
      <c r="T85" s="304">
        <f t="shared" si="62"/>
        <v>10354</v>
      </c>
      <c r="U85" s="310">
        <v>11311</v>
      </c>
      <c r="V85" s="213">
        <f t="shared" si="69"/>
        <v>109.24280471315433</v>
      </c>
      <c r="W85" s="310"/>
      <c r="X85" s="304">
        <f t="shared" si="62"/>
        <v>0</v>
      </c>
      <c r="Y85" s="310"/>
      <c r="Z85" s="213">
        <f t="shared" si="70"/>
        <v>0</v>
      </c>
      <c r="AA85" s="310"/>
      <c r="AB85" s="304">
        <f t="shared" si="62"/>
        <v>0</v>
      </c>
      <c r="AC85" s="310"/>
      <c r="AD85" s="213">
        <f t="shared" si="71"/>
        <v>0</v>
      </c>
      <c r="AE85" s="310"/>
      <c r="AF85" s="304">
        <f t="shared" si="62"/>
        <v>0</v>
      </c>
      <c r="AG85" s="310"/>
      <c r="AH85" s="213">
        <f t="shared" si="72"/>
        <v>0</v>
      </c>
      <c r="AI85" s="310">
        <v>169997</v>
      </c>
      <c r="AJ85" s="304">
        <v>169997</v>
      </c>
      <c r="AK85" s="310">
        <v>169636.25</v>
      </c>
      <c r="AL85" s="213">
        <f t="shared" si="73"/>
        <v>99.787790372771283</v>
      </c>
      <c r="AM85" s="310">
        <v>247602</v>
      </c>
      <c r="AN85" s="304">
        <v>247602</v>
      </c>
      <c r="AO85" s="310">
        <v>247692.25</v>
      </c>
      <c r="AP85" s="213">
        <f t="shared" si="74"/>
        <v>100.03644962480109</v>
      </c>
      <c r="AQ85" s="310">
        <v>196597</v>
      </c>
      <c r="AR85" s="304">
        <v>196597</v>
      </c>
      <c r="AS85" s="310">
        <v>197054</v>
      </c>
      <c r="AT85" s="213">
        <f t="shared" si="75"/>
        <v>100.23245522566468</v>
      </c>
      <c r="AU85" s="310"/>
      <c r="AV85" s="304">
        <f t="shared" si="63"/>
        <v>0</v>
      </c>
      <c r="AW85" s="310"/>
      <c r="AX85" s="213">
        <f t="shared" si="76"/>
        <v>0</v>
      </c>
      <c r="AY85" s="310"/>
      <c r="AZ85" s="304">
        <f t="shared" si="64"/>
        <v>0</v>
      </c>
      <c r="BA85" s="310"/>
      <c r="BB85" s="213">
        <f t="shared" si="77"/>
        <v>0</v>
      </c>
      <c r="BC85" s="310"/>
      <c r="BD85" s="304">
        <f t="shared" si="64"/>
        <v>0</v>
      </c>
      <c r="BE85" s="310"/>
      <c r="BF85" s="213" t="e">
        <f t="shared" si="32"/>
        <v>#DIV/0!</v>
      </c>
      <c r="BG85" s="310"/>
      <c r="BH85" s="304">
        <f t="shared" si="64"/>
        <v>0</v>
      </c>
      <c r="BI85" s="310"/>
      <c r="BJ85" s="213">
        <f t="shared" si="78"/>
        <v>0</v>
      </c>
      <c r="BK85" s="310"/>
      <c r="BL85" s="304">
        <f t="shared" si="64"/>
        <v>0</v>
      </c>
      <c r="BM85" s="310"/>
      <c r="BN85" s="213">
        <f t="shared" si="79"/>
        <v>0</v>
      </c>
      <c r="BO85" s="305">
        <f t="shared" si="80"/>
        <v>624550</v>
      </c>
      <c r="BP85" s="305">
        <f t="shared" si="81"/>
        <v>624550</v>
      </c>
      <c r="BQ85" s="305">
        <f t="shared" si="82"/>
        <v>625693.5</v>
      </c>
      <c r="BR85" s="305">
        <f t="shared" si="83"/>
        <v>100.1830918261148</v>
      </c>
    </row>
    <row r="86" spans="1:70" ht="15.75" x14ac:dyDescent="0.25">
      <c r="A86" s="190" t="s">
        <v>185</v>
      </c>
      <c r="B86" s="204"/>
      <c r="C86" s="214">
        <f t="shared" ref="C86:BK86" si="84">C85/4</f>
        <v>0</v>
      </c>
      <c r="D86" s="97">
        <f t="shared" si="61"/>
        <v>0</v>
      </c>
      <c r="E86" s="214">
        <f t="shared" ref="E86:BM86" si="85">E85/4</f>
        <v>0</v>
      </c>
      <c r="F86" s="99">
        <f t="shared" si="65"/>
        <v>0</v>
      </c>
      <c r="G86" s="214">
        <f t="shared" si="84"/>
        <v>0</v>
      </c>
      <c r="H86" s="97">
        <f t="shared" si="61"/>
        <v>0</v>
      </c>
      <c r="I86" s="214">
        <f t="shared" si="85"/>
        <v>0</v>
      </c>
      <c r="J86" s="99">
        <f t="shared" si="66"/>
        <v>0</v>
      </c>
      <c r="K86" s="214">
        <f t="shared" si="84"/>
        <v>0</v>
      </c>
      <c r="L86" s="97">
        <f t="shared" si="61"/>
        <v>0</v>
      </c>
      <c r="M86" s="214">
        <f t="shared" si="85"/>
        <v>0</v>
      </c>
      <c r="N86" s="99">
        <f t="shared" si="67"/>
        <v>0</v>
      </c>
      <c r="O86" s="214">
        <f t="shared" si="84"/>
        <v>0</v>
      </c>
      <c r="P86" s="97">
        <f t="shared" si="61"/>
        <v>0</v>
      </c>
      <c r="Q86" s="214">
        <f t="shared" si="85"/>
        <v>0</v>
      </c>
      <c r="R86" s="99">
        <f t="shared" si="68"/>
        <v>0</v>
      </c>
      <c r="S86" s="214">
        <f t="shared" si="84"/>
        <v>2588.5</v>
      </c>
      <c r="T86" s="214">
        <f t="shared" si="84"/>
        <v>2588.5</v>
      </c>
      <c r="U86" s="214">
        <f t="shared" si="85"/>
        <v>2827.75</v>
      </c>
      <c r="V86" s="99">
        <f t="shared" si="69"/>
        <v>109.24280471315433</v>
      </c>
      <c r="W86" s="214">
        <f t="shared" si="84"/>
        <v>0</v>
      </c>
      <c r="X86" s="97">
        <f t="shared" si="62"/>
        <v>0</v>
      </c>
      <c r="Y86" s="214">
        <f t="shared" si="85"/>
        <v>0</v>
      </c>
      <c r="Z86" s="99">
        <f t="shared" si="70"/>
        <v>0</v>
      </c>
      <c r="AA86" s="214">
        <f t="shared" si="84"/>
        <v>0</v>
      </c>
      <c r="AB86" s="97">
        <f t="shared" si="62"/>
        <v>0</v>
      </c>
      <c r="AC86" s="214">
        <f t="shared" si="85"/>
        <v>0</v>
      </c>
      <c r="AD86" s="99">
        <f t="shared" si="71"/>
        <v>0</v>
      </c>
      <c r="AE86" s="214">
        <f t="shared" si="84"/>
        <v>0</v>
      </c>
      <c r="AF86" s="97">
        <f t="shared" si="62"/>
        <v>0</v>
      </c>
      <c r="AG86" s="214">
        <f t="shared" si="85"/>
        <v>0</v>
      </c>
      <c r="AH86" s="99">
        <f t="shared" si="72"/>
        <v>0</v>
      </c>
      <c r="AI86" s="214">
        <f t="shared" si="84"/>
        <v>42499.25</v>
      </c>
      <c r="AJ86" s="214">
        <f t="shared" si="84"/>
        <v>42499.25</v>
      </c>
      <c r="AK86" s="214">
        <f t="shared" si="85"/>
        <v>42409.0625</v>
      </c>
      <c r="AL86" s="99">
        <f t="shared" si="73"/>
        <v>99.787790372771283</v>
      </c>
      <c r="AM86" s="214">
        <f t="shared" si="84"/>
        <v>61900.5</v>
      </c>
      <c r="AN86" s="214">
        <f t="shared" si="84"/>
        <v>61900.5</v>
      </c>
      <c r="AO86" s="214">
        <f t="shared" si="85"/>
        <v>61923.0625</v>
      </c>
      <c r="AP86" s="99">
        <f t="shared" si="74"/>
        <v>100.03644962480109</v>
      </c>
      <c r="AQ86" s="214">
        <f t="shared" si="84"/>
        <v>49149.25</v>
      </c>
      <c r="AR86" s="214">
        <f t="shared" si="84"/>
        <v>49149.25</v>
      </c>
      <c r="AS86" s="214">
        <f t="shared" si="85"/>
        <v>49263.5</v>
      </c>
      <c r="AT86" s="99">
        <f t="shared" si="75"/>
        <v>100.23245522566468</v>
      </c>
      <c r="AU86" s="214">
        <f t="shared" si="84"/>
        <v>0</v>
      </c>
      <c r="AV86" s="97">
        <f t="shared" si="63"/>
        <v>0</v>
      </c>
      <c r="AW86" s="214">
        <f t="shared" si="85"/>
        <v>0</v>
      </c>
      <c r="AX86" s="99">
        <f t="shared" si="76"/>
        <v>0</v>
      </c>
      <c r="AY86" s="214">
        <f t="shared" si="84"/>
        <v>0</v>
      </c>
      <c r="AZ86" s="97">
        <f t="shared" si="64"/>
        <v>0</v>
      </c>
      <c r="BA86" s="214">
        <f t="shared" si="85"/>
        <v>0</v>
      </c>
      <c r="BB86" s="99">
        <f t="shared" si="77"/>
        <v>0</v>
      </c>
      <c r="BC86" s="214">
        <f t="shared" si="84"/>
        <v>0</v>
      </c>
      <c r="BD86" s="97">
        <f t="shared" si="64"/>
        <v>0</v>
      </c>
      <c r="BE86" s="214">
        <f t="shared" si="85"/>
        <v>0</v>
      </c>
      <c r="BF86" s="99" t="e">
        <f t="shared" si="32"/>
        <v>#DIV/0!</v>
      </c>
      <c r="BG86" s="214">
        <f t="shared" si="84"/>
        <v>0</v>
      </c>
      <c r="BH86" s="97">
        <f t="shared" si="64"/>
        <v>0</v>
      </c>
      <c r="BI86" s="214">
        <f t="shared" si="85"/>
        <v>0</v>
      </c>
      <c r="BJ86" s="99">
        <f t="shared" si="78"/>
        <v>0</v>
      </c>
      <c r="BK86" s="214">
        <f t="shared" si="84"/>
        <v>0</v>
      </c>
      <c r="BL86" s="97">
        <f t="shared" si="64"/>
        <v>0</v>
      </c>
      <c r="BM86" s="214">
        <f t="shared" si="85"/>
        <v>0</v>
      </c>
      <c r="BN86" s="99">
        <f t="shared" si="79"/>
        <v>0</v>
      </c>
      <c r="BO86" s="235">
        <f t="shared" si="80"/>
        <v>156137.5</v>
      </c>
      <c r="BP86" s="235">
        <f t="shared" si="81"/>
        <v>156137.5</v>
      </c>
      <c r="BQ86" s="235">
        <f t="shared" si="82"/>
        <v>156423.375</v>
      </c>
      <c r="BR86" s="235">
        <f t="shared" si="83"/>
        <v>100.1830918261148</v>
      </c>
    </row>
    <row r="87" spans="1:70" s="7" customFormat="1" ht="15.75" x14ac:dyDescent="0.25">
      <c r="A87" s="94" t="s">
        <v>179</v>
      </c>
      <c r="B87" s="234"/>
      <c r="C87" s="272">
        <f t="shared" ref="C87:BL87" si="86">SUM(C86,C83)</f>
        <v>71499</v>
      </c>
      <c r="D87" s="272">
        <f t="shared" si="86"/>
        <v>71499</v>
      </c>
      <c r="E87" s="272">
        <f t="shared" ref="E87:BM87" si="87">SUM(E86,E83)</f>
        <v>72391</v>
      </c>
      <c r="F87" s="105">
        <f t="shared" si="65"/>
        <v>101.24756989608245</v>
      </c>
      <c r="G87" s="272">
        <f t="shared" si="86"/>
        <v>22057</v>
      </c>
      <c r="H87" s="272">
        <f t="shared" si="86"/>
        <v>22057</v>
      </c>
      <c r="I87" s="272">
        <f t="shared" si="87"/>
        <v>18067</v>
      </c>
      <c r="J87" s="105">
        <f t="shared" si="66"/>
        <v>81.91050460171374</v>
      </c>
      <c r="K87" s="272">
        <f t="shared" si="86"/>
        <v>12790</v>
      </c>
      <c r="L87" s="272">
        <f t="shared" si="86"/>
        <v>12790</v>
      </c>
      <c r="M87" s="272">
        <f t="shared" si="87"/>
        <v>10371</v>
      </c>
      <c r="N87" s="105">
        <f t="shared" si="67"/>
        <v>81.086786551993754</v>
      </c>
      <c r="O87" s="272">
        <f t="shared" si="86"/>
        <v>36055</v>
      </c>
      <c r="P87" s="272">
        <f t="shared" si="86"/>
        <v>36055</v>
      </c>
      <c r="Q87" s="272">
        <f t="shared" si="87"/>
        <v>35271</v>
      </c>
      <c r="R87" s="105">
        <f t="shared" si="68"/>
        <v>97.825544307308277</v>
      </c>
      <c r="S87" s="272">
        <f t="shared" si="86"/>
        <v>189000.5</v>
      </c>
      <c r="T87" s="272">
        <f t="shared" si="86"/>
        <v>189000.5</v>
      </c>
      <c r="U87" s="272">
        <f t="shared" si="87"/>
        <v>178455.75</v>
      </c>
      <c r="V87" s="105">
        <f t="shared" si="69"/>
        <v>94.420781955603289</v>
      </c>
      <c r="W87" s="272">
        <f t="shared" si="86"/>
        <v>185000.8</v>
      </c>
      <c r="X87" s="272">
        <f t="shared" si="86"/>
        <v>185000.8</v>
      </c>
      <c r="Y87" s="272">
        <f t="shared" si="87"/>
        <v>172053.8</v>
      </c>
      <c r="Z87" s="105">
        <f t="shared" si="70"/>
        <v>93.001651884748611</v>
      </c>
      <c r="AA87" s="272">
        <f t="shared" si="86"/>
        <v>27000</v>
      </c>
      <c r="AB87" s="103">
        <f t="shared" si="62"/>
        <v>27000</v>
      </c>
      <c r="AC87" s="272">
        <f t="shared" si="87"/>
        <v>27344</v>
      </c>
      <c r="AD87" s="105">
        <f t="shared" si="71"/>
        <v>101.27407407407406</v>
      </c>
      <c r="AE87" s="272">
        <f t="shared" si="86"/>
        <v>3800.8</v>
      </c>
      <c r="AF87" s="272">
        <f t="shared" si="86"/>
        <v>3800.8</v>
      </c>
      <c r="AG87" s="272">
        <f t="shared" si="87"/>
        <v>4569</v>
      </c>
      <c r="AH87" s="105">
        <f t="shared" si="72"/>
        <v>120.21153441380761</v>
      </c>
      <c r="AI87" s="272">
        <f t="shared" si="86"/>
        <v>42499.25</v>
      </c>
      <c r="AJ87" s="272">
        <f t="shared" si="86"/>
        <v>42499.25</v>
      </c>
      <c r="AK87" s="272">
        <f t="shared" si="87"/>
        <v>42409.0625</v>
      </c>
      <c r="AL87" s="105">
        <f t="shared" si="73"/>
        <v>99.787790372771283</v>
      </c>
      <c r="AM87" s="272">
        <f t="shared" si="86"/>
        <v>61900.5</v>
      </c>
      <c r="AN87" s="103">
        <f t="shared" si="86"/>
        <v>61900.5</v>
      </c>
      <c r="AO87" s="272">
        <f t="shared" si="87"/>
        <v>61923.0625</v>
      </c>
      <c r="AP87" s="105">
        <f t="shared" si="74"/>
        <v>100.03644962480109</v>
      </c>
      <c r="AQ87" s="272">
        <f t="shared" si="86"/>
        <v>49149.25</v>
      </c>
      <c r="AR87" s="272">
        <f t="shared" si="86"/>
        <v>49149.25</v>
      </c>
      <c r="AS87" s="272">
        <f t="shared" si="87"/>
        <v>49263.5</v>
      </c>
      <c r="AT87" s="105">
        <f t="shared" si="75"/>
        <v>100.23245522566468</v>
      </c>
      <c r="AU87" s="272">
        <f t="shared" si="86"/>
        <v>82468</v>
      </c>
      <c r="AV87" s="272">
        <f t="shared" si="86"/>
        <v>82468</v>
      </c>
      <c r="AW87" s="272">
        <f t="shared" si="87"/>
        <v>111323</v>
      </c>
      <c r="AX87" s="105">
        <f t="shared" si="76"/>
        <v>134.98932919435418</v>
      </c>
      <c r="AY87" s="272">
        <f t="shared" si="86"/>
        <v>4500</v>
      </c>
      <c r="AZ87" s="272">
        <f t="shared" si="86"/>
        <v>4500</v>
      </c>
      <c r="BA87" s="272">
        <f t="shared" si="87"/>
        <v>5111</v>
      </c>
      <c r="BB87" s="105">
        <f t="shared" si="77"/>
        <v>113.57777777777778</v>
      </c>
      <c r="BC87" s="272">
        <f t="shared" si="86"/>
        <v>0</v>
      </c>
      <c r="BD87" s="103">
        <f t="shared" si="64"/>
        <v>0</v>
      </c>
      <c r="BE87" s="272">
        <f t="shared" si="87"/>
        <v>0</v>
      </c>
      <c r="BF87" s="105" t="e">
        <f t="shared" si="32"/>
        <v>#DIV/0!</v>
      </c>
      <c r="BG87" s="272">
        <f t="shared" si="86"/>
        <v>2948</v>
      </c>
      <c r="BH87" s="272">
        <f t="shared" si="86"/>
        <v>2948</v>
      </c>
      <c r="BI87" s="272">
        <f t="shared" si="87"/>
        <v>2056</v>
      </c>
      <c r="BJ87" s="105">
        <f t="shared" si="78"/>
        <v>69.742198100407066</v>
      </c>
      <c r="BK87" s="272">
        <f t="shared" si="86"/>
        <v>4624</v>
      </c>
      <c r="BL87" s="272">
        <f t="shared" si="86"/>
        <v>4624</v>
      </c>
      <c r="BM87" s="272">
        <f t="shared" si="87"/>
        <v>5345</v>
      </c>
      <c r="BN87" s="105">
        <f t="shared" si="79"/>
        <v>115.59256055363323</v>
      </c>
      <c r="BO87" s="235">
        <f t="shared" si="80"/>
        <v>795292.1</v>
      </c>
      <c r="BP87" s="235">
        <f t="shared" si="81"/>
        <v>795292.1</v>
      </c>
      <c r="BQ87" s="235">
        <f t="shared" si="82"/>
        <v>795953.17500000005</v>
      </c>
      <c r="BR87" s="235">
        <f t="shared" si="83"/>
        <v>100.08312354668179</v>
      </c>
    </row>
    <row r="88" spans="1:70" ht="15.75" x14ac:dyDescent="0.25">
      <c r="A88" s="94"/>
      <c r="B88" s="203"/>
      <c r="C88" s="214"/>
      <c r="D88" s="97">
        <f t="shared" si="61"/>
        <v>0</v>
      </c>
      <c r="E88" s="214"/>
      <c r="F88" s="99">
        <f t="shared" si="65"/>
        <v>0</v>
      </c>
      <c r="G88" s="214"/>
      <c r="H88" s="97">
        <f t="shared" si="61"/>
        <v>0</v>
      </c>
      <c r="I88" s="214"/>
      <c r="J88" s="99">
        <f t="shared" si="66"/>
        <v>0</v>
      </c>
      <c r="K88" s="214"/>
      <c r="L88" s="97">
        <f t="shared" si="61"/>
        <v>0</v>
      </c>
      <c r="M88" s="214"/>
      <c r="N88" s="99">
        <f t="shared" si="67"/>
        <v>0</v>
      </c>
      <c r="O88" s="214"/>
      <c r="P88" s="97">
        <f t="shared" si="61"/>
        <v>0</v>
      </c>
      <c r="Q88" s="214"/>
      <c r="R88" s="99">
        <f t="shared" si="68"/>
        <v>0</v>
      </c>
      <c r="S88" s="214"/>
      <c r="T88" s="97">
        <f t="shared" si="62"/>
        <v>0</v>
      </c>
      <c r="U88" s="214"/>
      <c r="V88" s="99">
        <f t="shared" si="69"/>
        <v>0</v>
      </c>
      <c r="W88" s="214"/>
      <c r="X88" s="97">
        <f t="shared" si="62"/>
        <v>0</v>
      </c>
      <c r="Y88" s="214"/>
      <c r="Z88" s="99">
        <f t="shared" si="70"/>
        <v>0</v>
      </c>
      <c r="AA88" s="214"/>
      <c r="AB88" s="97">
        <f t="shared" si="62"/>
        <v>0</v>
      </c>
      <c r="AC88" s="214"/>
      <c r="AD88" s="99">
        <f t="shared" si="71"/>
        <v>0</v>
      </c>
      <c r="AE88" s="214"/>
      <c r="AF88" s="97">
        <f t="shared" si="62"/>
        <v>0</v>
      </c>
      <c r="AG88" s="214"/>
      <c r="AH88" s="99">
        <f t="shared" si="72"/>
        <v>0</v>
      </c>
      <c r="AI88" s="214"/>
      <c r="AJ88" s="97">
        <f t="shared" si="63"/>
        <v>0</v>
      </c>
      <c r="AK88" s="214"/>
      <c r="AL88" s="99">
        <f t="shared" si="73"/>
        <v>0</v>
      </c>
      <c r="AM88" s="214"/>
      <c r="AN88" s="97">
        <f t="shared" si="63"/>
        <v>0</v>
      </c>
      <c r="AO88" s="214"/>
      <c r="AP88" s="99">
        <f t="shared" si="74"/>
        <v>0</v>
      </c>
      <c r="AQ88" s="214"/>
      <c r="AR88" s="97">
        <f t="shared" si="63"/>
        <v>0</v>
      </c>
      <c r="AS88" s="214"/>
      <c r="AT88" s="99">
        <f t="shared" si="75"/>
        <v>0</v>
      </c>
      <c r="AU88" s="214"/>
      <c r="AV88" s="97">
        <f t="shared" si="63"/>
        <v>0</v>
      </c>
      <c r="AW88" s="214"/>
      <c r="AX88" s="99">
        <f t="shared" si="76"/>
        <v>0</v>
      </c>
      <c r="AY88" s="214"/>
      <c r="AZ88" s="97">
        <f t="shared" si="64"/>
        <v>0</v>
      </c>
      <c r="BA88" s="214"/>
      <c r="BB88" s="99">
        <f t="shared" si="77"/>
        <v>0</v>
      </c>
      <c r="BC88" s="214"/>
      <c r="BD88" s="97">
        <f t="shared" si="64"/>
        <v>0</v>
      </c>
      <c r="BE88" s="214"/>
      <c r="BF88" s="99" t="e">
        <f t="shared" si="32"/>
        <v>#DIV/0!</v>
      </c>
      <c r="BG88" s="214"/>
      <c r="BH88" s="97">
        <f t="shared" si="64"/>
        <v>0</v>
      </c>
      <c r="BI88" s="214"/>
      <c r="BJ88" s="99">
        <f t="shared" si="78"/>
        <v>0</v>
      </c>
      <c r="BK88" s="214"/>
      <c r="BL88" s="97">
        <f t="shared" si="64"/>
        <v>0</v>
      </c>
      <c r="BM88" s="214"/>
      <c r="BN88" s="99">
        <f t="shared" si="79"/>
        <v>0</v>
      </c>
      <c r="BO88" s="236">
        <f t="shared" si="80"/>
        <v>0</v>
      </c>
      <c r="BP88" s="236">
        <f t="shared" si="81"/>
        <v>0</v>
      </c>
      <c r="BQ88" s="236">
        <f t="shared" si="82"/>
        <v>0</v>
      </c>
      <c r="BR88" s="235">
        <f t="shared" si="83"/>
        <v>0</v>
      </c>
    </row>
    <row r="89" spans="1:70" s="131" customFormat="1" ht="15.75" x14ac:dyDescent="0.25">
      <c r="A89" s="87" t="s">
        <v>180</v>
      </c>
      <c r="B89" s="205"/>
      <c r="C89" s="109">
        <f>SUM(C87,C23)</f>
        <v>378532</v>
      </c>
      <c r="D89" s="109">
        <f>SUM(D87,D23)</f>
        <v>378532</v>
      </c>
      <c r="E89" s="109">
        <f>SUM(E87,E23)</f>
        <v>445628.5625</v>
      </c>
      <c r="F89" s="110">
        <f t="shared" si="65"/>
        <v>117.72546640706729</v>
      </c>
      <c r="G89" s="109">
        <f>SUM(G87,G23)</f>
        <v>224657.6</v>
      </c>
      <c r="H89" s="109">
        <f>SUM(H87,H23)</f>
        <v>224657.6</v>
      </c>
      <c r="I89" s="109">
        <f>SUM(I87,I23)</f>
        <v>226170.76250000001</v>
      </c>
      <c r="J89" s="110">
        <f t="shared" si="66"/>
        <v>100.67354164737804</v>
      </c>
      <c r="K89" s="109">
        <f>SUM(K87,K23)</f>
        <v>127060.6</v>
      </c>
      <c r="L89" s="109">
        <f>SUM(L87,L23)</f>
        <v>127060.6</v>
      </c>
      <c r="M89" s="109">
        <f>SUM(M87,M23)</f>
        <v>111330.6</v>
      </c>
      <c r="N89" s="110">
        <f t="shared" si="67"/>
        <v>87.620080497022684</v>
      </c>
      <c r="O89" s="109">
        <f>SUM(O87,O23)</f>
        <v>429427.60000000003</v>
      </c>
      <c r="P89" s="109">
        <f>SUM(P87,P23)</f>
        <v>429427.60000000003</v>
      </c>
      <c r="Q89" s="109">
        <f>SUM(Q87,Q23)</f>
        <v>436747.46250000002</v>
      </c>
      <c r="R89" s="110">
        <f t="shared" si="68"/>
        <v>101.70456265503196</v>
      </c>
      <c r="S89" s="109">
        <f>SUM(S87,S23)</f>
        <v>189000.5</v>
      </c>
      <c r="T89" s="109">
        <f>SUM(T87,T23)</f>
        <v>189000.5</v>
      </c>
      <c r="U89" s="109">
        <f>SUM(U87,U23)</f>
        <v>178455.75</v>
      </c>
      <c r="V89" s="110">
        <f t="shared" si="69"/>
        <v>94.420781955603289</v>
      </c>
      <c r="W89" s="109">
        <f>SUM(W87,W23)</f>
        <v>185000.8</v>
      </c>
      <c r="X89" s="109">
        <f>SUM(X87,X23)</f>
        <v>185000.8</v>
      </c>
      <c r="Y89" s="109">
        <f>SUM(Y87,Y23)</f>
        <v>172053.8</v>
      </c>
      <c r="Z89" s="110">
        <f t="shared" si="70"/>
        <v>93.001651884748611</v>
      </c>
      <c r="AA89" s="109">
        <f>SUM(AA87,AA23)</f>
        <v>27000</v>
      </c>
      <c r="AB89" s="109">
        <f>SUM(AB87,AB23)</f>
        <v>27000</v>
      </c>
      <c r="AC89" s="109">
        <f>SUM(AC87,AC23)</f>
        <v>27344</v>
      </c>
      <c r="AD89" s="110">
        <f t="shared" si="71"/>
        <v>101.27407407407406</v>
      </c>
      <c r="AE89" s="109">
        <f>SUM(AE87,AE23)</f>
        <v>3800.8</v>
      </c>
      <c r="AF89" s="109">
        <f>SUM(AF87,AF23)</f>
        <v>3800.8</v>
      </c>
      <c r="AG89" s="109">
        <f>SUM(AG87,AG23)</f>
        <v>4569</v>
      </c>
      <c r="AH89" s="110">
        <f t="shared" si="72"/>
        <v>120.21153441380761</v>
      </c>
      <c r="AI89" s="109">
        <f>SUM(AI87,AI23)</f>
        <v>42499.25</v>
      </c>
      <c r="AJ89" s="109">
        <f>SUM(AJ87,AJ23)</f>
        <v>42499.25</v>
      </c>
      <c r="AK89" s="109">
        <f>SUM(AK87,AK23)</f>
        <v>42409.0625</v>
      </c>
      <c r="AL89" s="110">
        <f t="shared" si="73"/>
        <v>99.787790372771283</v>
      </c>
      <c r="AM89" s="109">
        <f>SUM(AM87,AM23)</f>
        <v>61900.5</v>
      </c>
      <c r="AN89" s="109">
        <f>SUM(AN87,AN23)</f>
        <v>61900.5</v>
      </c>
      <c r="AO89" s="109">
        <f>SUM(AO87,AO23)</f>
        <v>61923.0625</v>
      </c>
      <c r="AP89" s="110">
        <f t="shared" si="74"/>
        <v>100.03644962480109</v>
      </c>
      <c r="AQ89" s="109">
        <f>SUM(AQ87,AQ23)</f>
        <v>49149.25</v>
      </c>
      <c r="AR89" s="109">
        <f>SUM(AR87,AR23)</f>
        <v>49149.25</v>
      </c>
      <c r="AS89" s="109">
        <f>SUM(AS87,AS23)</f>
        <v>49263.5</v>
      </c>
      <c r="AT89" s="110">
        <f t="shared" si="75"/>
        <v>100.23245522566468</v>
      </c>
      <c r="AU89" s="109">
        <f>SUM(AU87,AU23)</f>
        <v>462002.2</v>
      </c>
      <c r="AV89" s="109">
        <f>SUM(AV87,AV23)</f>
        <v>462002.2</v>
      </c>
      <c r="AW89" s="109">
        <f>SUM(AW87,AW23)</f>
        <v>479122.80000000005</v>
      </c>
      <c r="AX89" s="110">
        <f t="shared" si="76"/>
        <v>103.70573992937697</v>
      </c>
      <c r="AY89" s="109">
        <f>SUM(AY87,AY23)</f>
        <v>110199.6</v>
      </c>
      <c r="AZ89" s="109">
        <f>SUM(AZ87,AZ23)</f>
        <v>110199.6</v>
      </c>
      <c r="BA89" s="109">
        <f>SUM(BA87,BA23)</f>
        <v>114339.40000000001</v>
      </c>
      <c r="BB89" s="110">
        <f t="shared" si="77"/>
        <v>103.75663795512871</v>
      </c>
      <c r="BC89" s="109">
        <f>SUM(BC87,BC23)</f>
        <v>0</v>
      </c>
      <c r="BD89" s="109">
        <f>SUM(BD87,BD23)</f>
        <v>0</v>
      </c>
      <c r="BE89" s="109">
        <f>SUM(BE87,BE23)</f>
        <v>0</v>
      </c>
      <c r="BF89" s="110" t="e">
        <f t="shared" si="32"/>
        <v>#DIV/0!</v>
      </c>
      <c r="BG89" s="109">
        <f>SUM(BG87,BG23)</f>
        <v>50910</v>
      </c>
      <c r="BH89" s="109">
        <f>SUM(BH87,BH23)</f>
        <v>50910</v>
      </c>
      <c r="BI89" s="109">
        <f>SUM(BI87,BI23)</f>
        <v>48482.025000000001</v>
      </c>
      <c r="BJ89" s="110">
        <f t="shared" si="78"/>
        <v>95.230848556275788</v>
      </c>
      <c r="BK89" s="109">
        <f>SUM(BK87,BK23)</f>
        <v>142317.40000000002</v>
      </c>
      <c r="BL89" s="109">
        <f>SUM(BL87,BL23)</f>
        <v>142317.40000000002</v>
      </c>
      <c r="BM89" s="109">
        <f>SUM(BM87,BM23)</f>
        <v>128082.07500000001</v>
      </c>
      <c r="BN89" s="110">
        <f t="shared" si="79"/>
        <v>89.997480982648639</v>
      </c>
      <c r="BO89" s="237">
        <f t="shared" si="80"/>
        <v>2483458.1</v>
      </c>
      <c r="BP89" s="237">
        <f t="shared" si="81"/>
        <v>2483458.1</v>
      </c>
      <c r="BQ89" s="237">
        <f t="shared" si="82"/>
        <v>2525921.8624999998</v>
      </c>
      <c r="BR89" s="237">
        <f t="shared" si="83"/>
        <v>101.70986426145059</v>
      </c>
    </row>
    <row r="91" spans="1:70" ht="25.5" x14ac:dyDescent="0.2">
      <c r="A91" s="253" t="s">
        <v>263</v>
      </c>
      <c r="B91" s="11"/>
      <c r="C91" s="11"/>
      <c r="D91" s="11"/>
      <c r="E91" s="11" t="s">
        <v>377</v>
      </c>
      <c r="F91" s="11"/>
      <c r="G91" s="11"/>
      <c r="H91" s="11"/>
      <c r="I91" s="11" t="s">
        <v>378</v>
      </c>
      <c r="J91" s="11"/>
      <c r="K91" s="11"/>
      <c r="L91" s="11"/>
      <c r="M91" s="11" t="s">
        <v>351</v>
      </c>
      <c r="N91" s="11"/>
      <c r="O91" s="11"/>
      <c r="P91" s="11"/>
      <c r="Q91" s="11" t="s">
        <v>379</v>
      </c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 t="s">
        <v>380</v>
      </c>
      <c r="AX91" s="11"/>
      <c r="AY91" s="11"/>
      <c r="AZ91" s="11"/>
      <c r="BA91" s="11" t="s">
        <v>381</v>
      </c>
      <c r="BB91" s="11"/>
      <c r="BC91" s="11"/>
      <c r="BD91" s="11"/>
      <c r="BE91" s="11"/>
      <c r="BF91" s="11"/>
      <c r="BG91" s="11"/>
      <c r="BH91" s="11"/>
      <c r="BI91" s="11">
        <v>-10</v>
      </c>
      <c r="BJ91" s="11"/>
      <c r="BK91" s="11"/>
      <c r="BL91" s="11"/>
      <c r="BM91" s="11" t="s">
        <v>352</v>
      </c>
      <c r="BN91" s="11"/>
      <c r="BO91" s="11"/>
      <c r="BP91" s="11"/>
      <c r="BQ91" s="11"/>
      <c r="BR91" s="276"/>
    </row>
  </sheetData>
  <customSheetViews>
    <customSheetView guid="{C4C3C6EA-4E99-4A9E-A26B-FFCC7AED73F2}">
      <pane xSplit="3" ySplit="10" topLeftCell="CF16" activePane="bottomRight" state="frozen"/>
      <selection pane="bottomRight" activeCell="C35" sqref="C35"/>
      <pageMargins left="0.7" right="0.7" top="0.75" bottom="0.75" header="0.3" footer="0.3"/>
    </customSheetView>
    <customSheetView guid="{7AB5B88D-359A-416D-9EE2-70D3717CE362}">
      <pane xSplit="3" ySplit="10" topLeftCell="CH14" activePane="bottomRight" state="frozen"/>
      <selection pane="bottomRight" activeCell="A3" sqref="A3:XFD3"/>
      <pageMargins left="0.7" right="0.7" top="0.75" bottom="0.75" header="0.3" footer="0.3"/>
    </customSheetView>
    <customSheetView guid="{54C0345E-C30A-4773-9BED-454F3B675FBE}">
      <pane xSplit="2" ySplit="9" topLeftCell="CN14" activePane="bottomRight" state="frozen"/>
      <selection pane="bottomRight" activeCell="H29" sqref="H29"/>
      <pageMargins left="0.7" right="0.7" top="0.75" bottom="0.75" header="0.3" footer="0.3"/>
    </customSheetView>
  </customSheetViews>
  <mergeCells count="86">
    <mergeCell ref="BO7:BR7"/>
    <mergeCell ref="B8:B9"/>
    <mergeCell ref="AQ7:AT7"/>
    <mergeCell ref="AU7:AX7"/>
    <mergeCell ref="AY7:BB7"/>
    <mergeCell ref="BC7:BF7"/>
    <mergeCell ref="BG7:BJ7"/>
    <mergeCell ref="BK7:BN7"/>
    <mergeCell ref="S7:V7"/>
    <mergeCell ref="W7:Z7"/>
    <mergeCell ref="AA7:AD7"/>
    <mergeCell ref="AE7:AH7"/>
    <mergeCell ref="AI7:AL7"/>
    <mergeCell ref="AM7:AP7"/>
    <mergeCell ref="AI8:AL8"/>
    <mergeCell ref="AM8:AP8"/>
    <mergeCell ref="C7:F7"/>
    <mergeCell ref="G7:J7"/>
    <mergeCell ref="K7:N7"/>
    <mergeCell ref="O7:R7"/>
    <mergeCell ref="C4:F4"/>
    <mergeCell ref="G4:J4"/>
    <mergeCell ref="K4:N4"/>
    <mergeCell ref="O4:R4"/>
    <mergeCell ref="C6:F6"/>
    <mergeCell ref="G6:J6"/>
    <mergeCell ref="S4:V4"/>
    <mergeCell ref="W4:Z4"/>
    <mergeCell ref="AA4:AD4"/>
    <mergeCell ref="A1:H2"/>
    <mergeCell ref="AQ6:AT6"/>
    <mergeCell ref="AM4:AP4"/>
    <mergeCell ref="AQ4:AT4"/>
    <mergeCell ref="K6:N6"/>
    <mergeCell ref="O6:R6"/>
    <mergeCell ref="S6:V6"/>
    <mergeCell ref="AE4:AH4"/>
    <mergeCell ref="AI4:AL4"/>
    <mergeCell ref="W6:Z6"/>
    <mergeCell ref="AA6:AD6"/>
    <mergeCell ref="AE6:AH6"/>
    <mergeCell ref="AI6:AL6"/>
    <mergeCell ref="AU4:AX4"/>
    <mergeCell ref="AY4:BB4"/>
    <mergeCell ref="AM6:AP6"/>
    <mergeCell ref="AU6:AX6"/>
    <mergeCell ref="AY6:BB6"/>
    <mergeCell ref="AY5:BB5"/>
    <mergeCell ref="BO4:BR6"/>
    <mergeCell ref="C5:F5"/>
    <mergeCell ref="G5:J5"/>
    <mergeCell ref="K5:N5"/>
    <mergeCell ref="O5:R5"/>
    <mergeCell ref="S5:V5"/>
    <mergeCell ref="W5:Z5"/>
    <mergeCell ref="AA5:AD5"/>
    <mergeCell ref="AE5:AH5"/>
    <mergeCell ref="AI5:AL5"/>
    <mergeCell ref="AM5:AP5"/>
    <mergeCell ref="AQ5:AT5"/>
    <mergeCell ref="AU5:AX5"/>
    <mergeCell ref="BC4:BF4"/>
    <mergeCell ref="BG4:BJ4"/>
    <mergeCell ref="BK4:BN4"/>
    <mergeCell ref="BG6:BJ6"/>
    <mergeCell ref="BK6:BN6"/>
    <mergeCell ref="BC6:BF6"/>
    <mergeCell ref="BC5:BF5"/>
    <mergeCell ref="BG5:BJ5"/>
    <mergeCell ref="BK5:BN5"/>
    <mergeCell ref="A8:A9"/>
    <mergeCell ref="BO8:BR8"/>
    <mergeCell ref="C8:F8"/>
    <mergeCell ref="G8:J8"/>
    <mergeCell ref="K8:N8"/>
    <mergeCell ref="O8:R8"/>
    <mergeCell ref="S8:V8"/>
    <mergeCell ref="W8:Z8"/>
    <mergeCell ref="AA8:AD8"/>
    <mergeCell ref="AE8:AH8"/>
    <mergeCell ref="AQ8:AT8"/>
    <mergeCell ref="AU8:AX8"/>
    <mergeCell ref="AY8:BB8"/>
    <mergeCell ref="BC8:BF8"/>
    <mergeCell ref="BG8:BJ8"/>
    <mergeCell ref="BK8:BN8"/>
  </mergeCells>
  <pageMargins left="0" right="0" top="0" bottom="0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N91"/>
  <sheetViews>
    <sheetView zoomScaleNormal="100" workbookViewId="0">
      <pane xSplit="1" ySplit="9" topLeftCell="AU37" activePane="bottomRight" state="frozen"/>
      <selection pane="topRight" activeCell="C1" sqref="C1"/>
      <selection pane="bottomLeft" activeCell="A11" sqref="A11"/>
      <selection pane="bottomRight" activeCell="BA77" sqref="BA77"/>
    </sheetView>
  </sheetViews>
  <sheetFormatPr defaultRowHeight="12.75" x14ac:dyDescent="0.2"/>
  <cols>
    <col min="1" max="1" width="50.28515625" customWidth="1"/>
    <col min="2" max="2" width="11.7109375" customWidth="1"/>
    <col min="3" max="3" width="12.140625" customWidth="1"/>
    <col min="4" max="4" width="13.140625" hidden="1" customWidth="1"/>
    <col min="5" max="5" width="14.28515625" customWidth="1"/>
    <col min="6" max="6" width="15.140625" customWidth="1"/>
    <col min="7" max="7" width="12.140625" customWidth="1"/>
    <col min="8" max="8" width="13.140625" hidden="1" customWidth="1"/>
    <col min="9" max="9" width="14.28515625" customWidth="1"/>
    <col min="10" max="10" width="11.28515625" customWidth="1"/>
    <col min="11" max="11" width="12.140625" customWidth="1"/>
    <col min="12" max="12" width="13.140625" hidden="1" customWidth="1"/>
    <col min="13" max="13" width="14.28515625" customWidth="1"/>
    <col min="14" max="14" width="11.28515625" customWidth="1"/>
    <col min="15" max="15" width="12.140625" customWidth="1"/>
    <col min="16" max="16" width="13.140625" hidden="1" customWidth="1"/>
    <col min="17" max="17" width="14.28515625" customWidth="1"/>
    <col min="18" max="18" width="16.42578125" customWidth="1"/>
    <col min="19" max="19" width="12.140625" customWidth="1"/>
    <col min="20" max="20" width="13.140625" hidden="1" customWidth="1"/>
    <col min="21" max="21" width="14.28515625" customWidth="1"/>
    <col min="22" max="22" width="13.5703125" customWidth="1"/>
    <col min="23" max="23" width="12.140625" customWidth="1"/>
    <col min="24" max="24" width="13.140625" hidden="1" customWidth="1"/>
    <col min="25" max="25" width="14.28515625" customWidth="1"/>
    <col min="26" max="26" width="11.28515625" customWidth="1"/>
    <col min="27" max="27" width="12.140625" customWidth="1"/>
    <col min="28" max="28" width="13.140625" hidden="1" customWidth="1"/>
    <col min="29" max="29" width="14.28515625" customWidth="1"/>
    <col min="30" max="30" width="15.28515625" customWidth="1"/>
    <col min="31" max="31" width="12.140625" customWidth="1"/>
    <col min="32" max="32" width="13.140625" hidden="1" customWidth="1"/>
    <col min="33" max="33" width="14.28515625" customWidth="1"/>
    <col min="34" max="34" width="15.42578125" customWidth="1"/>
    <col min="35" max="35" width="12.140625" customWidth="1"/>
    <col min="36" max="36" width="13.140625" hidden="1" customWidth="1"/>
    <col min="37" max="37" width="14.28515625" customWidth="1"/>
    <col min="38" max="38" width="13.7109375" customWidth="1"/>
    <col min="39" max="39" width="12.140625" customWidth="1"/>
    <col min="40" max="40" width="13.140625" hidden="1" customWidth="1"/>
    <col min="41" max="41" width="14.28515625" customWidth="1"/>
    <col min="42" max="42" width="11.28515625" style="127" customWidth="1"/>
    <col min="43" max="43" width="12.140625" customWidth="1"/>
    <col min="44" max="44" width="13.140625" hidden="1" customWidth="1"/>
    <col min="45" max="45" width="14.28515625" customWidth="1"/>
    <col min="46" max="46" width="15.140625" customWidth="1"/>
    <col min="47" max="47" width="12.140625" customWidth="1"/>
    <col min="48" max="48" width="13.140625" hidden="1" customWidth="1"/>
    <col min="49" max="49" width="14.28515625" customWidth="1"/>
    <col min="50" max="51" width="15.28515625" customWidth="1"/>
    <col min="52" max="52" width="15.28515625" hidden="1" customWidth="1"/>
    <col min="53" max="54" width="15.28515625" customWidth="1"/>
    <col min="55" max="55" width="12.140625" customWidth="1"/>
    <col min="56" max="56" width="13.140625" hidden="1" customWidth="1"/>
    <col min="57" max="57" width="14.28515625" customWidth="1"/>
    <col min="58" max="58" width="11.28515625" style="127" customWidth="1"/>
    <col min="59" max="59" width="12.140625" customWidth="1"/>
    <col min="60" max="60" width="13.140625" hidden="1" customWidth="1"/>
    <col min="61" max="61" width="14.28515625" customWidth="1"/>
    <col min="62" max="62" width="13.7109375" customWidth="1"/>
    <col min="63" max="63" width="12.140625" customWidth="1"/>
    <col min="64" max="64" width="13.140625" hidden="1" customWidth="1"/>
    <col min="65" max="65" width="14.28515625" customWidth="1"/>
    <col min="66" max="66" width="11.28515625" style="127" customWidth="1"/>
  </cols>
  <sheetData>
    <row r="1" spans="1:66" ht="37.5" customHeight="1" x14ac:dyDescent="0.2">
      <c r="A1" s="404" t="s">
        <v>265</v>
      </c>
      <c r="B1" s="404"/>
      <c r="C1" s="404"/>
      <c r="D1" s="404"/>
      <c r="E1" s="404"/>
      <c r="F1" s="404"/>
      <c r="G1" s="404"/>
      <c r="H1" s="404"/>
    </row>
    <row r="2" spans="1:66" x14ac:dyDescent="0.2">
      <c r="A2" s="404"/>
      <c r="B2" s="404"/>
      <c r="C2" s="404"/>
      <c r="D2" s="404"/>
      <c r="E2" s="404"/>
      <c r="F2" s="404"/>
      <c r="G2" s="404"/>
      <c r="H2" s="404"/>
    </row>
    <row r="3" spans="1:66" x14ac:dyDescent="0.2">
      <c r="A3" s="48"/>
      <c r="B3" s="48"/>
      <c r="C3" s="48"/>
      <c r="D3" s="48"/>
      <c r="E3" s="48"/>
      <c r="F3" s="48"/>
    </row>
    <row r="4" spans="1:66" s="7" customFormat="1" ht="18" customHeight="1" x14ac:dyDescent="0.2">
      <c r="A4" s="4" t="s">
        <v>113</v>
      </c>
      <c r="B4" s="12"/>
      <c r="C4" s="455">
        <v>49</v>
      </c>
      <c r="D4" s="455"/>
      <c r="E4" s="455"/>
      <c r="F4" s="455"/>
      <c r="G4" s="444">
        <v>50</v>
      </c>
      <c r="H4" s="444"/>
      <c r="I4" s="444"/>
      <c r="J4" s="444"/>
      <c r="K4" s="442" t="s">
        <v>77</v>
      </c>
      <c r="L4" s="442"/>
      <c r="M4" s="442"/>
      <c r="N4" s="442"/>
      <c r="O4" s="449">
        <v>58</v>
      </c>
      <c r="P4" s="449"/>
      <c r="Q4" s="449"/>
      <c r="R4" s="449"/>
      <c r="S4" s="444">
        <v>60</v>
      </c>
      <c r="T4" s="444"/>
      <c r="U4" s="444"/>
      <c r="V4" s="444"/>
      <c r="W4" s="442" t="s">
        <v>80</v>
      </c>
      <c r="X4" s="442"/>
      <c r="Y4" s="442"/>
      <c r="Z4" s="442"/>
      <c r="AA4" s="449">
        <v>70</v>
      </c>
      <c r="AB4" s="449"/>
      <c r="AC4" s="449"/>
      <c r="AD4" s="449"/>
      <c r="AE4" s="444">
        <v>46</v>
      </c>
      <c r="AF4" s="444"/>
      <c r="AG4" s="444"/>
      <c r="AH4" s="444"/>
      <c r="AI4" s="449">
        <v>123</v>
      </c>
      <c r="AJ4" s="449"/>
      <c r="AK4" s="449"/>
      <c r="AL4" s="449"/>
      <c r="AM4" s="442" t="s">
        <v>83</v>
      </c>
      <c r="AN4" s="442"/>
      <c r="AO4" s="442"/>
      <c r="AP4" s="442"/>
      <c r="AQ4" s="452">
        <v>83</v>
      </c>
      <c r="AR4" s="452"/>
      <c r="AS4" s="452"/>
      <c r="AT4" s="452"/>
      <c r="AU4" s="449">
        <v>82</v>
      </c>
      <c r="AV4" s="449"/>
      <c r="AW4" s="449"/>
      <c r="AX4" s="449"/>
      <c r="AY4" s="449"/>
      <c r="AZ4" s="449"/>
      <c r="BA4" s="449"/>
      <c r="BB4" s="449"/>
      <c r="BC4" s="442" t="s">
        <v>87</v>
      </c>
      <c r="BD4" s="442"/>
      <c r="BE4" s="442"/>
      <c r="BF4" s="442"/>
      <c r="BG4" s="444">
        <v>81</v>
      </c>
      <c r="BH4" s="444"/>
      <c r="BI4" s="444"/>
      <c r="BJ4" s="444"/>
      <c r="BK4" s="480" t="s">
        <v>119</v>
      </c>
      <c r="BL4" s="480"/>
      <c r="BM4" s="480"/>
      <c r="BN4" s="480"/>
    </row>
    <row r="5" spans="1:66" s="7" customFormat="1" ht="14.25" customHeight="1" x14ac:dyDescent="0.2">
      <c r="A5" s="5" t="s">
        <v>114</v>
      </c>
      <c r="B5" s="13"/>
      <c r="C5" s="470">
        <v>1340014</v>
      </c>
      <c r="D5" s="470"/>
      <c r="E5" s="470"/>
      <c r="F5" s="470"/>
      <c r="G5" s="449">
        <v>1307014</v>
      </c>
      <c r="H5" s="449"/>
      <c r="I5" s="449"/>
      <c r="J5" s="449"/>
      <c r="K5" s="442"/>
      <c r="L5" s="442"/>
      <c r="M5" s="442"/>
      <c r="N5" s="442"/>
      <c r="O5" s="452">
        <v>1340006</v>
      </c>
      <c r="P5" s="452"/>
      <c r="Q5" s="452"/>
      <c r="R5" s="452"/>
      <c r="S5" s="449" t="s">
        <v>264</v>
      </c>
      <c r="T5" s="449"/>
      <c r="U5" s="449"/>
      <c r="V5" s="449"/>
      <c r="W5" s="442"/>
      <c r="X5" s="442"/>
      <c r="Y5" s="442"/>
      <c r="Z5" s="442"/>
      <c r="AA5" s="452">
        <v>1340013</v>
      </c>
      <c r="AB5" s="452"/>
      <c r="AC5" s="452"/>
      <c r="AD5" s="452"/>
      <c r="AE5" s="449">
        <v>1340007</v>
      </c>
      <c r="AF5" s="449"/>
      <c r="AG5" s="449"/>
      <c r="AH5" s="449"/>
      <c r="AI5" s="452">
        <v>1304001</v>
      </c>
      <c r="AJ5" s="452"/>
      <c r="AK5" s="452"/>
      <c r="AL5" s="452"/>
      <c r="AM5" s="442"/>
      <c r="AN5" s="442"/>
      <c r="AO5" s="442"/>
      <c r="AP5" s="442"/>
      <c r="AQ5" s="444"/>
      <c r="AR5" s="444"/>
      <c r="AS5" s="444"/>
      <c r="AT5" s="444"/>
      <c r="AU5" s="454">
        <v>1342001</v>
      </c>
      <c r="AV5" s="454"/>
      <c r="AW5" s="454"/>
      <c r="AX5" s="454"/>
      <c r="AY5" s="454">
        <v>1343004</v>
      </c>
      <c r="AZ5" s="454"/>
      <c r="BA5" s="454"/>
      <c r="BB5" s="454"/>
      <c r="BC5" s="442"/>
      <c r="BD5" s="442"/>
      <c r="BE5" s="442"/>
      <c r="BF5" s="442"/>
      <c r="BG5" s="449">
        <v>1340002</v>
      </c>
      <c r="BH5" s="449"/>
      <c r="BI5" s="449"/>
      <c r="BJ5" s="449"/>
      <c r="BK5" s="480"/>
      <c r="BL5" s="480"/>
      <c r="BM5" s="480"/>
      <c r="BN5" s="480"/>
    </row>
    <row r="6" spans="1:66" s="7" customFormat="1" ht="24.75" customHeight="1" x14ac:dyDescent="0.2">
      <c r="A6" s="5" t="s">
        <v>116</v>
      </c>
      <c r="B6" s="6"/>
      <c r="C6" s="447" t="s">
        <v>287</v>
      </c>
      <c r="D6" s="447"/>
      <c r="E6" s="447"/>
      <c r="F6" s="447"/>
      <c r="G6" s="447" t="s">
        <v>76</v>
      </c>
      <c r="H6" s="447"/>
      <c r="I6" s="447"/>
      <c r="J6" s="447"/>
      <c r="K6" s="442"/>
      <c r="L6" s="442"/>
      <c r="M6" s="442"/>
      <c r="N6" s="442"/>
      <c r="O6" s="447" t="s">
        <v>291</v>
      </c>
      <c r="P6" s="447"/>
      <c r="Q6" s="447"/>
      <c r="R6" s="447"/>
      <c r="S6" s="447" t="s">
        <v>292</v>
      </c>
      <c r="T6" s="447"/>
      <c r="U6" s="447"/>
      <c r="V6" s="447"/>
      <c r="W6" s="442"/>
      <c r="X6" s="442"/>
      <c r="Y6" s="442"/>
      <c r="Z6" s="442"/>
      <c r="AA6" s="453" t="s">
        <v>294</v>
      </c>
      <c r="AB6" s="453"/>
      <c r="AC6" s="453"/>
      <c r="AD6" s="453"/>
      <c r="AE6" s="447" t="s">
        <v>301</v>
      </c>
      <c r="AF6" s="447"/>
      <c r="AG6" s="447"/>
      <c r="AH6" s="447"/>
      <c r="AI6" s="447" t="s">
        <v>82</v>
      </c>
      <c r="AJ6" s="447"/>
      <c r="AK6" s="447"/>
      <c r="AL6" s="447"/>
      <c r="AM6" s="442"/>
      <c r="AN6" s="442"/>
      <c r="AO6" s="442"/>
      <c r="AP6" s="442"/>
      <c r="AQ6" s="447" t="s">
        <v>85</v>
      </c>
      <c r="AR6" s="447"/>
      <c r="AS6" s="447"/>
      <c r="AT6" s="447"/>
      <c r="AU6" s="447" t="s">
        <v>120</v>
      </c>
      <c r="AV6" s="447"/>
      <c r="AW6" s="447"/>
      <c r="AX6" s="447"/>
      <c r="AY6" s="447" t="s">
        <v>206</v>
      </c>
      <c r="AZ6" s="447"/>
      <c r="BA6" s="447"/>
      <c r="BB6" s="447"/>
      <c r="BC6" s="442"/>
      <c r="BD6" s="442"/>
      <c r="BE6" s="442"/>
      <c r="BF6" s="442"/>
      <c r="BG6" s="470" t="s">
        <v>300</v>
      </c>
      <c r="BH6" s="470"/>
      <c r="BI6" s="470"/>
      <c r="BJ6" s="470"/>
      <c r="BK6" s="480"/>
      <c r="BL6" s="480"/>
      <c r="BM6" s="480"/>
      <c r="BN6" s="480"/>
    </row>
    <row r="7" spans="1:66" ht="15" hidden="1" x14ac:dyDescent="0.25">
      <c r="A7" s="238">
        <v>12</v>
      </c>
      <c r="B7" s="3"/>
      <c r="C7" s="448"/>
      <c r="D7" s="448"/>
      <c r="E7" s="448"/>
      <c r="F7" s="448"/>
      <c r="G7" s="448" t="s">
        <v>76</v>
      </c>
      <c r="H7" s="448"/>
      <c r="I7" s="448"/>
      <c r="J7" s="448"/>
      <c r="K7" s="445" t="s">
        <v>77</v>
      </c>
      <c r="L7" s="445"/>
      <c r="M7" s="445"/>
      <c r="N7" s="445"/>
      <c r="O7" s="448" t="s">
        <v>78</v>
      </c>
      <c r="P7" s="448"/>
      <c r="Q7" s="448"/>
      <c r="R7" s="448"/>
      <c r="S7" s="448" t="s">
        <v>79</v>
      </c>
      <c r="T7" s="448"/>
      <c r="U7" s="448"/>
      <c r="V7" s="448"/>
      <c r="W7" s="445" t="s">
        <v>80</v>
      </c>
      <c r="X7" s="445"/>
      <c r="Y7" s="445"/>
      <c r="Z7" s="445"/>
      <c r="AA7" s="451" t="s">
        <v>84</v>
      </c>
      <c r="AB7" s="451"/>
      <c r="AC7" s="451"/>
      <c r="AD7" s="451"/>
      <c r="AE7" s="448" t="s">
        <v>81</v>
      </c>
      <c r="AF7" s="448"/>
      <c r="AG7" s="448"/>
      <c r="AH7" s="448"/>
      <c r="AI7" s="448" t="s">
        <v>82</v>
      </c>
      <c r="AJ7" s="448"/>
      <c r="AK7" s="448"/>
      <c r="AL7" s="448"/>
      <c r="AM7" s="445" t="s">
        <v>83</v>
      </c>
      <c r="AN7" s="445"/>
      <c r="AO7" s="445"/>
      <c r="AP7" s="445"/>
      <c r="AQ7" s="448" t="s">
        <v>85</v>
      </c>
      <c r="AR7" s="448"/>
      <c r="AS7" s="448"/>
      <c r="AT7" s="448"/>
      <c r="AU7" s="448" t="s">
        <v>86</v>
      </c>
      <c r="AV7" s="448"/>
      <c r="AW7" s="448"/>
      <c r="AX7" s="448"/>
      <c r="AY7" s="448" t="s">
        <v>206</v>
      </c>
      <c r="AZ7" s="448"/>
      <c r="BA7" s="448"/>
      <c r="BB7" s="448"/>
      <c r="BC7" s="445" t="s">
        <v>87</v>
      </c>
      <c r="BD7" s="445"/>
      <c r="BE7" s="445"/>
      <c r="BF7" s="445"/>
      <c r="BG7" s="448" t="s">
        <v>88</v>
      </c>
      <c r="BH7" s="448"/>
      <c r="BI7" s="448"/>
      <c r="BJ7" s="448"/>
      <c r="BK7" s="450" t="s">
        <v>89</v>
      </c>
      <c r="BL7" s="450"/>
      <c r="BM7" s="450"/>
      <c r="BN7" s="450"/>
    </row>
    <row r="8" spans="1:66" s="40" customFormat="1" ht="62.25" customHeight="1" x14ac:dyDescent="0.2">
      <c r="A8" s="463" t="s">
        <v>0</v>
      </c>
      <c r="B8" s="47"/>
      <c r="C8" s="430" t="s">
        <v>2</v>
      </c>
      <c r="D8" s="431"/>
      <c r="E8" s="431"/>
      <c r="F8" s="432"/>
      <c r="G8" s="430" t="s">
        <v>2</v>
      </c>
      <c r="H8" s="431"/>
      <c r="I8" s="431"/>
      <c r="J8" s="432"/>
      <c r="K8" s="465" t="s">
        <v>2</v>
      </c>
      <c r="L8" s="466"/>
      <c r="M8" s="466"/>
      <c r="N8" s="467"/>
      <c r="O8" s="430" t="s">
        <v>2</v>
      </c>
      <c r="P8" s="431"/>
      <c r="Q8" s="431"/>
      <c r="R8" s="432"/>
      <c r="S8" s="430" t="s">
        <v>2</v>
      </c>
      <c r="T8" s="431"/>
      <c r="U8" s="431"/>
      <c r="V8" s="432"/>
      <c r="W8" s="465" t="s">
        <v>2</v>
      </c>
      <c r="X8" s="466"/>
      <c r="Y8" s="466"/>
      <c r="Z8" s="467"/>
      <c r="AA8" s="430" t="s">
        <v>2</v>
      </c>
      <c r="AB8" s="431"/>
      <c r="AC8" s="431"/>
      <c r="AD8" s="432"/>
      <c r="AE8" s="430" t="s">
        <v>2</v>
      </c>
      <c r="AF8" s="431"/>
      <c r="AG8" s="431"/>
      <c r="AH8" s="432"/>
      <c r="AI8" s="430" t="s">
        <v>2</v>
      </c>
      <c r="AJ8" s="431"/>
      <c r="AK8" s="431"/>
      <c r="AL8" s="432"/>
      <c r="AM8" s="465" t="s">
        <v>2</v>
      </c>
      <c r="AN8" s="466"/>
      <c r="AO8" s="466"/>
      <c r="AP8" s="467"/>
      <c r="AQ8" s="430" t="s">
        <v>2</v>
      </c>
      <c r="AR8" s="431"/>
      <c r="AS8" s="431"/>
      <c r="AT8" s="432"/>
      <c r="AU8" s="430" t="s">
        <v>2</v>
      </c>
      <c r="AV8" s="431"/>
      <c r="AW8" s="431"/>
      <c r="AX8" s="432"/>
      <c r="AY8" s="430" t="s">
        <v>2</v>
      </c>
      <c r="AZ8" s="431"/>
      <c r="BA8" s="431"/>
      <c r="BB8" s="432"/>
      <c r="BC8" s="465" t="s">
        <v>2</v>
      </c>
      <c r="BD8" s="466"/>
      <c r="BE8" s="466"/>
      <c r="BF8" s="467"/>
      <c r="BG8" s="430" t="s">
        <v>2</v>
      </c>
      <c r="BH8" s="431"/>
      <c r="BI8" s="431"/>
      <c r="BJ8" s="432"/>
      <c r="BK8" s="430" t="s">
        <v>2</v>
      </c>
      <c r="BL8" s="431"/>
      <c r="BM8" s="431"/>
      <c r="BN8" s="432"/>
    </row>
    <row r="9" spans="1:66" s="40" customFormat="1" ht="31.5" x14ac:dyDescent="0.2">
      <c r="A9" s="464"/>
      <c r="B9" s="47"/>
      <c r="C9" s="146" t="s">
        <v>181</v>
      </c>
      <c r="D9" s="146" t="s">
        <v>353</v>
      </c>
      <c r="E9" s="146" t="s">
        <v>182</v>
      </c>
      <c r="F9" s="146" t="s">
        <v>183</v>
      </c>
      <c r="G9" s="146" t="s">
        <v>181</v>
      </c>
      <c r="H9" s="146" t="s">
        <v>353</v>
      </c>
      <c r="I9" s="146" t="s">
        <v>182</v>
      </c>
      <c r="J9" s="146" t="s">
        <v>183</v>
      </c>
      <c r="K9" s="232" t="s">
        <v>181</v>
      </c>
      <c r="L9" s="232" t="s">
        <v>353</v>
      </c>
      <c r="M9" s="232" t="s">
        <v>182</v>
      </c>
      <c r="N9" s="232" t="s">
        <v>183</v>
      </c>
      <c r="O9" s="146" t="s">
        <v>181</v>
      </c>
      <c r="P9" s="146" t="s">
        <v>353</v>
      </c>
      <c r="Q9" s="146" t="s">
        <v>182</v>
      </c>
      <c r="R9" s="146" t="s">
        <v>183</v>
      </c>
      <c r="S9" s="146" t="s">
        <v>181</v>
      </c>
      <c r="T9" s="146" t="s">
        <v>353</v>
      </c>
      <c r="U9" s="146" t="s">
        <v>182</v>
      </c>
      <c r="V9" s="146" t="s">
        <v>183</v>
      </c>
      <c r="W9" s="232" t="s">
        <v>181</v>
      </c>
      <c r="X9" s="232" t="s">
        <v>353</v>
      </c>
      <c r="Y9" s="232" t="s">
        <v>182</v>
      </c>
      <c r="Z9" s="232" t="s">
        <v>183</v>
      </c>
      <c r="AA9" s="146" t="s">
        <v>181</v>
      </c>
      <c r="AB9" s="146" t="s">
        <v>353</v>
      </c>
      <c r="AC9" s="146" t="s">
        <v>182</v>
      </c>
      <c r="AD9" s="146" t="s">
        <v>183</v>
      </c>
      <c r="AE9" s="146" t="s">
        <v>181</v>
      </c>
      <c r="AF9" s="146" t="s">
        <v>353</v>
      </c>
      <c r="AG9" s="146" t="s">
        <v>182</v>
      </c>
      <c r="AH9" s="146" t="s">
        <v>183</v>
      </c>
      <c r="AI9" s="146" t="s">
        <v>181</v>
      </c>
      <c r="AJ9" s="146" t="s">
        <v>353</v>
      </c>
      <c r="AK9" s="146" t="s">
        <v>182</v>
      </c>
      <c r="AL9" s="146" t="s">
        <v>183</v>
      </c>
      <c r="AM9" s="232" t="s">
        <v>181</v>
      </c>
      <c r="AN9" s="232" t="s">
        <v>353</v>
      </c>
      <c r="AO9" s="232" t="s">
        <v>182</v>
      </c>
      <c r="AP9" s="232" t="s">
        <v>183</v>
      </c>
      <c r="AQ9" s="146" t="s">
        <v>181</v>
      </c>
      <c r="AR9" s="146" t="s">
        <v>353</v>
      </c>
      <c r="AS9" s="146" t="s">
        <v>182</v>
      </c>
      <c r="AT9" s="146" t="s">
        <v>183</v>
      </c>
      <c r="AU9" s="146" t="s">
        <v>181</v>
      </c>
      <c r="AV9" s="146" t="s">
        <v>353</v>
      </c>
      <c r="AW9" s="146" t="s">
        <v>182</v>
      </c>
      <c r="AX9" s="146" t="s">
        <v>183</v>
      </c>
      <c r="AY9" s="146" t="s">
        <v>181</v>
      </c>
      <c r="AZ9" s="146" t="s">
        <v>353</v>
      </c>
      <c r="BA9" s="146" t="s">
        <v>182</v>
      </c>
      <c r="BB9" s="146" t="s">
        <v>183</v>
      </c>
      <c r="BC9" s="232" t="s">
        <v>181</v>
      </c>
      <c r="BD9" s="232" t="s">
        <v>353</v>
      </c>
      <c r="BE9" s="232" t="s">
        <v>182</v>
      </c>
      <c r="BF9" s="232" t="s">
        <v>183</v>
      </c>
      <c r="BG9" s="146" t="s">
        <v>181</v>
      </c>
      <c r="BH9" s="146" t="s">
        <v>353</v>
      </c>
      <c r="BI9" s="146" t="s">
        <v>182</v>
      </c>
      <c r="BJ9" s="146" t="s">
        <v>183</v>
      </c>
      <c r="BK9" s="146" t="s">
        <v>181</v>
      </c>
      <c r="BL9" s="146" t="s">
        <v>353</v>
      </c>
      <c r="BM9" s="146" t="s">
        <v>182</v>
      </c>
      <c r="BN9" s="146" t="s">
        <v>183</v>
      </c>
    </row>
    <row r="10" spans="1:66" x14ac:dyDescent="0.2">
      <c r="A10" s="2">
        <v>1</v>
      </c>
      <c r="B10" s="2">
        <v>3</v>
      </c>
      <c r="C10" s="2">
        <v>4</v>
      </c>
      <c r="D10" s="2">
        <v>5</v>
      </c>
      <c r="E10" s="2">
        <v>6</v>
      </c>
      <c r="F10" s="2">
        <v>7</v>
      </c>
      <c r="G10" s="2">
        <v>4</v>
      </c>
      <c r="H10" s="2">
        <v>5</v>
      </c>
      <c r="I10" s="2">
        <v>6</v>
      </c>
      <c r="J10" s="2">
        <v>7</v>
      </c>
      <c r="K10" s="1">
        <v>4</v>
      </c>
      <c r="L10" s="2">
        <v>5</v>
      </c>
      <c r="M10" s="2">
        <v>6</v>
      </c>
      <c r="N10" s="2">
        <v>7</v>
      </c>
      <c r="O10" s="2">
        <v>4</v>
      </c>
      <c r="P10" s="2">
        <v>5</v>
      </c>
      <c r="Q10" s="2">
        <v>6</v>
      </c>
      <c r="R10" s="2">
        <v>7</v>
      </c>
      <c r="S10" s="2">
        <v>4</v>
      </c>
      <c r="T10" s="2">
        <v>5</v>
      </c>
      <c r="U10" s="2">
        <v>6</v>
      </c>
      <c r="V10" s="2">
        <v>7</v>
      </c>
      <c r="W10" s="1">
        <v>4</v>
      </c>
      <c r="X10" s="2">
        <v>5</v>
      </c>
      <c r="Y10" s="2">
        <v>6</v>
      </c>
      <c r="Z10" s="2">
        <v>7</v>
      </c>
      <c r="AA10" s="2">
        <v>4</v>
      </c>
      <c r="AB10" s="2">
        <v>5</v>
      </c>
      <c r="AC10" s="2">
        <v>6</v>
      </c>
      <c r="AD10" s="2">
        <v>7</v>
      </c>
      <c r="AE10" s="2">
        <v>4</v>
      </c>
      <c r="AF10" s="2">
        <v>5</v>
      </c>
      <c r="AG10" s="2">
        <v>6</v>
      </c>
      <c r="AH10" s="2">
        <v>7</v>
      </c>
      <c r="AI10" s="2">
        <v>4</v>
      </c>
      <c r="AJ10" s="2">
        <v>5</v>
      </c>
      <c r="AK10" s="2">
        <v>6</v>
      </c>
      <c r="AL10" s="2">
        <v>7</v>
      </c>
      <c r="AM10" s="2">
        <v>4</v>
      </c>
      <c r="AN10" s="2">
        <v>5</v>
      </c>
      <c r="AO10" s="2">
        <v>6</v>
      </c>
      <c r="AP10" s="148">
        <v>7</v>
      </c>
      <c r="AQ10" s="2">
        <v>4</v>
      </c>
      <c r="AR10" s="2">
        <v>5</v>
      </c>
      <c r="AS10" s="226">
        <v>6</v>
      </c>
      <c r="AT10" s="2">
        <v>7</v>
      </c>
      <c r="AU10" s="2">
        <v>4</v>
      </c>
      <c r="AV10" s="2">
        <v>5</v>
      </c>
      <c r="AW10" s="226">
        <v>6</v>
      </c>
      <c r="AX10" s="2">
        <v>7</v>
      </c>
      <c r="AY10" s="2">
        <v>4</v>
      </c>
      <c r="AZ10" s="2">
        <v>5</v>
      </c>
      <c r="BA10" s="2">
        <v>6</v>
      </c>
      <c r="BB10" s="2">
        <v>7</v>
      </c>
      <c r="BC10" s="1">
        <v>4</v>
      </c>
      <c r="BD10" s="2">
        <v>5</v>
      </c>
      <c r="BE10" s="2">
        <v>6</v>
      </c>
      <c r="BF10" s="148">
        <v>7</v>
      </c>
      <c r="BG10" s="2">
        <v>4</v>
      </c>
      <c r="BH10" s="2">
        <v>5</v>
      </c>
      <c r="BI10" s="2">
        <v>6</v>
      </c>
      <c r="BJ10" s="2">
        <v>7</v>
      </c>
      <c r="BK10" s="1">
        <v>4</v>
      </c>
      <c r="BL10" s="2">
        <v>5</v>
      </c>
      <c r="BM10" s="2">
        <v>6</v>
      </c>
      <c r="BN10" s="148">
        <v>7</v>
      </c>
    </row>
    <row r="11" spans="1:66" s="22" customFormat="1" ht="14.1" customHeight="1" x14ac:dyDescent="0.2">
      <c r="A11" s="149" t="s">
        <v>124</v>
      </c>
      <c r="B11" s="19"/>
      <c r="C11" s="20"/>
      <c r="D11" s="20"/>
      <c r="E11" s="20"/>
      <c r="F11" s="21"/>
      <c r="G11" s="20"/>
      <c r="H11" s="20"/>
      <c r="I11" s="20"/>
      <c r="J11" s="21"/>
      <c r="K11" s="222"/>
      <c r="L11" s="222"/>
      <c r="M11" s="222"/>
      <c r="N11" s="222"/>
      <c r="O11" s="20"/>
      <c r="P11" s="20"/>
      <c r="Q11" s="20"/>
      <c r="R11" s="21"/>
      <c r="S11" s="20"/>
      <c r="T11" s="20"/>
      <c r="U11" s="20"/>
      <c r="V11" s="21"/>
      <c r="W11" s="23"/>
      <c r="X11" s="23"/>
      <c r="Y11" s="23"/>
      <c r="Z11" s="23"/>
      <c r="AA11" s="20"/>
      <c r="AB11" s="20"/>
      <c r="AC11" s="20"/>
      <c r="AD11" s="21"/>
      <c r="AE11" s="20"/>
      <c r="AF11" s="20"/>
      <c r="AG11" s="20"/>
      <c r="AH11" s="21"/>
      <c r="AI11" s="20"/>
      <c r="AJ11" s="20"/>
      <c r="AK11" s="20"/>
      <c r="AL11" s="21"/>
      <c r="AM11" s="236"/>
      <c r="AN11" s="236"/>
      <c r="AO11" s="236"/>
      <c r="AP11" s="235"/>
      <c r="AQ11" s="20"/>
      <c r="AR11" s="20"/>
      <c r="AS11" s="230"/>
      <c r="AT11" s="21"/>
      <c r="AU11" s="20"/>
      <c r="AV11" s="20"/>
      <c r="AW11" s="230"/>
      <c r="AX11" s="21"/>
      <c r="AY11" s="20"/>
      <c r="AZ11" s="20"/>
      <c r="BA11" s="20"/>
      <c r="BB11" s="21"/>
      <c r="BC11" s="23"/>
      <c r="BD11" s="23"/>
      <c r="BE11" s="23"/>
      <c r="BF11" s="210"/>
      <c r="BG11" s="20"/>
      <c r="BH11" s="20"/>
      <c r="BI11" s="20"/>
      <c r="BJ11" s="21"/>
      <c r="BK11" s="210"/>
      <c r="BL11" s="210"/>
      <c r="BM11" s="210"/>
      <c r="BN11" s="210"/>
    </row>
    <row r="12" spans="1:66" s="22" customFormat="1" ht="14.1" customHeight="1" x14ac:dyDescent="0.2">
      <c r="A12" s="112" t="s">
        <v>125</v>
      </c>
      <c r="B12" s="196" t="s">
        <v>3</v>
      </c>
      <c r="C12" s="117">
        <f t="shared" ref="C12:D12" si="0">C14+C15+C16+C17</f>
        <v>54743</v>
      </c>
      <c r="D12" s="117">
        <f t="shared" si="0"/>
        <v>54743</v>
      </c>
      <c r="E12" s="117">
        <f t="shared" ref="E12" si="1">E14+E15+E16+E17</f>
        <v>72269</v>
      </c>
      <c r="F12" s="117">
        <f>IF(D12=0,0,E12/D12*100)</f>
        <v>132.01505215278667</v>
      </c>
      <c r="G12" s="117">
        <f t="shared" ref="G12" si="2">G14+G15+G16+G17</f>
        <v>0</v>
      </c>
      <c r="H12" s="115">
        <f t="shared" ref="H12:H77" si="3">ROUND(G12/12*$A$7,0)</f>
        <v>0</v>
      </c>
      <c r="I12" s="117">
        <f t="shared" ref="I12" si="4">I14+I15+I16+I17</f>
        <v>0</v>
      </c>
      <c r="J12" s="117">
        <f>IF(H12=0,0,I12/H12*100)</f>
        <v>0</v>
      </c>
      <c r="K12" s="235">
        <f>G12+C12</f>
        <v>54743</v>
      </c>
      <c r="L12" s="235">
        <f>H12+D12</f>
        <v>54743</v>
      </c>
      <c r="M12" s="235">
        <f>I12+E12</f>
        <v>72269</v>
      </c>
      <c r="N12" s="235">
        <f>IF(L12=0,0,M12/L12*100)</f>
        <v>132.01505215278667</v>
      </c>
      <c r="O12" s="117">
        <f t="shared" ref="O12:T12" si="5">O14+O15+O16+O17</f>
        <v>21378</v>
      </c>
      <c r="P12" s="117">
        <f t="shared" si="5"/>
        <v>21378</v>
      </c>
      <c r="Q12" s="117">
        <f t="shared" ref="Q12:U12" si="6">Q14+Q15+Q16+Q17</f>
        <v>43107</v>
      </c>
      <c r="R12" s="117">
        <f>IF(P12=0,0,Q12/P12*100)</f>
        <v>201.64187482458601</v>
      </c>
      <c r="S12" s="117">
        <f t="shared" si="5"/>
        <v>7026</v>
      </c>
      <c r="T12" s="117">
        <f t="shared" si="5"/>
        <v>7026</v>
      </c>
      <c r="U12" s="117">
        <f t="shared" si="6"/>
        <v>12403</v>
      </c>
      <c r="V12" s="117">
        <f>IF(T12=0,0,U12/T12*100)</f>
        <v>176.53003131226873</v>
      </c>
      <c r="W12" s="210">
        <f>S12+O12</f>
        <v>28404</v>
      </c>
      <c r="X12" s="210">
        <f>T12+P12</f>
        <v>28404</v>
      </c>
      <c r="Y12" s="210">
        <f>U12+Q12</f>
        <v>55510</v>
      </c>
      <c r="Z12" s="210">
        <f>IF(X12=0,0,Y12/X12*100)</f>
        <v>195.43022109562034</v>
      </c>
      <c r="AA12" s="117">
        <f t="shared" ref="AA12:AF12" si="7">AA14+AA15+AA16+AA17</f>
        <v>8669</v>
      </c>
      <c r="AB12" s="117">
        <f t="shared" si="7"/>
        <v>8669</v>
      </c>
      <c r="AC12" s="117">
        <f t="shared" ref="AC12:AG12" si="8">AC14+AC15+AC16+AC17</f>
        <v>13839</v>
      </c>
      <c r="AD12" s="117">
        <f>IF(AB12=0,0,AC12/AB12*100)</f>
        <v>159.63778982581613</v>
      </c>
      <c r="AE12" s="117">
        <f t="shared" si="7"/>
        <v>19690</v>
      </c>
      <c r="AF12" s="117">
        <f t="shared" si="7"/>
        <v>19690</v>
      </c>
      <c r="AG12" s="117">
        <f t="shared" si="8"/>
        <v>15712</v>
      </c>
      <c r="AH12" s="117">
        <f>IF(AF12=0,0,AG12/AF12*100)</f>
        <v>79.796851193499236</v>
      </c>
      <c r="AI12" s="117">
        <f t="shared" ref="AI12" si="9">AI14+AI15+AI16+AI17</f>
        <v>0</v>
      </c>
      <c r="AJ12" s="115">
        <f t="shared" ref="AJ12:AJ77" si="10">ROUND(AI12/12*$A$7,0)</f>
        <v>0</v>
      </c>
      <c r="AK12" s="117">
        <f t="shared" ref="AK12" si="11">AK14+AK15+AK16+AK17</f>
        <v>0</v>
      </c>
      <c r="AL12" s="117">
        <f>IF(AJ12=0,0,AK12/AJ12*100)</f>
        <v>0</v>
      </c>
      <c r="AM12" s="235">
        <f>SUM(AI12,AE12)</f>
        <v>19690</v>
      </c>
      <c r="AN12" s="235">
        <f>SUM(AJ12,AF12)</f>
        <v>19690</v>
      </c>
      <c r="AO12" s="235">
        <f>SUM(AK12,AG12)</f>
        <v>15712</v>
      </c>
      <c r="AP12" s="235">
        <f>IF(AN12=0,0,AO12/AN12*100)</f>
        <v>79.796851193499236</v>
      </c>
      <c r="AQ12" s="117">
        <f t="shared" ref="AQ12" si="12">AQ14+AQ15+AQ16+AQ17</f>
        <v>4361</v>
      </c>
      <c r="AR12" s="115">
        <f>AQ12</f>
        <v>4361</v>
      </c>
      <c r="AS12" s="258">
        <f t="shared" ref="AS12" si="13">AS14+AS15+AS16+AS17</f>
        <v>4361</v>
      </c>
      <c r="AT12" s="117">
        <f>IF(AR12=0,0,AS12/AR12*100)</f>
        <v>100</v>
      </c>
      <c r="AU12" s="117">
        <f t="shared" ref="AU12" si="14">AU14+AU15+AU16+AU17</f>
        <v>587</v>
      </c>
      <c r="AV12" s="115">
        <f>AU12</f>
        <v>587</v>
      </c>
      <c r="AW12" s="258">
        <f t="shared" ref="AW12" si="15">AW14+AW15+AW16+AW17</f>
        <v>587</v>
      </c>
      <c r="AX12" s="117">
        <f>IF(AV12=0,0,AW12/AV12*100)</f>
        <v>100</v>
      </c>
      <c r="AY12" s="117">
        <f t="shared" ref="AY12:AZ12" si="16">AY14+AY15+AY16+AY17</f>
        <v>27583</v>
      </c>
      <c r="AZ12" s="117">
        <f t="shared" si="16"/>
        <v>27583</v>
      </c>
      <c r="BA12" s="117">
        <f t="shared" ref="BA12" si="17">BA14+BA15+BA16+BA17</f>
        <v>57804</v>
      </c>
      <c r="BB12" s="117">
        <f>IF(AZ12=0,0,BA12/AZ12*100)</f>
        <v>209.56386179893411</v>
      </c>
      <c r="BC12" s="210">
        <f>AU12+AQ12+AY12</f>
        <v>32531</v>
      </c>
      <c r="BD12" s="210">
        <f>AV12+AR12+AZ12</f>
        <v>32531</v>
      </c>
      <c r="BE12" s="210">
        <f>AW12+AS12+BA12</f>
        <v>62752</v>
      </c>
      <c r="BF12" s="210">
        <f>IF(BD12=0,0,BE12/BD12*100)</f>
        <v>192.89908087670221</v>
      </c>
      <c r="BG12" s="117">
        <f t="shared" ref="BG12:BH12" si="18">BG14+BG15+BG16+BG17</f>
        <v>3791</v>
      </c>
      <c r="BH12" s="117">
        <f t="shared" si="18"/>
        <v>3791</v>
      </c>
      <c r="BI12" s="117">
        <f t="shared" ref="BI12" si="19">BI14+BI15+BI16+BI17</f>
        <v>13540</v>
      </c>
      <c r="BJ12" s="117">
        <f>IF(BH12=0,0,BI12/BH12*100)</f>
        <v>357.16169876022155</v>
      </c>
      <c r="BK12" s="210">
        <f>SUM(BG12,BC12,AM12,AA12,W12,K12)</f>
        <v>147828</v>
      </c>
      <c r="BL12" s="210">
        <f>SUM(BH12,BD12,AN12,AB12,X12,L12)</f>
        <v>147828</v>
      </c>
      <c r="BM12" s="210">
        <f>SUM(BI12,BE12,AO12,AC12,Y12,M12)</f>
        <v>233622</v>
      </c>
      <c r="BN12" s="210">
        <f>IF(BL12=0,0,BM12/BL12*100)</f>
        <v>158.0363665881971</v>
      </c>
    </row>
    <row r="13" spans="1:66" s="22" customFormat="1" ht="15.75" x14ac:dyDescent="0.2">
      <c r="A13" s="154" t="s">
        <v>126</v>
      </c>
      <c r="B13" s="197" t="s">
        <v>3</v>
      </c>
      <c r="C13" s="99"/>
      <c r="D13" s="97">
        <f t="shared" ref="D13:D77" si="20">ROUND(C13/12*$A$7,0)</f>
        <v>0</v>
      </c>
      <c r="E13" s="99"/>
      <c r="F13" s="99">
        <f t="shared" ref="F13:F78" si="21">IF(D13=0,0,E13/D13*100)</f>
        <v>0</v>
      </c>
      <c r="G13" s="99"/>
      <c r="H13" s="97">
        <f t="shared" si="3"/>
        <v>0</v>
      </c>
      <c r="I13" s="99"/>
      <c r="J13" s="99">
        <f t="shared" ref="J13:J78" si="22">IF(H13=0,0,I13/H13*100)</f>
        <v>0</v>
      </c>
      <c r="K13" s="235">
        <f t="shared" ref="K13:K78" si="23">G13+C13</f>
        <v>0</v>
      </c>
      <c r="L13" s="235">
        <f t="shared" ref="L13:L78" si="24">H13+D13</f>
        <v>0</v>
      </c>
      <c r="M13" s="235">
        <f t="shared" ref="M13:M78" si="25">I13+E13</f>
        <v>0</v>
      </c>
      <c r="N13" s="235">
        <f t="shared" ref="N13:N78" si="26">IF(L13=0,0,M13/L13*100)</f>
        <v>0</v>
      </c>
      <c r="O13" s="99"/>
      <c r="P13" s="97">
        <f t="shared" ref="P13:T27" si="27">ROUND(O13/12*$A$7,0)</f>
        <v>0</v>
      </c>
      <c r="Q13" s="99"/>
      <c r="R13" s="99">
        <f t="shared" ref="R13:R78" si="28">IF(P13=0,0,Q13/P13*100)</f>
        <v>0</v>
      </c>
      <c r="S13" s="99"/>
      <c r="T13" s="97">
        <f t="shared" si="27"/>
        <v>0</v>
      </c>
      <c r="U13" s="99"/>
      <c r="V13" s="99">
        <f t="shared" ref="V13:V78" si="29">IF(T13=0,0,U13/T13*100)</f>
        <v>0</v>
      </c>
      <c r="W13" s="210">
        <f t="shared" ref="W13:W78" si="30">S13+O13</f>
        <v>0</v>
      </c>
      <c r="X13" s="210">
        <f t="shared" ref="X13:X78" si="31">T13+P13</f>
        <v>0</v>
      </c>
      <c r="Y13" s="210">
        <f t="shared" ref="Y13:Y78" si="32">U13+Q13</f>
        <v>0</v>
      </c>
      <c r="Z13" s="210">
        <f t="shared" ref="Z13:Z78" si="33">IF(X13=0,0,Y13/X13*100)</f>
        <v>0</v>
      </c>
      <c r="AA13" s="99"/>
      <c r="AB13" s="97">
        <f t="shared" ref="AB13:AF27" si="34">ROUND(AA13/12*$A$7,0)</f>
        <v>0</v>
      </c>
      <c r="AC13" s="99"/>
      <c r="AD13" s="99">
        <f t="shared" ref="AD13:AD78" si="35">IF(AB13=0,0,AC13/AB13*100)</f>
        <v>0</v>
      </c>
      <c r="AE13" s="99"/>
      <c r="AF13" s="97">
        <f t="shared" si="34"/>
        <v>0</v>
      </c>
      <c r="AG13" s="99"/>
      <c r="AH13" s="99">
        <f t="shared" ref="AH13:AH78" si="36">IF(AF13=0,0,AG13/AF13*100)</f>
        <v>0</v>
      </c>
      <c r="AI13" s="99"/>
      <c r="AJ13" s="97">
        <f t="shared" si="10"/>
        <v>0</v>
      </c>
      <c r="AK13" s="99"/>
      <c r="AL13" s="99">
        <f t="shared" ref="AL13:AL78" si="37">IF(AJ13=0,0,AK13/AJ13*100)</f>
        <v>0</v>
      </c>
      <c r="AM13" s="235">
        <f t="shared" ref="AM13:AM78" si="38">SUM(AI13,AE13)</f>
        <v>0</v>
      </c>
      <c r="AN13" s="235">
        <f t="shared" ref="AN13:AN78" si="39">SUM(AJ13,AF13)</f>
        <v>0</v>
      </c>
      <c r="AO13" s="235">
        <f t="shared" ref="AO13:AO78" si="40">SUM(AK13,AG13)</f>
        <v>0</v>
      </c>
      <c r="AP13" s="235">
        <f t="shared" ref="AP13:AP78" si="41">IF(AN13=0,0,AO13/AN13*100)</f>
        <v>0</v>
      </c>
      <c r="AQ13" s="99"/>
      <c r="AR13" s="97">
        <f t="shared" ref="AR13:AR24" si="42">ROUND(AQ13/12*$A$7,0)</f>
        <v>0</v>
      </c>
      <c r="AS13" s="258"/>
      <c r="AT13" s="99">
        <f t="shared" ref="AT13:AT78" si="43">IF(AR13=0,0,AS13/AR13*100)</f>
        <v>0</v>
      </c>
      <c r="AU13" s="99"/>
      <c r="AV13" s="115">
        <f t="shared" ref="AV13:AV78" si="44">AU13</f>
        <v>0</v>
      </c>
      <c r="AW13" s="258"/>
      <c r="AX13" s="99">
        <f t="shared" ref="AX13:AX78" si="45">IF(AV13=0,0,AW13/AV13*100)</f>
        <v>0</v>
      </c>
      <c r="AY13" s="99"/>
      <c r="AZ13" s="331"/>
      <c r="BA13" s="99"/>
      <c r="BB13" s="99">
        <f t="shared" ref="BB13:BB78" si="46">IF(AZ13=0,0,BA13/AZ13*100)</f>
        <v>0</v>
      </c>
      <c r="BC13" s="210">
        <f t="shared" ref="BC13:BC78" si="47">AU13+AQ13+AY13</f>
        <v>0</v>
      </c>
      <c r="BD13" s="210">
        <f t="shared" ref="BD13:BD78" si="48">AV13+AR13+AZ13</f>
        <v>0</v>
      </c>
      <c r="BE13" s="210">
        <f t="shared" ref="BE13:BE78" si="49">AW13+AS13+BA13</f>
        <v>0</v>
      </c>
      <c r="BF13" s="210">
        <f t="shared" ref="BF13:BF78" si="50">IF(BD13=0,0,BE13/BD13*100)</f>
        <v>0</v>
      </c>
      <c r="BG13" s="99"/>
      <c r="BH13" s="97">
        <f t="shared" ref="BH13:BH77" si="51">ROUND(BG13/12*$A$7,0)</f>
        <v>0</v>
      </c>
      <c r="BI13" s="99"/>
      <c r="BJ13" s="99">
        <f t="shared" ref="BJ13:BJ78" si="52">IF(BH13=0,0,BI13/BH13*100)</f>
        <v>0</v>
      </c>
      <c r="BK13" s="210">
        <f t="shared" ref="BK13:BK78" si="53">SUM(BG13,BC13,AM13,AA13,W13,K13)</f>
        <v>0</v>
      </c>
      <c r="BL13" s="210">
        <f t="shared" ref="BL13:BL78" si="54">SUM(BH13,BD13,AN13,AB13,X13,L13)</f>
        <v>0</v>
      </c>
      <c r="BM13" s="210">
        <f t="shared" ref="BM13:BM78" si="55">SUM(BI13,BE13,AO13,AC13,Y13,M13)</f>
        <v>0</v>
      </c>
      <c r="BN13" s="210">
        <f t="shared" ref="BN13:BN78" si="56">IF(BL13=0,0,BM13/BL13*100)</f>
        <v>0</v>
      </c>
    </row>
    <row r="14" spans="1:66" s="22" customFormat="1" ht="15.75" x14ac:dyDescent="0.2">
      <c r="A14" s="154" t="s">
        <v>127</v>
      </c>
      <c r="B14" s="197" t="s">
        <v>3</v>
      </c>
      <c r="C14" s="99"/>
      <c r="D14" s="97">
        <f t="shared" si="20"/>
        <v>0</v>
      </c>
      <c r="E14" s="99"/>
      <c r="F14" s="99">
        <f t="shared" si="21"/>
        <v>0</v>
      </c>
      <c r="G14" s="99"/>
      <c r="H14" s="97">
        <f t="shared" si="3"/>
        <v>0</v>
      </c>
      <c r="I14" s="99"/>
      <c r="J14" s="99">
        <f t="shared" si="22"/>
        <v>0</v>
      </c>
      <c r="K14" s="235">
        <f t="shared" si="23"/>
        <v>0</v>
      </c>
      <c r="L14" s="235">
        <f t="shared" si="24"/>
        <v>0</v>
      </c>
      <c r="M14" s="235">
        <f t="shared" si="25"/>
        <v>0</v>
      </c>
      <c r="N14" s="235">
        <f t="shared" si="26"/>
        <v>0</v>
      </c>
      <c r="O14" s="99"/>
      <c r="P14" s="97">
        <f t="shared" si="27"/>
        <v>0</v>
      </c>
      <c r="Q14" s="99"/>
      <c r="R14" s="99">
        <f t="shared" si="28"/>
        <v>0</v>
      </c>
      <c r="S14" s="99"/>
      <c r="T14" s="97">
        <f t="shared" si="27"/>
        <v>0</v>
      </c>
      <c r="U14" s="99"/>
      <c r="V14" s="99">
        <f t="shared" si="29"/>
        <v>0</v>
      </c>
      <c r="W14" s="210">
        <f t="shared" si="30"/>
        <v>0</v>
      </c>
      <c r="X14" s="210">
        <f t="shared" si="31"/>
        <v>0</v>
      </c>
      <c r="Y14" s="210">
        <f t="shared" si="32"/>
        <v>0</v>
      </c>
      <c r="Z14" s="210">
        <f t="shared" si="33"/>
        <v>0</v>
      </c>
      <c r="AA14" s="99"/>
      <c r="AB14" s="97">
        <f t="shared" si="34"/>
        <v>0</v>
      </c>
      <c r="AC14" s="99"/>
      <c r="AD14" s="99">
        <f t="shared" si="35"/>
        <v>0</v>
      </c>
      <c r="AE14" s="99"/>
      <c r="AF14" s="97">
        <f t="shared" si="34"/>
        <v>0</v>
      </c>
      <c r="AG14" s="99"/>
      <c r="AH14" s="99">
        <f t="shared" si="36"/>
        <v>0</v>
      </c>
      <c r="AI14" s="99"/>
      <c r="AJ14" s="97">
        <f t="shared" si="10"/>
        <v>0</v>
      </c>
      <c r="AK14" s="99"/>
      <c r="AL14" s="99">
        <f t="shared" si="37"/>
        <v>0</v>
      </c>
      <c r="AM14" s="235">
        <f t="shared" si="38"/>
        <v>0</v>
      </c>
      <c r="AN14" s="235">
        <f t="shared" si="39"/>
        <v>0</v>
      </c>
      <c r="AO14" s="235">
        <f t="shared" si="40"/>
        <v>0</v>
      </c>
      <c r="AP14" s="235">
        <f t="shared" si="41"/>
        <v>0</v>
      </c>
      <c r="AQ14" s="99"/>
      <c r="AR14" s="97">
        <f t="shared" si="42"/>
        <v>0</v>
      </c>
      <c r="AS14" s="258"/>
      <c r="AT14" s="99">
        <f t="shared" si="43"/>
        <v>0</v>
      </c>
      <c r="AU14" s="99"/>
      <c r="AV14" s="115">
        <f t="shared" si="44"/>
        <v>0</v>
      </c>
      <c r="AW14" s="258"/>
      <c r="AX14" s="99">
        <f t="shared" si="45"/>
        <v>0</v>
      </c>
      <c r="AY14" s="99"/>
      <c r="AZ14" s="331"/>
      <c r="BA14" s="99"/>
      <c r="BB14" s="99">
        <f t="shared" si="46"/>
        <v>0</v>
      </c>
      <c r="BC14" s="210">
        <f t="shared" si="47"/>
        <v>0</v>
      </c>
      <c r="BD14" s="210">
        <f t="shared" si="48"/>
        <v>0</v>
      </c>
      <c r="BE14" s="210">
        <f t="shared" si="49"/>
        <v>0</v>
      </c>
      <c r="BF14" s="210">
        <f t="shared" si="50"/>
        <v>0</v>
      </c>
      <c r="BG14" s="99"/>
      <c r="BH14" s="97">
        <f t="shared" si="51"/>
        <v>0</v>
      </c>
      <c r="BI14" s="99"/>
      <c r="BJ14" s="99">
        <f t="shared" si="52"/>
        <v>0</v>
      </c>
      <c r="BK14" s="210">
        <f t="shared" si="53"/>
        <v>0</v>
      </c>
      <c r="BL14" s="210">
        <f t="shared" si="54"/>
        <v>0</v>
      </c>
      <c r="BM14" s="210">
        <f t="shared" si="55"/>
        <v>0</v>
      </c>
      <c r="BN14" s="210">
        <f t="shared" si="56"/>
        <v>0</v>
      </c>
    </row>
    <row r="15" spans="1:66" s="22" customFormat="1" ht="31.5" x14ac:dyDescent="0.2">
      <c r="A15" s="154" t="s">
        <v>128</v>
      </c>
      <c r="B15" s="197" t="s">
        <v>3</v>
      </c>
      <c r="C15" s="99">
        <v>18436</v>
      </c>
      <c r="D15" s="97">
        <f t="shared" si="20"/>
        <v>18436</v>
      </c>
      <c r="E15" s="99">
        <v>6567</v>
      </c>
      <c r="F15" s="99">
        <f t="shared" si="21"/>
        <v>35.620525059665873</v>
      </c>
      <c r="G15" s="99"/>
      <c r="H15" s="97">
        <f t="shared" si="3"/>
        <v>0</v>
      </c>
      <c r="I15" s="99"/>
      <c r="J15" s="99">
        <f t="shared" si="22"/>
        <v>0</v>
      </c>
      <c r="K15" s="235">
        <f t="shared" si="23"/>
        <v>18436</v>
      </c>
      <c r="L15" s="235">
        <f t="shared" si="24"/>
        <v>18436</v>
      </c>
      <c r="M15" s="235">
        <f t="shared" si="25"/>
        <v>6567</v>
      </c>
      <c r="N15" s="235">
        <f t="shared" si="26"/>
        <v>35.620525059665873</v>
      </c>
      <c r="O15" s="99">
        <v>5311</v>
      </c>
      <c r="P15" s="97">
        <f t="shared" si="27"/>
        <v>5311</v>
      </c>
      <c r="Q15" s="99">
        <v>2105</v>
      </c>
      <c r="R15" s="99">
        <f t="shared" si="28"/>
        <v>39.634720391639995</v>
      </c>
      <c r="S15" s="99">
        <v>2000</v>
      </c>
      <c r="T15" s="97">
        <f t="shared" si="27"/>
        <v>2000</v>
      </c>
      <c r="U15" s="99">
        <v>624</v>
      </c>
      <c r="V15" s="99">
        <f t="shared" si="29"/>
        <v>31.2</v>
      </c>
      <c r="W15" s="210">
        <f t="shared" si="30"/>
        <v>7311</v>
      </c>
      <c r="X15" s="210">
        <f t="shared" si="31"/>
        <v>7311</v>
      </c>
      <c r="Y15" s="210">
        <f t="shared" si="32"/>
        <v>2729</v>
      </c>
      <c r="Z15" s="210">
        <f t="shared" si="33"/>
        <v>37.327315004787309</v>
      </c>
      <c r="AA15" s="99">
        <v>16</v>
      </c>
      <c r="AB15" s="97">
        <f t="shared" si="34"/>
        <v>16</v>
      </c>
      <c r="AC15" s="99">
        <v>0</v>
      </c>
      <c r="AD15" s="99">
        <f t="shared" si="35"/>
        <v>0</v>
      </c>
      <c r="AE15" s="99">
        <v>800</v>
      </c>
      <c r="AF15" s="97">
        <f t="shared" si="34"/>
        <v>800</v>
      </c>
      <c r="AG15" s="99">
        <v>90</v>
      </c>
      <c r="AH15" s="99">
        <f t="shared" si="36"/>
        <v>11.25</v>
      </c>
      <c r="AI15" s="99"/>
      <c r="AJ15" s="97">
        <f t="shared" si="10"/>
        <v>0</v>
      </c>
      <c r="AK15" s="99"/>
      <c r="AL15" s="99">
        <f t="shared" si="37"/>
        <v>0</v>
      </c>
      <c r="AM15" s="235">
        <f t="shared" si="38"/>
        <v>800</v>
      </c>
      <c r="AN15" s="235">
        <f t="shared" si="39"/>
        <v>800</v>
      </c>
      <c r="AO15" s="235">
        <f t="shared" si="40"/>
        <v>90</v>
      </c>
      <c r="AP15" s="235">
        <f t="shared" si="41"/>
        <v>11.25</v>
      </c>
      <c r="AQ15" s="99"/>
      <c r="AR15" s="115">
        <f t="shared" ref="AR15:AR23" si="57">AQ15</f>
        <v>0</v>
      </c>
      <c r="AS15" s="258"/>
      <c r="AT15" s="99">
        <f t="shared" si="43"/>
        <v>0</v>
      </c>
      <c r="AU15" s="99">
        <v>15</v>
      </c>
      <c r="AV15" s="115">
        <f t="shared" si="44"/>
        <v>15</v>
      </c>
      <c r="AW15" s="258">
        <v>15</v>
      </c>
      <c r="AX15" s="99">
        <f t="shared" si="45"/>
        <v>100</v>
      </c>
      <c r="AY15" s="99">
        <v>20387</v>
      </c>
      <c r="AZ15" s="331">
        <v>20387</v>
      </c>
      <c r="BA15" s="99"/>
      <c r="BB15" s="99">
        <f t="shared" si="46"/>
        <v>0</v>
      </c>
      <c r="BC15" s="210">
        <f t="shared" si="47"/>
        <v>20402</v>
      </c>
      <c r="BD15" s="210">
        <f t="shared" si="48"/>
        <v>20402</v>
      </c>
      <c r="BE15" s="210">
        <f t="shared" si="49"/>
        <v>15</v>
      </c>
      <c r="BF15" s="210">
        <f t="shared" si="50"/>
        <v>7.3522203705519068E-2</v>
      </c>
      <c r="BG15" s="99">
        <v>600</v>
      </c>
      <c r="BH15" s="97">
        <f t="shared" si="51"/>
        <v>600</v>
      </c>
      <c r="BI15" s="99">
        <v>1</v>
      </c>
      <c r="BJ15" s="99">
        <f t="shared" si="52"/>
        <v>0.16666666666666669</v>
      </c>
      <c r="BK15" s="210">
        <f t="shared" si="53"/>
        <v>47565</v>
      </c>
      <c r="BL15" s="210">
        <f t="shared" si="54"/>
        <v>47565</v>
      </c>
      <c r="BM15" s="210">
        <f t="shared" si="55"/>
        <v>9402</v>
      </c>
      <c r="BN15" s="210">
        <f t="shared" si="56"/>
        <v>19.766635130873542</v>
      </c>
    </row>
    <row r="16" spans="1:66" ht="14.1" customHeight="1" x14ac:dyDescent="0.2">
      <c r="A16" s="154" t="s">
        <v>129</v>
      </c>
      <c r="B16" s="197" t="s">
        <v>3</v>
      </c>
      <c r="C16" s="99">
        <v>440</v>
      </c>
      <c r="D16" s="97">
        <f t="shared" si="20"/>
        <v>440</v>
      </c>
      <c r="E16" s="99">
        <v>315</v>
      </c>
      <c r="F16" s="99">
        <f t="shared" si="21"/>
        <v>71.590909090909093</v>
      </c>
      <c r="G16" s="99"/>
      <c r="H16" s="97">
        <f t="shared" si="3"/>
        <v>0</v>
      </c>
      <c r="I16" s="99"/>
      <c r="J16" s="99">
        <f t="shared" si="22"/>
        <v>0</v>
      </c>
      <c r="K16" s="235">
        <f t="shared" si="23"/>
        <v>440</v>
      </c>
      <c r="L16" s="235">
        <f t="shared" si="24"/>
        <v>440</v>
      </c>
      <c r="M16" s="235">
        <f t="shared" si="25"/>
        <v>315</v>
      </c>
      <c r="N16" s="235">
        <f t="shared" si="26"/>
        <v>71.590909090909093</v>
      </c>
      <c r="O16" s="99">
        <v>200</v>
      </c>
      <c r="P16" s="97">
        <f t="shared" si="27"/>
        <v>200</v>
      </c>
      <c r="Q16" s="99">
        <v>165</v>
      </c>
      <c r="R16" s="99">
        <f t="shared" si="28"/>
        <v>82.5</v>
      </c>
      <c r="S16" s="99"/>
      <c r="T16" s="97">
        <f t="shared" si="27"/>
        <v>0</v>
      </c>
      <c r="U16" s="99"/>
      <c r="V16" s="99">
        <f t="shared" si="29"/>
        <v>0</v>
      </c>
      <c r="W16" s="210">
        <f t="shared" si="30"/>
        <v>200</v>
      </c>
      <c r="X16" s="210">
        <f t="shared" si="31"/>
        <v>200</v>
      </c>
      <c r="Y16" s="210">
        <f t="shared" si="32"/>
        <v>165</v>
      </c>
      <c r="Z16" s="210">
        <f t="shared" si="33"/>
        <v>82.5</v>
      </c>
      <c r="AA16" s="99">
        <v>28</v>
      </c>
      <c r="AB16" s="97">
        <f t="shared" si="34"/>
        <v>28</v>
      </c>
      <c r="AC16" s="99">
        <v>0</v>
      </c>
      <c r="AD16" s="99">
        <f t="shared" si="35"/>
        <v>0</v>
      </c>
      <c r="AE16" s="99">
        <v>300</v>
      </c>
      <c r="AF16" s="97">
        <f t="shared" si="34"/>
        <v>300</v>
      </c>
      <c r="AG16" s="99">
        <v>272</v>
      </c>
      <c r="AH16" s="99">
        <f t="shared" si="36"/>
        <v>90.666666666666657</v>
      </c>
      <c r="AI16" s="99"/>
      <c r="AJ16" s="97">
        <f t="shared" si="10"/>
        <v>0</v>
      </c>
      <c r="AK16" s="99"/>
      <c r="AL16" s="99">
        <f t="shared" si="37"/>
        <v>0</v>
      </c>
      <c r="AM16" s="235">
        <f t="shared" si="38"/>
        <v>300</v>
      </c>
      <c r="AN16" s="235">
        <f t="shared" si="39"/>
        <v>300</v>
      </c>
      <c r="AO16" s="235">
        <f t="shared" si="40"/>
        <v>272</v>
      </c>
      <c r="AP16" s="235">
        <f t="shared" si="41"/>
        <v>90.666666666666657</v>
      </c>
      <c r="AQ16" s="99"/>
      <c r="AR16" s="115">
        <f t="shared" si="57"/>
        <v>0</v>
      </c>
      <c r="AS16" s="258"/>
      <c r="AT16" s="99">
        <f t="shared" si="43"/>
        <v>0</v>
      </c>
      <c r="AU16" s="99"/>
      <c r="AV16" s="115">
        <f t="shared" si="44"/>
        <v>0</v>
      </c>
      <c r="AW16" s="258"/>
      <c r="AX16" s="99">
        <f t="shared" si="45"/>
        <v>0</v>
      </c>
      <c r="AY16" s="99">
        <v>370</v>
      </c>
      <c r="AZ16" s="331">
        <v>370</v>
      </c>
      <c r="BA16" s="99">
        <v>40</v>
      </c>
      <c r="BB16" s="99">
        <f t="shared" si="46"/>
        <v>10.810810810810811</v>
      </c>
      <c r="BC16" s="210">
        <f t="shared" si="47"/>
        <v>370</v>
      </c>
      <c r="BD16" s="210">
        <f t="shared" si="48"/>
        <v>370</v>
      </c>
      <c r="BE16" s="210">
        <f t="shared" si="49"/>
        <v>40</v>
      </c>
      <c r="BF16" s="210">
        <f t="shared" si="50"/>
        <v>10.810810810810811</v>
      </c>
      <c r="BG16" s="99">
        <v>30</v>
      </c>
      <c r="BH16" s="97">
        <f t="shared" si="51"/>
        <v>30</v>
      </c>
      <c r="BI16" s="99">
        <v>0</v>
      </c>
      <c r="BJ16" s="99">
        <f t="shared" si="52"/>
        <v>0</v>
      </c>
      <c r="BK16" s="210">
        <f t="shared" si="53"/>
        <v>1368</v>
      </c>
      <c r="BL16" s="210">
        <f t="shared" si="54"/>
        <v>1368</v>
      </c>
      <c r="BM16" s="210">
        <f t="shared" si="55"/>
        <v>792</v>
      </c>
      <c r="BN16" s="210">
        <f t="shared" si="56"/>
        <v>57.894736842105267</v>
      </c>
    </row>
    <row r="17" spans="1:66" s="17" customFormat="1" ht="15.75" x14ac:dyDescent="0.2">
      <c r="A17" s="154" t="s">
        <v>130</v>
      </c>
      <c r="B17" s="197" t="s">
        <v>3</v>
      </c>
      <c r="C17" s="99">
        <v>35867</v>
      </c>
      <c r="D17" s="97">
        <f t="shared" si="20"/>
        <v>35867</v>
      </c>
      <c r="E17" s="99">
        <v>65387</v>
      </c>
      <c r="F17" s="99">
        <f t="shared" si="21"/>
        <v>182.30406780606128</v>
      </c>
      <c r="G17" s="99"/>
      <c r="H17" s="97">
        <f t="shared" si="3"/>
        <v>0</v>
      </c>
      <c r="I17" s="99"/>
      <c r="J17" s="99">
        <f t="shared" si="22"/>
        <v>0</v>
      </c>
      <c r="K17" s="235">
        <f t="shared" si="23"/>
        <v>35867</v>
      </c>
      <c r="L17" s="235">
        <f t="shared" si="24"/>
        <v>35867</v>
      </c>
      <c r="M17" s="235">
        <f t="shared" si="25"/>
        <v>65387</v>
      </c>
      <c r="N17" s="235">
        <f t="shared" si="26"/>
        <v>182.30406780606128</v>
      </c>
      <c r="O17" s="99">
        <v>15867</v>
      </c>
      <c r="P17" s="97">
        <f t="shared" si="27"/>
        <v>15867</v>
      </c>
      <c r="Q17" s="99">
        <v>40837</v>
      </c>
      <c r="R17" s="99">
        <f t="shared" si="28"/>
        <v>257.37064347387661</v>
      </c>
      <c r="S17" s="99">
        <v>5026</v>
      </c>
      <c r="T17" s="97">
        <f t="shared" si="27"/>
        <v>5026</v>
      </c>
      <c r="U17" s="99">
        <v>11779</v>
      </c>
      <c r="V17" s="99">
        <f t="shared" si="29"/>
        <v>234.36132113012337</v>
      </c>
      <c r="W17" s="210">
        <f t="shared" si="30"/>
        <v>20893</v>
      </c>
      <c r="X17" s="210">
        <f t="shared" si="31"/>
        <v>20893</v>
      </c>
      <c r="Y17" s="210">
        <f t="shared" si="32"/>
        <v>52616</v>
      </c>
      <c r="Z17" s="210">
        <f t="shared" si="33"/>
        <v>251.83554300483416</v>
      </c>
      <c r="AA17" s="99">
        <v>8625</v>
      </c>
      <c r="AB17" s="97">
        <f t="shared" si="34"/>
        <v>8625</v>
      </c>
      <c r="AC17" s="99">
        <v>13839</v>
      </c>
      <c r="AD17" s="99">
        <f t="shared" si="35"/>
        <v>160.45217391304348</v>
      </c>
      <c r="AE17" s="99">
        <v>18590</v>
      </c>
      <c r="AF17" s="97">
        <f t="shared" si="34"/>
        <v>18590</v>
      </c>
      <c r="AG17" s="99">
        <v>15350</v>
      </c>
      <c r="AH17" s="99">
        <f t="shared" si="36"/>
        <v>82.571274878967188</v>
      </c>
      <c r="AI17" s="99"/>
      <c r="AJ17" s="97">
        <f t="shared" si="10"/>
        <v>0</v>
      </c>
      <c r="AK17" s="99"/>
      <c r="AL17" s="99">
        <f t="shared" si="37"/>
        <v>0</v>
      </c>
      <c r="AM17" s="235">
        <f t="shared" si="38"/>
        <v>18590</v>
      </c>
      <c r="AN17" s="235">
        <f t="shared" si="39"/>
        <v>18590</v>
      </c>
      <c r="AO17" s="235">
        <f t="shared" si="40"/>
        <v>15350</v>
      </c>
      <c r="AP17" s="235">
        <f t="shared" si="41"/>
        <v>82.571274878967188</v>
      </c>
      <c r="AQ17" s="99">
        <v>4361</v>
      </c>
      <c r="AR17" s="115">
        <f t="shared" si="57"/>
        <v>4361</v>
      </c>
      <c r="AS17" s="258">
        <v>4361</v>
      </c>
      <c r="AT17" s="99">
        <f t="shared" si="43"/>
        <v>100</v>
      </c>
      <c r="AU17" s="99">
        <v>572</v>
      </c>
      <c r="AV17" s="115">
        <f t="shared" si="44"/>
        <v>572</v>
      </c>
      <c r="AW17" s="258">
        <v>572</v>
      </c>
      <c r="AX17" s="99">
        <f t="shared" si="45"/>
        <v>100</v>
      </c>
      <c r="AY17" s="99">
        <v>6826</v>
      </c>
      <c r="AZ17" s="331">
        <v>6826</v>
      </c>
      <c r="BA17" s="99">
        <v>57764</v>
      </c>
      <c r="BB17" s="99">
        <f t="shared" si="46"/>
        <v>846.23498388514497</v>
      </c>
      <c r="BC17" s="210">
        <f t="shared" si="47"/>
        <v>11759</v>
      </c>
      <c r="BD17" s="210">
        <f t="shared" si="48"/>
        <v>11759</v>
      </c>
      <c r="BE17" s="210">
        <f t="shared" si="49"/>
        <v>62697</v>
      </c>
      <c r="BF17" s="210">
        <f t="shared" si="50"/>
        <v>533.18309380049322</v>
      </c>
      <c r="BG17" s="99">
        <v>3161</v>
      </c>
      <c r="BH17" s="97">
        <f t="shared" si="51"/>
        <v>3161</v>
      </c>
      <c r="BI17" s="99">
        <v>13539</v>
      </c>
      <c r="BJ17" s="99">
        <f t="shared" si="52"/>
        <v>428.31382473900669</v>
      </c>
      <c r="BK17" s="210">
        <f t="shared" si="53"/>
        <v>98895</v>
      </c>
      <c r="BL17" s="210">
        <f t="shared" si="54"/>
        <v>98895</v>
      </c>
      <c r="BM17" s="210">
        <f t="shared" si="55"/>
        <v>223428</v>
      </c>
      <c r="BN17" s="210">
        <f t="shared" si="56"/>
        <v>225.92446534202941</v>
      </c>
    </row>
    <row r="18" spans="1:66" s="22" customFormat="1" ht="15.75" x14ac:dyDescent="0.2">
      <c r="A18" s="194" t="s">
        <v>131</v>
      </c>
      <c r="B18" s="197"/>
      <c r="C18" s="99">
        <v>109771</v>
      </c>
      <c r="D18" s="195">
        <f t="shared" si="20"/>
        <v>109771</v>
      </c>
      <c r="E18" s="99">
        <f>101323+E20/4/3.2</f>
        <v>102374.2890625</v>
      </c>
      <c r="F18" s="99">
        <f t="shared" si="21"/>
        <v>93.261689392007</v>
      </c>
      <c r="G18" s="99"/>
      <c r="H18" s="195">
        <f t="shared" si="3"/>
        <v>0</v>
      </c>
      <c r="I18" s="99"/>
      <c r="J18" s="99">
        <f t="shared" si="22"/>
        <v>0</v>
      </c>
      <c r="K18" s="235">
        <f t="shared" si="23"/>
        <v>109771</v>
      </c>
      <c r="L18" s="235">
        <f t="shared" si="24"/>
        <v>109771</v>
      </c>
      <c r="M18" s="235">
        <f t="shared" si="25"/>
        <v>102374.2890625</v>
      </c>
      <c r="N18" s="235">
        <f t="shared" si="26"/>
        <v>93.261689392007</v>
      </c>
      <c r="O18" s="99">
        <v>41134</v>
      </c>
      <c r="P18" s="195">
        <f t="shared" si="27"/>
        <v>41134</v>
      </c>
      <c r="Q18" s="99">
        <f>29812+Q20/4/3.2</f>
        <v>32368.8359375</v>
      </c>
      <c r="R18" s="99">
        <f t="shared" si="28"/>
        <v>78.691194480235325</v>
      </c>
      <c r="S18" s="99">
        <v>8591</v>
      </c>
      <c r="T18" s="195">
        <f t="shared" si="27"/>
        <v>8591</v>
      </c>
      <c r="U18" s="99">
        <f>5140+U20/4/3.2</f>
        <v>5784.296875</v>
      </c>
      <c r="V18" s="99">
        <f t="shared" si="29"/>
        <v>67.32972733092771</v>
      </c>
      <c r="W18" s="210">
        <f t="shared" si="30"/>
        <v>49725</v>
      </c>
      <c r="X18" s="210">
        <f t="shared" si="31"/>
        <v>49725</v>
      </c>
      <c r="Y18" s="210">
        <f t="shared" si="32"/>
        <v>38153.1328125</v>
      </c>
      <c r="Z18" s="210">
        <f t="shared" si="33"/>
        <v>76.728271116138771</v>
      </c>
      <c r="AA18" s="99">
        <v>45739</v>
      </c>
      <c r="AB18" s="195">
        <f t="shared" si="34"/>
        <v>45739</v>
      </c>
      <c r="AC18" s="99">
        <f>43089+AC20/4/3.2</f>
        <v>46739.72265625</v>
      </c>
      <c r="AD18" s="99">
        <f t="shared" si="35"/>
        <v>102.1878979782024</v>
      </c>
      <c r="AE18" s="99">
        <v>93340</v>
      </c>
      <c r="AF18" s="195">
        <f t="shared" si="34"/>
        <v>93340</v>
      </c>
      <c r="AG18" s="99">
        <f>95830+AG20/4/3.2</f>
        <v>105066.73828125</v>
      </c>
      <c r="AH18" s="99">
        <f t="shared" si="36"/>
        <v>112.56346505383543</v>
      </c>
      <c r="AI18" s="99"/>
      <c r="AJ18" s="195">
        <f t="shared" si="10"/>
        <v>0</v>
      </c>
      <c r="AK18" s="99"/>
      <c r="AL18" s="99">
        <f t="shared" si="37"/>
        <v>0</v>
      </c>
      <c r="AM18" s="235">
        <f t="shared" si="38"/>
        <v>93340</v>
      </c>
      <c r="AN18" s="235">
        <f t="shared" si="39"/>
        <v>93340</v>
      </c>
      <c r="AO18" s="235">
        <f t="shared" si="40"/>
        <v>105066.73828125</v>
      </c>
      <c r="AP18" s="235">
        <f t="shared" si="41"/>
        <v>112.56346505383543</v>
      </c>
      <c r="AQ18" s="99">
        <v>1198</v>
      </c>
      <c r="AR18" s="115">
        <f t="shared" si="57"/>
        <v>1198</v>
      </c>
      <c r="AS18" s="258">
        <f>1145+AS20/4/3.2</f>
        <v>1197.67578125</v>
      </c>
      <c r="AT18" s="99">
        <f t="shared" si="43"/>
        <v>99.972936665275455</v>
      </c>
      <c r="AU18" s="99">
        <v>347</v>
      </c>
      <c r="AV18" s="115">
        <f t="shared" si="44"/>
        <v>347</v>
      </c>
      <c r="AW18" s="258">
        <f>339+AW20/4/3.2</f>
        <v>346.91015625</v>
      </c>
      <c r="AX18" s="99">
        <f t="shared" si="45"/>
        <v>99.974108429394818</v>
      </c>
      <c r="AY18" s="99">
        <v>33049</v>
      </c>
      <c r="AZ18" s="331">
        <v>33049</v>
      </c>
      <c r="BA18" s="99">
        <f>27054+BA20/4/3.2</f>
        <v>27841.1875</v>
      </c>
      <c r="BB18" s="99">
        <f t="shared" si="46"/>
        <v>84.24214802263306</v>
      </c>
      <c r="BC18" s="210">
        <f t="shared" si="47"/>
        <v>34594</v>
      </c>
      <c r="BD18" s="210">
        <f t="shared" si="48"/>
        <v>34594</v>
      </c>
      <c r="BE18" s="210">
        <f t="shared" si="49"/>
        <v>29385.7734375</v>
      </c>
      <c r="BF18" s="210">
        <f t="shared" si="50"/>
        <v>84.944711329999421</v>
      </c>
      <c r="BG18" s="99">
        <v>10698</v>
      </c>
      <c r="BH18" s="195">
        <f t="shared" si="51"/>
        <v>10698</v>
      </c>
      <c r="BI18" s="99">
        <f>7098+BI20/4/3.2</f>
        <v>8096.515625</v>
      </c>
      <c r="BJ18" s="99">
        <f t="shared" si="52"/>
        <v>75.682516591886326</v>
      </c>
      <c r="BK18" s="210">
        <f t="shared" si="53"/>
        <v>343867</v>
      </c>
      <c r="BL18" s="210">
        <f t="shared" si="54"/>
        <v>343867</v>
      </c>
      <c r="BM18" s="210">
        <f t="shared" si="55"/>
        <v>329816.171875</v>
      </c>
      <c r="BN18" s="210">
        <f t="shared" si="56"/>
        <v>95.913877131274589</v>
      </c>
    </row>
    <row r="19" spans="1:66" s="22" customFormat="1" ht="15" customHeight="1" x14ac:dyDescent="0.2">
      <c r="A19" s="194" t="s">
        <v>132</v>
      </c>
      <c r="B19" s="197"/>
      <c r="C19" s="99"/>
      <c r="D19" s="195">
        <f t="shared" si="20"/>
        <v>0</v>
      </c>
      <c r="E19" s="99"/>
      <c r="F19" s="99">
        <f t="shared" si="21"/>
        <v>0</v>
      </c>
      <c r="G19" s="99"/>
      <c r="H19" s="195">
        <f t="shared" si="3"/>
        <v>0</v>
      </c>
      <c r="I19" s="99"/>
      <c r="J19" s="99">
        <f t="shared" si="22"/>
        <v>0</v>
      </c>
      <c r="K19" s="235">
        <f t="shared" si="23"/>
        <v>0</v>
      </c>
      <c r="L19" s="235">
        <f t="shared" si="24"/>
        <v>0</v>
      </c>
      <c r="M19" s="235">
        <f t="shared" si="25"/>
        <v>0</v>
      </c>
      <c r="N19" s="235">
        <f t="shared" si="26"/>
        <v>0</v>
      </c>
      <c r="O19" s="99"/>
      <c r="P19" s="195">
        <f t="shared" si="27"/>
        <v>0</v>
      </c>
      <c r="Q19" s="99"/>
      <c r="R19" s="99">
        <f t="shared" si="28"/>
        <v>0</v>
      </c>
      <c r="S19" s="99"/>
      <c r="T19" s="195">
        <f t="shared" si="27"/>
        <v>0</v>
      </c>
      <c r="U19" s="99"/>
      <c r="V19" s="99">
        <f t="shared" si="29"/>
        <v>0</v>
      </c>
      <c r="W19" s="210">
        <f t="shared" si="30"/>
        <v>0</v>
      </c>
      <c r="X19" s="210">
        <f t="shared" si="31"/>
        <v>0</v>
      </c>
      <c r="Y19" s="210">
        <f t="shared" si="32"/>
        <v>0</v>
      </c>
      <c r="Z19" s="210">
        <f t="shared" si="33"/>
        <v>0</v>
      </c>
      <c r="AA19" s="99"/>
      <c r="AB19" s="195">
        <f t="shared" si="34"/>
        <v>0</v>
      </c>
      <c r="AC19" s="99"/>
      <c r="AD19" s="99">
        <f t="shared" si="35"/>
        <v>0</v>
      </c>
      <c r="AE19" s="99"/>
      <c r="AF19" s="195">
        <f t="shared" si="34"/>
        <v>0</v>
      </c>
      <c r="AG19" s="99"/>
      <c r="AH19" s="99">
        <f t="shared" si="36"/>
        <v>0</v>
      </c>
      <c r="AI19" s="99"/>
      <c r="AJ19" s="195">
        <f t="shared" si="10"/>
        <v>0</v>
      </c>
      <c r="AK19" s="99"/>
      <c r="AL19" s="99">
        <f t="shared" si="37"/>
        <v>0</v>
      </c>
      <c r="AM19" s="235">
        <f t="shared" si="38"/>
        <v>0</v>
      </c>
      <c r="AN19" s="235">
        <f t="shared" si="39"/>
        <v>0</v>
      </c>
      <c r="AO19" s="235">
        <f t="shared" si="40"/>
        <v>0</v>
      </c>
      <c r="AP19" s="235">
        <f t="shared" si="41"/>
        <v>0</v>
      </c>
      <c r="AQ19" s="99"/>
      <c r="AR19" s="115">
        <f t="shared" si="57"/>
        <v>0</v>
      </c>
      <c r="AS19" s="258"/>
      <c r="AT19" s="99">
        <f t="shared" si="43"/>
        <v>0</v>
      </c>
      <c r="AU19" s="99"/>
      <c r="AV19" s="115">
        <f t="shared" si="44"/>
        <v>0</v>
      </c>
      <c r="AW19" s="258"/>
      <c r="AX19" s="99">
        <f t="shared" si="45"/>
        <v>0</v>
      </c>
      <c r="AY19" s="99"/>
      <c r="AZ19" s="331"/>
      <c r="BA19" s="99"/>
      <c r="BB19" s="99">
        <f t="shared" si="46"/>
        <v>0</v>
      </c>
      <c r="BC19" s="210">
        <f t="shared" si="47"/>
        <v>0</v>
      </c>
      <c r="BD19" s="210">
        <f t="shared" si="48"/>
        <v>0</v>
      </c>
      <c r="BE19" s="210">
        <f t="shared" si="49"/>
        <v>0</v>
      </c>
      <c r="BF19" s="210">
        <f t="shared" si="50"/>
        <v>0</v>
      </c>
      <c r="BG19" s="99"/>
      <c r="BH19" s="195">
        <f t="shared" si="51"/>
        <v>0</v>
      </c>
      <c r="BI19" s="99"/>
      <c r="BJ19" s="99">
        <f t="shared" si="52"/>
        <v>0</v>
      </c>
      <c r="BK19" s="210">
        <f t="shared" si="53"/>
        <v>0</v>
      </c>
      <c r="BL19" s="210">
        <f t="shared" si="54"/>
        <v>0</v>
      </c>
      <c r="BM19" s="210">
        <f t="shared" si="55"/>
        <v>0</v>
      </c>
      <c r="BN19" s="210">
        <f t="shared" si="56"/>
        <v>0</v>
      </c>
    </row>
    <row r="20" spans="1:66" s="22" customFormat="1" ht="15.75" x14ac:dyDescent="0.2">
      <c r="A20" s="194" t="s">
        <v>133</v>
      </c>
      <c r="B20" s="197"/>
      <c r="C20" s="99">
        <v>19520</v>
      </c>
      <c r="D20" s="195">
        <f t="shared" si="20"/>
        <v>19520</v>
      </c>
      <c r="E20" s="99">
        <v>13456.5</v>
      </c>
      <c r="F20" s="99">
        <f t="shared" si="21"/>
        <v>68.936987704918025</v>
      </c>
      <c r="G20" s="99"/>
      <c r="H20" s="195">
        <f t="shared" si="3"/>
        <v>0</v>
      </c>
      <c r="I20" s="99"/>
      <c r="J20" s="99">
        <f t="shared" si="22"/>
        <v>0</v>
      </c>
      <c r="K20" s="235">
        <f t="shared" si="23"/>
        <v>19520</v>
      </c>
      <c r="L20" s="235">
        <f t="shared" si="24"/>
        <v>19520</v>
      </c>
      <c r="M20" s="235">
        <f t="shared" si="25"/>
        <v>13456.5</v>
      </c>
      <c r="N20" s="235">
        <f t="shared" si="26"/>
        <v>68.936987704918025</v>
      </c>
      <c r="O20" s="99">
        <v>35000</v>
      </c>
      <c r="P20" s="195">
        <f t="shared" si="27"/>
        <v>35000</v>
      </c>
      <c r="Q20" s="99">
        <v>32727.5</v>
      </c>
      <c r="R20" s="99">
        <f t="shared" si="28"/>
        <v>93.507142857142853</v>
      </c>
      <c r="S20" s="99">
        <v>8000</v>
      </c>
      <c r="T20" s="195">
        <f t="shared" si="27"/>
        <v>8000</v>
      </c>
      <c r="U20" s="99">
        <v>8247</v>
      </c>
      <c r="V20" s="99">
        <f t="shared" si="29"/>
        <v>103.08750000000001</v>
      </c>
      <c r="W20" s="210">
        <f t="shared" si="30"/>
        <v>43000</v>
      </c>
      <c r="X20" s="210">
        <f t="shared" si="31"/>
        <v>43000</v>
      </c>
      <c r="Y20" s="210">
        <f t="shared" si="32"/>
        <v>40974.5</v>
      </c>
      <c r="Z20" s="210">
        <f t="shared" si="33"/>
        <v>95.289534883720933</v>
      </c>
      <c r="AA20" s="99">
        <v>41120</v>
      </c>
      <c r="AB20" s="195">
        <f t="shared" si="34"/>
        <v>41120</v>
      </c>
      <c r="AC20" s="99">
        <v>46729.25</v>
      </c>
      <c r="AD20" s="99">
        <f t="shared" si="35"/>
        <v>113.64117217898833</v>
      </c>
      <c r="AE20" s="99">
        <v>118236</v>
      </c>
      <c r="AF20" s="195">
        <f t="shared" si="34"/>
        <v>118236</v>
      </c>
      <c r="AG20" s="99">
        <v>118230.25</v>
      </c>
      <c r="AH20" s="99">
        <f t="shared" si="36"/>
        <v>99.99513684495416</v>
      </c>
      <c r="AI20" s="99"/>
      <c r="AJ20" s="195">
        <f t="shared" si="10"/>
        <v>0</v>
      </c>
      <c r="AK20" s="99"/>
      <c r="AL20" s="99">
        <f t="shared" si="37"/>
        <v>0</v>
      </c>
      <c r="AM20" s="235">
        <f t="shared" si="38"/>
        <v>118236</v>
      </c>
      <c r="AN20" s="235">
        <f t="shared" si="39"/>
        <v>118236</v>
      </c>
      <c r="AO20" s="235">
        <f t="shared" si="40"/>
        <v>118230.25</v>
      </c>
      <c r="AP20" s="235">
        <f t="shared" si="41"/>
        <v>99.99513684495416</v>
      </c>
      <c r="AQ20" s="99">
        <v>674</v>
      </c>
      <c r="AR20" s="115">
        <f t="shared" si="57"/>
        <v>674</v>
      </c>
      <c r="AS20" s="258">
        <v>674.25</v>
      </c>
      <c r="AT20" s="99">
        <f t="shared" si="43"/>
        <v>100.03709198813056</v>
      </c>
      <c r="AU20" s="99">
        <v>101</v>
      </c>
      <c r="AV20" s="115">
        <f t="shared" si="44"/>
        <v>101</v>
      </c>
      <c r="AW20" s="258">
        <v>101.25</v>
      </c>
      <c r="AX20" s="99">
        <f t="shared" si="45"/>
        <v>100.24752475247524</v>
      </c>
      <c r="AY20" s="99">
        <v>17826</v>
      </c>
      <c r="AZ20" s="331">
        <v>17826</v>
      </c>
      <c r="BA20" s="99">
        <v>10076</v>
      </c>
      <c r="BB20" s="99">
        <f t="shared" si="46"/>
        <v>56.524178166722763</v>
      </c>
      <c r="BC20" s="210">
        <f t="shared" si="47"/>
        <v>18601</v>
      </c>
      <c r="BD20" s="210">
        <f t="shared" si="48"/>
        <v>18601</v>
      </c>
      <c r="BE20" s="210">
        <f t="shared" si="49"/>
        <v>10851.5</v>
      </c>
      <c r="BF20" s="210">
        <f t="shared" si="50"/>
        <v>58.338261383796578</v>
      </c>
      <c r="BG20" s="99">
        <v>10000</v>
      </c>
      <c r="BH20" s="195">
        <f t="shared" si="51"/>
        <v>10000</v>
      </c>
      <c r="BI20" s="99">
        <v>12781</v>
      </c>
      <c r="BJ20" s="99">
        <f t="shared" si="52"/>
        <v>127.81</v>
      </c>
      <c r="BK20" s="210">
        <f t="shared" si="53"/>
        <v>250477</v>
      </c>
      <c r="BL20" s="210">
        <f t="shared" si="54"/>
        <v>250477</v>
      </c>
      <c r="BM20" s="210">
        <f t="shared" si="55"/>
        <v>243023</v>
      </c>
      <c r="BN20" s="210">
        <f t="shared" si="56"/>
        <v>97.024078059063314</v>
      </c>
    </row>
    <row r="21" spans="1:66" s="22" customFormat="1" ht="31.5" x14ac:dyDescent="0.2">
      <c r="A21" s="194" t="s">
        <v>134</v>
      </c>
      <c r="B21" s="197" t="s">
        <v>3</v>
      </c>
      <c r="C21" s="99">
        <v>29517</v>
      </c>
      <c r="D21" s="195">
        <f t="shared" si="20"/>
        <v>29517</v>
      </c>
      <c r="E21" s="99">
        <v>16456</v>
      </c>
      <c r="F21" s="99">
        <f t="shared" si="21"/>
        <v>55.750923196801836</v>
      </c>
      <c r="G21" s="99"/>
      <c r="H21" s="195">
        <f t="shared" si="3"/>
        <v>0</v>
      </c>
      <c r="I21" s="99"/>
      <c r="J21" s="99">
        <f t="shared" si="22"/>
        <v>0</v>
      </c>
      <c r="K21" s="235">
        <f t="shared" si="23"/>
        <v>29517</v>
      </c>
      <c r="L21" s="235">
        <f t="shared" si="24"/>
        <v>29517</v>
      </c>
      <c r="M21" s="235">
        <f t="shared" si="25"/>
        <v>16456</v>
      </c>
      <c r="N21" s="235">
        <f t="shared" si="26"/>
        <v>55.750923196801836</v>
      </c>
      <c r="O21" s="99">
        <v>9554</v>
      </c>
      <c r="P21" s="195">
        <f t="shared" si="27"/>
        <v>9554</v>
      </c>
      <c r="Q21" s="99">
        <v>5307</v>
      </c>
      <c r="R21" s="99">
        <f t="shared" si="28"/>
        <v>55.547414695415533</v>
      </c>
      <c r="S21" s="99">
        <v>2283</v>
      </c>
      <c r="T21" s="195">
        <f t="shared" si="27"/>
        <v>2283</v>
      </c>
      <c r="U21" s="99">
        <v>648</v>
      </c>
      <c r="V21" s="99">
        <f t="shared" si="29"/>
        <v>28.383705650459923</v>
      </c>
      <c r="W21" s="210">
        <f t="shared" si="30"/>
        <v>11837</v>
      </c>
      <c r="X21" s="210">
        <f t="shared" si="31"/>
        <v>11837</v>
      </c>
      <c r="Y21" s="210">
        <f t="shared" si="32"/>
        <v>5955</v>
      </c>
      <c r="Z21" s="210">
        <f t="shared" si="33"/>
        <v>50.308355157556818</v>
      </c>
      <c r="AA21" s="99">
        <v>10690</v>
      </c>
      <c r="AB21" s="195">
        <f t="shared" si="34"/>
        <v>10690</v>
      </c>
      <c r="AC21" s="99">
        <v>10905</v>
      </c>
      <c r="AD21" s="99">
        <f t="shared" si="35"/>
        <v>102.01122544434051</v>
      </c>
      <c r="AE21" s="99">
        <v>22627</v>
      </c>
      <c r="AF21" s="195">
        <f t="shared" si="34"/>
        <v>22627</v>
      </c>
      <c r="AG21" s="99">
        <v>5526</v>
      </c>
      <c r="AH21" s="99">
        <f t="shared" si="36"/>
        <v>24.422150528130111</v>
      </c>
      <c r="AI21" s="99"/>
      <c r="AJ21" s="195">
        <f t="shared" si="10"/>
        <v>0</v>
      </c>
      <c r="AK21" s="99"/>
      <c r="AL21" s="99">
        <f t="shared" si="37"/>
        <v>0</v>
      </c>
      <c r="AM21" s="235">
        <f t="shared" si="38"/>
        <v>22627</v>
      </c>
      <c r="AN21" s="235">
        <f t="shared" si="39"/>
        <v>22627</v>
      </c>
      <c r="AO21" s="235">
        <f t="shared" si="40"/>
        <v>5526</v>
      </c>
      <c r="AP21" s="235">
        <f t="shared" si="41"/>
        <v>24.422150528130111</v>
      </c>
      <c r="AQ21" s="99">
        <v>181</v>
      </c>
      <c r="AR21" s="115">
        <f t="shared" si="57"/>
        <v>181</v>
      </c>
      <c r="AS21" s="258">
        <v>181</v>
      </c>
      <c r="AT21" s="99">
        <f t="shared" si="43"/>
        <v>100</v>
      </c>
      <c r="AU21" s="99"/>
      <c r="AV21" s="115"/>
      <c r="AW21" s="258"/>
      <c r="AX21" s="99">
        <f t="shared" si="45"/>
        <v>0</v>
      </c>
      <c r="AY21" s="99">
        <v>11545</v>
      </c>
      <c r="AZ21" s="331">
        <v>11545</v>
      </c>
      <c r="BA21" s="99">
        <v>3527</v>
      </c>
      <c r="BB21" s="99">
        <f t="shared" si="46"/>
        <v>30.550021654395842</v>
      </c>
      <c r="BC21" s="210">
        <f t="shared" si="47"/>
        <v>11726</v>
      </c>
      <c r="BD21" s="210">
        <f t="shared" si="48"/>
        <v>11726</v>
      </c>
      <c r="BE21" s="210">
        <f t="shared" si="49"/>
        <v>3708</v>
      </c>
      <c r="BF21" s="210">
        <f t="shared" si="50"/>
        <v>31.622036500085283</v>
      </c>
      <c r="BG21" s="99">
        <v>2835</v>
      </c>
      <c r="BH21" s="195">
        <f t="shared" si="51"/>
        <v>2835</v>
      </c>
      <c r="BI21" s="99">
        <v>-1</v>
      </c>
      <c r="BJ21" s="99">
        <f t="shared" si="52"/>
        <v>-3.5273368606701945E-2</v>
      </c>
      <c r="BK21" s="210">
        <f t="shared" si="53"/>
        <v>89232</v>
      </c>
      <c r="BL21" s="210">
        <f t="shared" si="54"/>
        <v>89232</v>
      </c>
      <c r="BM21" s="210">
        <f t="shared" si="55"/>
        <v>42549</v>
      </c>
      <c r="BN21" s="210">
        <f t="shared" si="56"/>
        <v>47.683566433566433</v>
      </c>
    </row>
    <row r="22" spans="1:66" s="275" customFormat="1" ht="15.75" x14ac:dyDescent="0.2">
      <c r="A22" s="194" t="s">
        <v>135</v>
      </c>
      <c r="B22" s="197"/>
      <c r="C22" s="99">
        <v>2000</v>
      </c>
      <c r="D22" s="195">
        <f t="shared" si="20"/>
        <v>2000</v>
      </c>
      <c r="E22" s="99">
        <v>1916</v>
      </c>
      <c r="F22" s="99">
        <f t="shared" si="21"/>
        <v>95.8</v>
      </c>
      <c r="G22" s="99"/>
      <c r="H22" s="195">
        <f t="shared" si="3"/>
        <v>0</v>
      </c>
      <c r="I22" s="99"/>
      <c r="J22" s="99">
        <f t="shared" si="22"/>
        <v>0</v>
      </c>
      <c r="K22" s="278">
        <f t="shared" si="23"/>
        <v>2000</v>
      </c>
      <c r="L22" s="278">
        <f t="shared" si="24"/>
        <v>2000</v>
      </c>
      <c r="M22" s="278">
        <f t="shared" si="25"/>
        <v>1916</v>
      </c>
      <c r="N22" s="278">
        <f t="shared" si="26"/>
        <v>95.8</v>
      </c>
      <c r="O22" s="99">
        <v>530</v>
      </c>
      <c r="P22" s="195">
        <f t="shared" si="27"/>
        <v>530</v>
      </c>
      <c r="Q22" s="99">
        <v>515</v>
      </c>
      <c r="R22" s="99">
        <f t="shared" si="28"/>
        <v>97.169811320754718</v>
      </c>
      <c r="S22" s="99"/>
      <c r="T22" s="195">
        <f t="shared" si="27"/>
        <v>0</v>
      </c>
      <c r="U22" s="99"/>
      <c r="V22" s="99">
        <f t="shared" si="29"/>
        <v>0</v>
      </c>
      <c r="W22" s="152">
        <f t="shared" si="30"/>
        <v>530</v>
      </c>
      <c r="X22" s="152">
        <f t="shared" si="31"/>
        <v>530</v>
      </c>
      <c r="Y22" s="152">
        <f t="shared" si="32"/>
        <v>515</v>
      </c>
      <c r="Z22" s="152">
        <f t="shared" si="33"/>
        <v>97.169811320754718</v>
      </c>
      <c r="AA22" s="99"/>
      <c r="AB22" s="195">
        <f t="shared" si="34"/>
        <v>0</v>
      </c>
      <c r="AC22" s="99"/>
      <c r="AD22" s="99">
        <f t="shared" si="35"/>
        <v>0</v>
      </c>
      <c r="AE22" s="99">
        <v>2200</v>
      </c>
      <c r="AF22" s="195">
        <f t="shared" si="34"/>
        <v>2200</v>
      </c>
      <c r="AG22" s="99">
        <v>2250</v>
      </c>
      <c r="AH22" s="99">
        <f t="shared" si="36"/>
        <v>102.27272727272727</v>
      </c>
      <c r="AI22" s="99"/>
      <c r="AJ22" s="195">
        <f t="shared" si="10"/>
        <v>0</v>
      </c>
      <c r="AK22" s="99"/>
      <c r="AL22" s="99">
        <f t="shared" si="37"/>
        <v>0</v>
      </c>
      <c r="AM22" s="278">
        <f t="shared" si="38"/>
        <v>2200</v>
      </c>
      <c r="AN22" s="278">
        <f t="shared" si="39"/>
        <v>2200</v>
      </c>
      <c r="AO22" s="278">
        <f t="shared" si="40"/>
        <v>2250</v>
      </c>
      <c r="AP22" s="235">
        <f t="shared" si="41"/>
        <v>102.27272727272727</v>
      </c>
      <c r="AQ22" s="99"/>
      <c r="AR22" s="195">
        <f t="shared" si="57"/>
        <v>0</v>
      </c>
      <c r="AS22" s="258"/>
      <c r="AT22" s="99">
        <f t="shared" si="43"/>
        <v>0</v>
      </c>
      <c r="AU22" s="99"/>
      <c r="AV22" s="195">
        <f t="shared" si="44"/>
        <v>0</v>
      </c>
      <c r="AW22" s="258"/>
      <c r="AX22" s="99">
        <f t="shared" si="45"/>
        <v>0</v>
      </c>
      <c r="AY22" s="99"/>
      <c r="AZ22" s="331"/>
      <c r="BA22" s="99"/>
      <c r="BB22" s="99">
        <f t="shared" si="46"/>
        <v>0</v>
      </c>
      <c r="BC22" s="152">
        <f t="shared" si="47"/>
        <v>0</v>
      </c>
      <c r="BD22" s="152">
        <f t="shared" si="48"/>
        <v>0</v>
      </c>
      <c r="BE22" s="152">
        <f t="shared" si="49"/>
        <v>0</v>
      </c>
      <c r="BF22" s="210">
        <f t="shared" si="50"/>
        <v>0</v>
      </c>
      <c r="BG22" s="99"/>
      <c r="BH22" s="195">
        <f t="shared" si="51"/>
        <v>0</v>
      </c>
      <c r="BI22" s="99"/>
      <c r="BJ22" s="99">
        <f t="shared" si="52"/>
        <v>0</v>
      </c>
      <c r="BK22" s="152">
        <f t="shared" si="53"/>
        <v>4730</v>
      </c>
      <c r="BL22" s="152">
        <f t="shared" si="54"/>
        <v>4730</v>
      </c>
      <c r="BM22" s="152">
        <f t="shared" si="55"/>
        <v>4681</v>
      </c>
      <c r="BN22" s="210">
        <f t="shared" si="56"/>
        <v>98.964059196617342</v>
      </c>
    </row>
    <row r="23" spans="1:66" s="16" customFormat="1" ht="28.5" x14ac:dyDescent="0.2">
      <c r="A23" s="118" t="s">
        <v>136</v>
      </c>
      <c r="B23" s="198" t="s">
        <v>3</v>
      </c>
      <c r="C23" s="123">
        <f t="shared" ref="C23:D23" si="58">SUM(C12+C18*3.2+C21)</f>
        <v>435527.2</v>
      </c>
      <c r="D23" s="123">
        <f t="shared" si="58"/>
        <v>435527.2</v>
      </c>
      <c r="E23" s="123">
        <f t="shared" ref="E23" si="59">SUM(E12+E18*3.2+E21)</f>
        <v>416322.72500000003</v>
      </c>
      <c r="F23" s="123">
        <f t="shared" si="21"/>
        <v>95.590522245223724</v>
      </c>
      <c r="G23" s="123">
        <f t="shared" ref="G23" si="60">SUM(G12+G18*3.2+G21)</f>
        <v>0</v>
      </c>
      <c r="H23" s="121">
        <f t="shared" si="3"/>
        <v>0</v>
      </c>
      <c r="I23" s="123">
        <f t="shared" ref="I23" si="61">SUM(I12+I18*3.2+I21)</f>
        <v>0</v>
      </c>
      <c r="J23" s="123">
        <f t="shared" si="22"/>
        <v>0</v>
      </c>
      <c r="K23" s="239">
        <f t="shared" si="23"/>
        <v>435527.2</v>
      </c>
      <c r="L23" s="239">
        <f t="shared" si="24"/>
        <v>435527.2</v>
      </c>
      <c r="M23" s="239">
        <f t="shared" si="25"/>
        <v>416322.72500000003</v>
      </c>
      <c r="N23" s="239">
        <f t="shared" si="26"/>
        <v>95.590522245223724</v>
      </c>
      <c r="O23" s="123">
        <f t="shared" ref="O23:T23" si="62">SUM(O12+O18*3.2+O21)</f>
        <v>162560.80000000002</v>
      </c>
      <c r="P23" s="123">
        <f t="shared" si="62"/>
        <v>162560.80000000002</v>
      </c>
      <c r="Q23" s="123">
        <f t="shared" ref="Q23:U23" si="63">SUM(Q12+Q18*3.2+Q21)</f>
        <v>151994.27500000002</v>
      </c>
      <c r="R23" s="123">
        <f t="shared" si="28"/>
        <v>93.499955093724935</v>
      </c>
      <c r="S23" s="123">
        <f t="shared" si="62"/>
        <v>36800.199999999997</v>
      </c>
      <c r="T23" s="123">
        <f t="shared" si="62"/>
        <v>36800.199999999997</v>
      </c>
      <c r="U23" s="123">
        <f t="shared" si="63"/>
        <v>31560.75</v>
      </c>
      <c r="V23" s="123">
        <f t="shared" si="29"/>
        <v>85.762441508470062</v>
      </c>
      <c r="W23" s="158">
        <f t="shared" si="30"/>
        <v>199361</v>
      </c>
      <c r="X23" s="158">
        <f t="shared" si="31"/>
        <v>199361</v>
      </c>
      <c r="Y23" s="158">
        <f t="shared" si="32"/>
        <v>183555.02500000002</v>
      </c>
      <c r="Z23" s="158">
        <f t="shared" si="33"/>
        <v>92.071681522464289</v>
      </c>
      <c r="AA23" s="123">
        <f t="shared" ref="AA23:AF23" si="64">SUM(AA12+AA18*3.2+AA21)</f>
        <v>165723.80000000002</v>
      </c>
      <c r="AB23" s="123">
        <f t="shared" si="64"/>
        <v>165723.80000000002</v>
      </c>
      <c r="AC23" s="123">
        <f t="shared" ref="AC23:AG23" si="65">SUM(AC12+AC18*3.2+AC21)</f>
        <v>174311.11250000002</v>
      </c>
      <c r="AD23" s="123">
        <f t="shared" si="35"/>
        <v>105.18170142128047</v>
      </c>
      <c r="AE23" s="123">
        <f t="shared" si="64"/>
        <v>341005</v>
      </c>
      <c r="AF23" s="123">
        <f t="shared" si="64"/>
        <v>341005</v>
      </c>
      <c r="AG23" s="123">
        <f t="shared" si="65"/>
        <v>357451.5625</v>
      </c>
      <c r="AH23" s="123">
        <f t="shared" si="36"/>
        <v>104.8229681382971</v>
      </c>
      <c r="AI23" s="123">
        <f t="shared" ref="AI23" si="66">SUM(AI12+AI18*3.2+AI21)</f>
        <v>0</v>
      </c>
      <c r="AJ23" s="121">
        <f t="shared" si="10"/>
        <v>0</v>
      </c>
      <c r="AK23" s="123">
        <f t="shared" ref="AK23" si="67">SUM(AK12+AK18*3.2+AK21)</f>
        <v>0</v>
      </c>
      <c r="AL23" s="123">
        <f t="shared" si="37"/>
        <v>0</v>
      </c>
      <c r="AM23" s="239">
        <f t="shared" si="38"/>
        <v>341005</v>
      </c>
      <c r="AN23" s="239">
        <f t="shared" si="39"/>
        <v>341005</v>
      </c>
      <c r="AO23" s="239">
        <f t="shared" si="40"/>
        <v>357451.5625</v>
      </c>
      <c r="AP23" s="235">
        <f t="shared" si="41"/>
        <v>104.8229681382971</v>
      </c>
      <c r="AQ23" s="123">
        <f t="shared" ref="AQ23" si="68">SUM(AQ12+AQ18*3.2+AQ21)</f>
        <v>8375.6</v>
      </c>
      <c r="AR23" s="115">
        <f t="shared" si="57"/>
        <v>8375.6</v>
      </c>
      <c r="AS23" s="502">
        <f t="shared" ref="AS23" si="69">SUM(AS12+AS18*3.2+AS21)</f>
        <v>8374.5625</v>
      </c>
      <c r="AT23" s="123">
        <f t="shared" si="43"/>
        <v>99.987612827737721</v>
      </c>
      <c r="AU23" s="123">
        <f t="shared" ref="AU23" si="70">SUM(AU12+AU18*3.2+AU21)</f>
        <v>1697.4</v>
      </c>
      <c r="AV23" s="115">
        <f t="shared" si="44"/>
        <v>1697.4</v>
      </c>
      <c r="AW23" s="502">
        <f t="shared" ref="AW23" si="71">SUM(AW12+AW18*3.2+AW21)</f>
        <v>1697.1125</v>
      </c>
      <c r="AX23" s="123">
        <f t="shared" si="45"/>
        <v>99.983062330623298</v>
      </c>
      <c r="AY23" s="123">
        <f t="shared" ref="AY23:AZ23" si="72">SUM(AY12+AY18*3.2+AY21)</f>
        <v>144884.79999999999</v>
      </c>
      <c r="AZ23" s="123">
        <f t="shared" si="72"/>
        <v>144884.79999999999</v>
      </c>
      <c r="BA23" s="123">
        <f t="shared" ref="BA23" si="73">SUM(BA12+BA18*3.2+BA21)</f>
        <v>150422.79999999999</v>
      </c>
      <c r="BB23" s="123">
        <f t="shared" si="46"/>
        <v>103.8223471337228</v>
      </c>
      <c r="BC23" s="158">
        <f t="shared" si="47"/>
        <v>154957.79999999999</v>
      </c>
      <c r="BD23" s="158">
        <f t="shared" si="48"/>
        <v>154957.79999999999</v>
      </c>
      <c r="BE23" s="158">
        <f t="shared" si="49"/>
        <v>160494.47499999998</v>
      </c>
      <c r="BF23" s="210">
        <f t="shared" si="50"/>
        <v>103.57302117092524</v>
      </c>
      <c r="BG23" s="123">
        <f t="shared" ref="BG23:BH23" si="74">SUM(BG12+BG18*3.2+BG21)</f>
        <v>40859.599999999999</v>
      </c>
      <c r="BH23" s="123">
        <f t="shared" si="74"/>
        <v>40859.599999999999</v>
      </c>
      <c r="BI23" s="123">
        <f t="shared" ref="BI23" si="75">SUM(BI12+BI18*3.2+BI21)</f>
        <v>39447.850000000006</v>
      </c>
      <c r="BJ23" s="123">
        <f t="shared" si="52"/>
        <v>96.544875622864652</v>
      </c>
      <c r="BK23" s="158">
        <f t="shared" si="53"/>
        <v>1337434.4000000001</v>
      </c>
      <c r="BL23" s="158">
        <f t="shared" si="54"/>
        <v>1337434.4000000001</v>
      </c>
      <c r="BM23" s="158">
        <f t="shared" si="55"/>
        <v>1331582.75</v>
      </c>
      <c r="BN23" s="210">
        <f t="shared" si="56"/>
        <v>99.562471998626606</v>
      </c>
    </row>
    <row r="24" spans="1:66" s="22" customFormat="1" ht="14.1" customHeight="1" x14ac:dyDescent="0.2">
      <c r="A24" s="149" t="s">
        <v>137</v>
      </c>
      <c r="B24" s="197"/>
      <c r="C24" s="99"/>
      <c r="D24" s="97">
        <f t="shared" si="20"/>
        <v>0</v>
      </c>
      <c r="E24" s="99"/>
      <c r="F24" s="99">
        <f t="shared" si="21"/>
        <v>0</v>
      </c>
      <c r="G24" s="99"/>
      <c r="H24" s="97">
        <f t="shared" si="3"/>
        <v>0</v>
      </c>
      <c r="I24" s="99"/>
      <c r="J24" s="99">
        <f t="shared" si="22"/>
        <v>0</v>
      </c>
      <c r="K24" s="235">
        <f t="shared" si="23"/>
        <v>0</v>
      </c>
      <c r="L24" s="235">
        <f t="shared" si="24"/>
        <v>0</v>
      </c>
      <c r="M24" s="235">
        <f t="shared" si="25"/>
        <v>0</v>
      </c>
      <c r="N24" s="235">
        <f t="shared" si="26"/>
        <v>0</v>
      </c>
      <c r="O24" s="99"/>
      <c r="P24" s="97">
        <f t="shared" si="27"/>
        <v>0</v>
      </c>
      <c r="Q24" s="99"/>
      <c r="R24" s="99">
        <f t="shared" si="28"/>
        <v>0</v>
      </c>
      <c r="S24" s="99"/>
      <c r="T24" s="97">
        <f t="shared" si="27"/>
        <v>0</v>
      </c>
      <c r="U24" s="99"/>
      <c r="V24" s="99">
        <f t="shared" si="29"/>
        <v>0</v>
      </c>
      <c r="W24" s="210">
        <f t="shared" si="30"/>
        <v>0</v>
      </c>
      <c r="X24" s="210">
        <f t="shared" si="31"/>
        <v>0</v>
      </c>
      <c r="Y24" s="210">
        <f t="shared" si="32"/>
        <v>0</v>
      </c>
      <c r="Z24" s="210">
        <f t="shared" si="33"/>
        <v>0</v>
      </c>
      <c r="AA24" s="99"/>
      <c r="AB24" s="97">
        <f t="shared" si="34"/>
        <v>0</v>
      </c>
      <c r="AC24" s="99"/>
      <c r="AD24" s="99">
        <f t="shared" si="35"/>
        <v>0</v>
      </c>
      <c r="AE24" s="99"/>
      <c r="AF24" s="97">
        <f t="shared" si="34"/>
        <v>0</v>
      </c>
      <c r="AG24" s="99"/>
      <c r="AH24" s="99">
        <f t="shared" si="36"/>
        <v>0</v>
      </c>
      <c r="AI24" s="99"/>
      <c r="AJ24" s="97">
        <f t="shared" si="10"/>
        <v>0</v>
      </c>
      <c r="AK24" s="99"/>
      <c r="AL24" s="99">
        <f t="shared" si="37"/>
        <v>0</v>
      </c>
      <c r="AM24" s="235">
        <f t="shared" si="38"/>
        <v>0</v>
      </c>
      <c r="AN24" s="235">
        <f t="shared" si="39"/>
        <v>0</v>
      </c>
      <c r="AO24" s="235">
        <f t="shared" si="40"/>
        <v>0</v>
      </c>
      <c r="AP24" s="235">
        <f t="shared" si="41"/>
        <v>0</v>
      </c>
      <c r="AQ24" s="99"/>
      <c r="AR24" s="97">
        <f t="shared" si="42"/>
        <v>0</v>
      </c>
      <c r="AS24" s="258"/>
      <c r="AT24" s="99">
        <f t="shared" si="43"/>
        <v>0</v>
      </c>
      <c r="AU24" s="99"/>
      <c r="AV24" s="115">
        <f t="shared" si="44"/>
        <v>0</v>
      </c>
      <c r="AW24" s="258"/>
      <c r="AX24" s="99">
        <f t="shared" si="45"/>
        <v>0</v>
      </c>
      <c r="AY24" s="99"/>
      <c r="AZ24" s="115"/>
      <c r="BA24" s="99"/>
      <c r="BB24" s="99">
        <f t="shared" si="46"/>
        <v>0</v>
      </c>
      <c r="BC24" s="210">
        <f t="shared" si="47"/>
        <v>0</v>
      </c>
      <c r="BD24" s="210">
        <f t="shared" si="48"/>
        <v>0</v>
      </c>
      <c r="BE24" s="210">
        <f t="shared" si="49"/>
        <v>0</v>
      </c>
      <c r="BF24" s="210">
        <f t="shared" si="50"/>
        <v>0</v>
      </c>
      <c r="BG24" s="99"/>
      <c r="BH24" s="97">
        <f t="shared" si="51"/>
        <v>0</v>
      </c>
      <c r="BI24" s="99"/>
      <c r="BJ24" s="99">
        <f t="shared" si="52"/>
        <v>0</v>
      </c>
      <c r="BK24" s="210">
        <f t="shared" si="53"/>
        <v>0</v>
      </c>
      <c r="BL24" s="210">
        <f t="shared" si="54"/>
        <v>0</v>
      </c>
      <c r="BM24" s="210">
        <f t="shared" si="55"/>
        <v>0</v>
      </c>
      <c r="BN24" s="210">
        <f t="shared" si="56"/>
        <v>0</v>
      </c>
    </row>
    <row r="25" spans="1:66" s="22" customFormat="1" ht="15.75" x14ac:dyDescent="0.2">
      <c r="A25" s="159" t="s">
        <v>125</v>
      </c>
      <c r="B25" s="199" t="s">
        <v>3</v>
      </c>
      <c r="C25" s="163">
        <f t="shared" ref="C25:D25" si="76">C28+C29+C30+C31+C53+C78+C27</f>
        <v>56425</v>
      </c>
      <c r="D25" s="163">
        <f t="shared" si="76"/>
        <v>56425</v>
      </c>
      <c r="E25" s="163">
        <f t="shared" ref="E25" si="77">E28+E29+E30+E31+E53+E78+E27</f>
        <v>57876</v>
      </c>
      <c r="F25" s="163">
        <f t="shared" si="21"/>
        <v>102.57155516171909</v>
      </c>
      <c r="G25" s="163">
        <f t="shared" ref="G25" si="78">G28+G29+G30+G31+G53+G78+G27</f>
        <v>0</v>
      </c>
      <c r="H25" s="162">
        <f t="shared" si="3"/>
        <v>0</v>
      </c>
      <c r="I25" s="163">
        <f t="shared" ref="I25" si="79">I28+I29+I30+I31+I53+I78+I27</f>
        <v>0</v>
      </c>
      <c r="J25" s="163">
        <f t="shared" si="22"/>
        <v>0</v>
      </c>
      <c r="K25" s="235">
        <f t="shared" si="23"/>
        <v>56425</v>
      </c>
      <c r="L25" s="235">
        <f t="shared" si="24"/>
        <v>56425</v>
      </c>
      <c r="M25" s="235">
        <f t="shared" si="25"/>
        <v>57876</v>
      </c>
      <c r="N25" s="235">
        <f t="shared" si="26"/>
        <v>102.57155516171909</v>
      </c>
      <c r="O25" s="163">
        <f t="shared" ref="O25:T25" si="80">O28+O29+O30+O31+O53+O78+O27</f>
        <v>19845</v>
      </c>
      <c r="P25" s="163">
        <f t="shared" si="80"/>
        <v>19845</v>
      </c>
      <c r="Q25" s="163">
        <f t="shared" ref="Q25:U25" si="81">Q28+Q29+Q30+Q31+Q53+Q78+Q27</f>
        <v>22003</v>
      </c>
      <c r="R25" s="163">
        <f t="shared" si="28"/>
        <v>110.8742756361804</v>
      </c>
      <c r="S25" s="163">
        <f t="shared" si="80"/>
        <v>1255</v>
      </c>
      <c r="T25" s="163">
        <f t="shared" si="80"/>
        <v>1255</v>
      </c>
      <c r="U25" s="163">
        <f t="shared" si="81"/>
        <v>1086</v>
      </c>
      <c r="V25" s="163">
        <f t="shared" si="29"/>
        <v>86.533864541832671</v>
      </c>
      <c r="W25" s="210">
        <f t="shared" si="30"/>
        <v>21100</v>
      </c>
      <c r="X25" s="210">
        <f t="shared" si="31"/>
        <v>21100</v>
      </c>
      <c r="Y25" s="210">
        <f t="shared" si="32"/>
        <v>23089</v>
      </c>
      <c r="Z25" s="210">
        <f t="shared" si="33"/>
        <v>109.42654028436019</v>
      </c>
      <c r="AA25" s="163">
        <f t="shared" ref="AA25:AF25" si="82">AA28+AA29+AA30+AA31+AA53+AA78+AA27</f>
        <v>25273.4087</v>
      </c>
      <c r="AB25" s="163">
        <f t="shared" si="82"/>
        <v>25273.4087</v>
      </c>
      <c r="AC25" s="163">
        <f t="shared" ref="AC25:AG25" si="83">AC28+AC29+AC30+AC31+AC53+AC78+AC27</f>
        <v>31805</v>
      </c>
      <c r="AD25" s="163">
        <f t="shared" si="35"/>
        <v>125.84372918402573</v>
      </c>
      <c r="AE25" s="163">
        <f t="shared" si="82"/>
        <v>36126</v>
      </c>
      <c r="AF25" s="163">
        <f t="shared" si="82"/>
        <v>36126</v>
      </c>
      <c r="AG25" s="163">
        <f t="shared" si="83"/>
        <v>30767</v>
      </c>
      <c r="AH25" s="163">
        <f t="shared" si="36"/>
        <v>85.165808558932625</v>
      </c>
      <c r="AI25" s="163">
        <f t="shared" ref="AI25:AJ25" si="84">AI28+AI29+AI30+AI31+AI53+AI78+AI27</f>
        <v>6000</v>
      </c>
      <c r="AJ25" s="163">
        <f t="shared" si="84"/>
        <v>6000</v>
      </c>
      <c r="AK25" s="163">
        <f t="shared" ref="AK25" si="85">AK28+AK29+AK30+AK31+AK53+AK78+AK27</f>
        <v>7355</v>
      </c>
      <c r="AL25" s="163">
        <f t="shared" si="37"/>
        <v>122.58333333333333</v>
      </c>
      <c r="AM25" s="235">
        <f t="shared" si="38"/>
        <v>42126</v>
      </c>
      <c r="AN25" s="235">
        <f t="shared" si="39"/>
        <v>42126</v>
      </c>
      <c r="AO25" s="235">
        <f t="shared" si="40"/>
        <v>38122</v>
      </c>
      <c r="AP25" s="235">
        <f t="shared" si="41"/>
        <v>90.495181123296774</v>
      </c>
      <c r="AQ25" s="163">
        <f t="shared" ref="AQ25" si="86">AQ28+AQ29+AQ30+AQ31+AQ53+AQ78+AQ27</f>
        <v>994</v>
      </c>
      <c r="AR25" s="162">
        <f>AQ25</f>
        <v>994</v>
      </c>
      <c r="AS25" s="258">
        <f t="shared" ref="AS25" si="87">AS28+AS29+AS30+AS31+AS53+AS78+AS27</f>
        <v>994</v>
      </c>
      <c r="AT25" s="163">
        <f t="shared" si="43"/>
        <v>100</v>
      </c>
      <c r="AU25" s="163">
        <f t="shared" ref="AU25" si="88">AU28+AU29+AU30+AU31+AU53+AU78+AU27</f>
        <v>126</v>
      </c>
      <c r="AV25" s="115">
        <f t="shared" si="44"/>
        <v>126</v>
      </c>
      <c r="AW25" s="258">
        <f t="shared" ref="AW25" si="89">AW28+AW29+AW30+AW31+AW53+AW78+AW27</f>
        <v>126</v>
      </c>
      <c r="AX25" s="163">
        <f t="shared" si="45"/>
        <v>100</v>
      </c>
      <c r="AY25" s="163">
        <f t="shared" ref="AY25:AZ25" si="90">AY28+AY29+AY30+AY31+AY53+AY78+AY27</f>
        <v>29436</v>
      </c>
      <c r="AZ25" s="163">
        <f t="shared" si="90"/>
        <v>29436</v>
      </c>
      <c r="BA25" s="163">
        <f t="shared" ref="BA25" si="91">BA28+BA29+BA30+BA31+BA53+BA78+BA27</f>
        <v>23484</v>
      </c>
      <c r="BB25" s="163">
        <f t="shared" si="46"/>
        <v>79.779861394211167</v>
      </c>
      <c r="BC25" s="210">
        <f t="shared" si="47"/>
        <v>30556</v>
      </c>
      <c r="BD25" s="210">
        <f t="shared" si="48"/>
        <v>30556</v>
      </c>
      <c r="BE25" s="210">
        <f t="shared" si="49"/>
        <v>24604</v>
      </c>
      <c r="BF25" s="210">
        <f t="shared" si="50"/>
        <v>80.521010603482139</v>
      </c>
      <c r="BG25" s="163">
        <f t="shared" ref="BG25:BH25" si="92">BG28+BG29+BG30+BG31+BG53+BG78+BG27</f>
        <v>4963</v>
      </c>
      <c r="BH25" s="163">
        <f t="shared" si="92"/>
        <v>4963</v>
      </c>
      <c r="BI25" s="163">
        <f t="shared" ref="BI25" si="93">BI28+BI29+BI30+BI31+BI53+BI78+BI27</f>
        <v>2813</v>
      </c>
      <c r="BJ25" s="163">
        <f t="shared" si="52"/>
        <v>56.679427765464439</v>
      </c>
      <c r="BK25" s="210">
        <f t="shared" si="53"/>
        <v>180443.4087</v>
      </c>
      <c r="BL25" s="210">
        <f t="shared" si="54"/>
        <v>180443.4087</v>
      </c>
      <c r="BM25" s="210">
        <f t="shared" si="55"/>
        <v>178309</v>
      </c>
      <c r="BN25" s="210">
        <f t="shared" si="56"/>
        <v>98.817131246091336</v>
      </c>
    </row>
    <row r="26" spans="1:66" s="22" customFormat="1" ht="15.75" x14ac:dyDescent="0.2">
      <c r="A26" s="154" t="s">
        <v>126</v>
      </c>
      <c r="B26" s="197" t="s">
        <v>3</v>
      </c>
      <c r="C26" s="99"/>
      <c r="D26" s="97">
        <f t="shared" si="20"/>
        <v>0</v>
      </c>
      <c r="E26" s="99"/>
      <c r="F26" s="99">
        <f t="shared" si="21"/>
        <v>0</v>
      </c>
      <c r="G26" s="99"/>
      <c r="H26" s="97">
        <f t="shared" si="3"/>
        <v>0</v>
      </c>
      <c r="I26" s="99"/>
      <c r="J26" s="99">
        <f t="shared" si="22"/>
        <v>0</v>
      </c>
      <c r="K26" s="235">
        <f t="shared" si="23"/>
        <v>0</v>
      </c>
      <c r="L26" s="235">
        <f t="shared" si="24"/>
        <v>0</v>
      </c>
      <c r="M26" s="235">
        <f t="shared" si="25"/>
        <v>0</v>
      </c>
      <c r="N26" s="235">
        <f t="shared" si="26"/>
        <v>0</v>
      </c>
      <c r="O26" s="99"/>
      <c r="P26" s="97">
        <f t="shared" si="27"/>
        <v>0</v>
      </c>
      <c r="Q26" s="99"/>
      <c r="R26" s="99">
        <f t="shared" si="28"/>
        <v>0</v>
      </c>
      <c r="S26" s="99"/>
      <c r="T26" s="97">
        <f t="shared" si="27"/>
        <v>0</v>
      </c>
      <c r="U26" s="99"/>
      <c r="V26" s="99">
        <f t="shared" si="29"/>
        <v>0</v>
      </c>
      <c r="W26" s="210">
        <f t="shared" si="30"/>
        <v>0</v>
      </c>
      <c r="X26" s="210">
        <f t="shared" si="31"/>
        <v>0</v>
      </c>
      <c r="Y26" s="210">
        <f t="shared" si="32"/>
        <v>0</v>
      </c>
      <c r="Z26" s="210">
        <f t="shared" si="33"/>
        <v>0</v>
      </c>
      <c r="AA26" s="99"/>
      <c r="AB26" s="97">
        <f t="shared" si="34"/>
        <v>0</v>
      </c>
      <c r="AC26" s="99"/>
      <c r="AD26" s="99">
        <f t="shared" si="35"/>
        <v>0</v>
      </c>
      <c r="AE26" s="99"/>
      <c r="AF26" s="97">
        <f t="shared" si="34"/>
        <v>0</v>
      </c>
      <c r="AG26" s="99"/>
      <c r="AH26" s="99">
        <f t="shared" si="36"/>
        <v>0</v>
      </c>
      <c r="AI26" s="99"/>
      <c r="AJ26" s="97">
        <f t="shared" si="10"/>
        <v>0</v>
      </c>
      <c r="AK26" s="99"/>
      <c r="AL26" s="99">
        <f t="shared" si="37"/>
        <v>0</v>
      </c>
      <c r="AM26" s="235">
        <f t="shared" si="38"/>
        <v>0</v>
      </c>
      <c r="AN26" s="235">
        <f t="shared" si="39"/>
        <v>0</v>
      </c>
      <c r="AO26" s="235">
        <f t="shared" si="40"/>
        <v>0</v>
      </c>
      <c r="AP26" s="235">
        <f t="shared" si="41"/>
        <v>0</v>
      </c>
      <c r="AQ26" s="99"/>
      <c r="AR26" s="162">
        <f t="shared" ref="AR26:AR88" si="94">AQ26</f>
        <v>0</v>
      </c>
      <c r="AS26" s="258"/>
      <c r="AT26" s="99">
        <f t="shared" si="43"/>
        <v>0</v>
      </c>
      <c r="AU26" s="99"/>
      <c r="AV26" s="115">
        <f t="shared" si="44"/>
        <v>0</v>
      </c>
      <c r="AW26" s="258"/>
      <c r="AX26" s="99">
        <f t="shared" si="45"/>
        <v>0</v>
      </c>
      <c r="AY26" s="99"/>
      <c r="AZ26" s="331"/>
      <c r="BA26" s="99"/>
      <c r="BB26" s="99">
        <f t="shared" si="46"/>
        <v>0</v>
      </c>
      <c r="BC26" s="210">
        <f t="shared" si="47"/>
        <v>0</v>
      </c>
      <c r="BD26" s="210">
        <f t="shared" si="48"/>
        <v>0</v>
      </c>
      <c r="BE26" s="210">
        <f t="shared" si="49"/>
        <v>0</v>
      </c>
      <c r="BF26" s="210">
        <f t="shared" si="50"/>
        <v>0</v>
      </c>
      <c r="BG26" s="99"/>
      <c r="BH26" s="97">
        <f t="shared" si="51"/>
        <v>0</v>
      </c>
      <c r="BI26" s="99"/>
      <c r="BJ26" s="99">
        <f t="shared" si="52"/>
        <v>0</v>
      </c>
      <c r="BK26" s="210">
        <f t="shared" si="53"/>
        <v>0</v>
      </c>
      <c r="BL26" s="210">
        <f t="shared" si="54"/>
        <v>0</v>
      </c>
      <c r="BM26" s="210">
        <f t="shared" si="55"/>
        <v>0</v>
      </c>
      <c r="BN26" s="210">
        <f t="shared" si="56"/>
        <v>0</v>
      </c>
    </row>
    <row r="27" spans="1:66" ht="15.75" x14ac:dyDescent="0.25">
      <c r="A27" s="164" t="s">
        <v>199</v>
      </c>
      <c r="B27" s="197"/>
      <c r="C27" s="99"/>
      <c r="D27" s="97">
        <f t="shared" si="20"/>
        <v>0</v>
      </c>
      <c r="E27" s="99"/>
      <c r="F27" s="99">
        <f t="shared" si="21"/>
        <v>0</v>
      </c>
      <c r="G27" s="99"/>
      <c r="H27" s="97">
        <f t="shared" si="3"/>
        <v>0</v>
      </c>
      <c r="I27" s="99"/>
      <c r="J27" s="99">
        <f t="shared" si="22"/>
        <v>0</v>
      </c>
      <c r="K27" s="235">
        <f t="shared" si="23"/>
        <v>0</v>
      </c>
      <c r="L27" s="235">
        <f t="shared" si="24"/>
        <v>0</v>
      </c>
      <c r="M27" s="235">
        <f t="shared" si="25"/>
        <v>0</v>
      </c>
      <c r="N27" s="235">
        <f t="shared" si="26"/>
        <v>0</v>
      </c>
      <c r="O27" s="99"/>
      <c r="P27" s="97">
        <f t="shared" si="27"/>
        <v>0</v>
      </c>
      <c r="Q27" s="99"/>
      <c r="R27" s="99">
        <f t="shared" si="28"/>
        <v>0</v>
      </c>
      <c r="S27" s="99"/>
      <c r="T27" s="97">
        <f t="shared" si="27"/>
        <v>0</v>
      </c>
      <c r="U27" s="99"/>
      <c r="V27" s="99">
        <f t="shared" si="29"/>
        <v>0</v>
      </c>
      <c r="W27" s="210">
        <f t="shared" si="30"/>
        <v>0</v>
      </c>
      <c r="X27" s="210">
        <f t="shared" si="31"/>
        <v>0</v>
      </c>
      <c r="Y27" s="210">
        <f t="shared" si="32"/>
        <v>0</v>
      </c>
      <c r="Z27" s="210">
        <f t="shared" si="33"/>
        <v>0</v>
      </c>
      <c r="AA27" s="99"/>
      <c r="AB27" s="97">
        <f t="shared" si="34"/>
        <v>0</v>
      </c>
      <c r="AC27" s="99"/>
      <c r="AD27" s="99">
        <f t="shared" si="35"/>
        <v>0</v>
      </c>
      <c r="AE27" s="99"/>
      <c r="AF27" s="97">
        <f t="shared" si="34"/>
        <v>0</v>
      </c>
      <c r="AG27" s="99"/>
      <c r="AH27" s="99">
        <f t="shared" si="36"/>
        <v>0</v>
      </c>
      <c r="AI27" s="99"/>
      <c r="AJ27" s="97">
        <f t="shared" si="10"/>
        <v>0</v>
      </c>
      <c r="AK27" s="99"/>
      <c r="AL27" s="99">
        <f t="shared" si="37"/>
        <v>0</v>
      </c>
      <c r="AM27" s="235">
        <f t="shared" si="38"/>
        <v>0</v>
      </c>
      <c r="AN27" s="235">
        <f t="shared" si="39"/>
        <v>0</v>
      </c>
      <c r="AO27" s="235">
        <f t="shared" si="40"/>
        <v>0</v>
      </c>
      <c r="AP27" s="235">
        <f t="shared" si="41"/>
        <v>0</v>
      </c>
      <c r="AQ27" s="99"/>
      <c r="AR27" s="162">
        <f t="shared" si="94"/>
        <v>0</v>
      </c>
      <c r="AS27" s="258"/>
      <c r="AT27" s="99">
        <f t="shared" si="43"/>
        <v>0</v>
      </c>
      <c r="AU27" s="99"/>
      <c r="AV27" s="115">
        <f t="shared" si="44"/>
        <v>0</v>
      </c>
      <c r="AW27" s="258"/>
      <c r="AX27" s="99">
        <f t="shared" si="45"/>
        <v>0</v>
      </c>
      <c r="AY27" s="99"/>
      <c r="AZ27" s="331"/>
      <c r="BA27" s="99"/>
      <c r="BB27" s="99">
        <f t="shared" si="46"/>
        <v>0</v>
      </c>
      <c r="BC27" s="210">
        <f t="shared" si="47"/>
        <v>0</v>
      </c>
      <c r="BD27" s="210">
        <f t="shared" si="48"/>
        <v>0</v>
      </c>
      <c r="BE27" s="210">
        <f t="shared" si="49"/>
        <v>0</v>
      </c>
      <c r="BF27" s="210">
        <f t="shared" si="50"/>
        <v>0</v>
      </c>
      <c r="BG27" s="99"/>
      <c r="BH27" s="97">
        <f t="shared" si="51"/>
        <v>0</v>
      </c>
      <c r="BI27" s="99"/>
      <c r="BJ27" s="99">
        <f t="shared" si="52"/>
        <v>0</v>
      </c>
      <c r="BK27" s="210">
        <f t="shared" si="53"/>
        <v>0</v>
      </c>
      <c r="BL27" s="210">
        <f t="shared" si="54"/>
        <v>0</v>
      </c>
      <c r="BM27" s="210">
        <f t="shared" si="55"/>
        <v>0</v>
      </c>
      <c r="BN27" s="210">
        <f t="shared" si="56"/>
        <v>0</v>
      </c>
    </row>
    <row r="28" spans="1:66" s="17" customFormat="1" ht="47.25" x14ac:dyDescent="0.2">
      <c r="A28" s="154" t="s">
        <v>138</v>
      </c>
      <c r="B28" s="197" t="s">
        <v>3</v>
      </c>
      <c r="C28" s="99"/>
      <c r="D28" s="97">
        <f t="shared" si="20"/>
        <v>0</v>
      </c>
      <c r="E28" s="99"/>
      <c r="F28" s="99">
        <f t="shared" si="21"/>
        <v>0</v>
      </c>
      <c r="G28" s="99"/>
      <c r="H28" s="97">
        <f t="shared" si="3"/>
        <v>0</v>
      </c>
      <c r="I28" s="99"/>
      <c r="J28" s="99">
        <f t="shared" si="22"/>
        <v>0</v>
      </c>
      <c r="K28" s="235">
        <f t="shared" si="23"/>
        <v>0</v>
      </c>
      <c r="L28" s="235">
        <f t="shared" si="24"/>
        <v>0</v>
      </c>
      <c r="M28" s="235">
        <f t="shared" si="25"/>
        <v>0</v>
      </c>
      <c r="N28" s="235">
        <f t="shared" si="26"/>
        <v>0</v>
      </c>
      <c r="O28" s="99"/>
      <c r="P28" s="97">
        <f t="shared" ref="P28:T45" si="95">ROUND(O28/12*$A$7,0)</f>
        <v>0</v>
      </c>
      <c r="Q28" s="99"/>
      <c r="R28" s="99">
        <f t="shared" si="28"/>
        <v>0</v>
      </c>
      <c r="S28" s="99"/>
      <c r="T28" s="97">
        <f t="shared" si="95"/>
        <v>0</v>
      </c>
      <c r="U28" s="99"/>
      <c r="V28" s="99">
        <f t="shared" si="29"/>
        <v>0</v>
      </c>
      <c r="W28" s="210">
        <f t="shared" si="30"/>
        <v>0</v>
      </c>
      <c r="X28" s="210">
        <f t="shared" si="31"/>
        <v>0</v>
      </c>
      <c r="Y28" s="210">
        <f t="shared" si="32"/>
        <v>0</v>
      </c>
      <c r="Z28" s="210">
        <f t="shared" si="33"/>
        <v>0</v>
      </c>
      <c r="AA28" s="99"/>
      <c r="AB28" s="97">
        <f t="shared" ref="AB28:AF32" si="96">ROUND(AA28/12*$A$7,0)</f>
        <v>0</v>
      </c>
      <c r="AC28" s="99"/>
      <c r="AD28" s="99">
        <f t="shared" si="35"/>
        <v>0</v>
      </c>
      <c r="AE28" s="99"/>
      <c r="AF28" s="97">
        <f t="shared" si="96"/>
        <v>0</v>
      </c>
      <c r="AG28" s="99"/>
      <c r="AH28" s="99">
        <f t="shared" si="36"/>
        <v>0</v>
      </c>
      <c r="AI28" s="99"/>
      <c r="AJ28" s="97">
        <f t="shared" si="10"/>
        <v>0</v>
      </c>
      <c r="AK28" s="99"/>
      <c r="AL28" s="99">
        <f t="shared" si="37"/>
        <v>0</v>
      </c>
      <c r="AM28" s="235">
        <f t="shared" si="38"/>
        <v>0</v>
      </c>
      <c r="AN28" s="235">
        <f t="shared" si="39"/>
        <v>0</v>
      </c>
      <c r="AO28" s="235">
        <f t="shared" si="40"/>
        <v>0</v>
      </c>
      <c r="AP28" s="235">
        <f t="shared" si="41"/>
        <v>0</v>
      </c>
      <c r="AQ28" s="99"/>
      <c r="AR28" s="162">
        <f t="shared" si="94"/>
        <v>0</v>
      </c>
      <c r="AS28" s="258"/>
      <c r="AT28" s="99">
        <f t="shared" si="43"/>
        <v>0</v>
      </c>
      <c r="AU28" s="99"/>
      <c r="AV28" s="115">
        <f t="shared" si="44"/>
        <v>0</v>
      </c>
      <c r="AW28" s="258"/>
      <c r="AX28" s="99">
        <f t="shared" si="45"/>
        <v>0</v>
      </c>
      <c r="AY28" s="99"/>
      <c r="AZ28" s="331"/>
      <c r="BA28" s="99"/>
      <c r="BB28" s="99">
        <f t="shared" si="46"/>
        <v>0</v>
      </c>
      <c r="BC28" s="210">
        <f t="shared" si="47"/>
        <v>0</v>
      </c>
      <c r="BD28" s="210">
        <f t="shared" si="48"/>
        <v>0</v>
      </c>
      <c r="BE28" s="210">
        <f t="shared" si="49"/>
        <v>0</v>
      </c>
      <c r="BF28" s="210">
        <f t="shared" si="50"/>
        <v>0</v>
      </c>
      <c r="BG28" s="99"/>
      <c r="BH28" s="97">
        <f t="shared" si="51"/>
        <v>0</v>
      </c>
      <c r="BI28" s="99"/>
      <c r="BJ28" s="99">
        <f t="shared" si="52"/>
        <v>0</v>
      </c>
      <c r="BK28" s="210">
        <f t="shared" si="53"/>
        <v>0</v>
      </c>
      <c r="BL28" s="210">
        <f t="shared" si="54"/>
        <v>0</v>
      </c>
      <c r="BM28" s="210">
        <f t="shared" si="55"/>
        <v>0</v>
      </c>
      <c r="BN28" s="210">
        <f t="shared" si="56"/>
        <v>0</v>
      </c>
    </row>
    <row r="29" spans="1:66" ht="31.5" x14ac:dyDescent="0.2">
      <c r="A29" s="154" t="s">
        <v>139</v>
      </c>
      <c r="B29" s="197" t="s">
        <v>3</v>
      </c>
      <c r="C29" s="99"/>
      <c r="D29" s="97">
        <f t="shared" si="20"/>
        <v>0</v>
      </c>
      <c r="E29" s="99"/>
      <c r="F29" s="99">
        <f t="shared" si="21"/>
        <v>0</v>
      </c>
      <c r="G29" s="99"/>
      <c r="H29" s="97">
        <f t="shared" si="3"/>
        <v>0</v>
      </c>
      <c r="I29" s="99"/>
      <c r="J29" s="99">
        <f t="shared" si="22"/>
        <v>0</v>
      </c>
      <c r="K29" s="235">
        <f t="shared" si="23"/>
        <v>0</v>
      </c>
      <c r="L29" s="235">
        <f t="shared" si="24"/>
        <v>0</v>
      </c>
      <c r="M29" s="235">
        <f t="shared" si="25"/>
        <v>0</v>
      </c>
      <c r="N29" s="235">
        <f t="shared" si="26"/>
        <v>0</v>
      </c>
      <c r="O29" s="99"/>
      <c r="P29" s="97">
        <f t="shared" si="95"/>
        <v>0</v>
      </c>
      <c r="Q29" s="99"/>
      <c r="R29" s="99">
        <f t="shared" si="28"/>
        <v>0</v>
      </c>
      <c r="S29" s="99"/>
      <c r="T29" s="97">
        <f t="shared" si="95"/>
        <v>0</v>
      </c>
      <c r="U29" s="99"/>
      <c r="V29" s="99">
        <f t="shared" si="29"/>
        <v>0</v>
      </c>
      <c r="W29" s="210">
        <f t="shared" si="30"/>
        <v>0</v>
      </c>
      <c r="X29" s="210">
        <f t="shared" si="31"/>
        <v>0</v>
      </c>
      <c r="Y29" s="210">
        <f t="shared" si="32"/>
        <v>0</v>
      </c>
      <c r="Z29" s="210">
        <f t="shared" si="33"/>
        <v>0</v>
      </c>
      <c r="AA29" s="99"/>
      <c r="AB29" s="97">
        <f t="shared" si="96"/>
        <v>0</v>
      </c>
      <c r="AC29" s="99"/>
      <c r="AD29" s="99">
        <f t="shared" si="35"/>
        <v>0</v>
      </c>
      <c r="AE29" s="99"/>
      <c r="AF29" s="97">
        <f t="shared" si="96"/>
        <v>0</v>
      </c>
      <c r="AG29" s="99"/>
      <c r="AH29" s="99">
        <f t="shared" si="36"/>
        <v>0</v>
      </c>
      <c r="AI29" s="99"/>
      <c r="AJ29" s="97">
        <f t="shared" si="10"/>
        <v>0</v>
      </c>
      <c r="AK29" s="99"/>
      <c r="AL29" s="99">
        <f t="shared" si="37"/>
        <v>0</v>
      </c>
      <c r="AM29" s="235">
        <f t="shared" si="38"/>
        <v>0</v>
      </c>
      <c r="AN29" s="235">
        <f t="shared" si="39"/>
        <v>0</v>
      </c>
      <c r="AO29" s="235">
        <f t="shared" si="40"/>
        <v>0</v>
      </c>
      <c r="AP29" s="235">
        <f t="shared" si="41"/>
        <v>0</v>
      </c>
      <c r="AQ29" s="99"/>
      <c r="AR29" s="162">
        <f t="shared" si="94"/>
        <v>0</v>
      </c>
      <c r="AS29" s="258"/>
      <c r="AT29" s="99">
        <f t="shared" si="43"/>
        <v>0</v>
      </c>
      <c r="AU29" s="99"/>
      <c r="AV29" s="115">
        <f t="shared" si="44"/>
        <v>0</v>
      </c>
      <c r="AW29" s="258"/>
      <c r="AX29" s="99">
        <f t="shared" si="45"/>
        <v>0</v>
      </c>
      <c r="AY29" s="99"/>
      <c r="AZ29" s="331"/>
      <c r="BA29" s="99"/>
      <c r="BB29" s="99">
        <f t="shared" si="46"/>
        <v>0</v>
      </c>
      <c r="BC29" s="210">
        <f t="shared" si="47"/>
        <v>0</v>
      </c>
      <c r="BD29" s="210">
        <f t="shared" si="48"/>
        <v>0</v>
      </c>
      <c r="BE29" s="210">
        <f t="shared" si="49"/>
        <v>0</v>
      </c>
      <c r="BF29" s="210">
        <f t="shared" si="50"/>
        <v>0</v>
      </c>
      <c r="BG29" s="99"/>
      <c r="BH29" s="97">
        <f t="shared" si="51"/>
        <v>0</v>
      </c>
      <c r="BI29" s="99"/>
      <c r="BJ29" s="99">
        <f t="shared" si="52"/>
        <v>0</v>
      </c>
      <c r="BK29" s="210">
        <f t="shared" si="53"/>
        <v>0</v>
      </c>
      <c r="BL29" s="210">
        <f t="shared" si="54"/>
        <v>0</v>
      </c>
      <c r="BM29" s="210">
        <f t="shared" si="55"/>
        <v>0</v>
      </c>
      <c r="BN29" s="210">
        <f t="shared" si="56"/>
        <v>0</v>
      </c>
    </row>
    <row r="30" spans="1:66" ht="31.5" x14ac:dyDescent="0.2">
      <c r="A30" s="154" t="s">
        <v>140</v>
      </c>
      <c r="B30" s="197" t="s">
        <v>3</v>
      </c>
      <c r="C30" s="99"/>
      <c r="D30" s="97">
        <f t="shared" si="20"/>
        <v>0</v>
      </c>
      <c r="E30" s="99"/>
      <c r="F30" s="99">
        <f t="shared" si="21"/>
        <v>0</v>
      </c>
      <c r="G30" s="99"/>
      <c r="H30" s="97">
        <f t="shared" si="3"/>
        <v>0</v>
      </c>
      <c r="I30" s="99"/>
      <c r="J30" s="99">
        <f t="shared" si="22"/>
        <v>0</v>
      </c>
      <c r="K30" s="235">
        <f t="shared" si="23"/>
        <v>0</v>
      </c>
      <c r="L30" s="235">
        <f t="shared" si="24"/>
        <v>0</v>
      </c>
      <c r="M30" s="235">
        <f t="shared" si="25"/>
        <v>0</v>
      </c>
      <c r="N30" s="235">
        <f t="shared" si="26"/>
        <v>0</v>
      </c>
      <c r="O30" s="99"/>
      <c r="P30" s="97">
        <f t="shared" si="95"/>
        <v>0</v>
      </c>
      <c r="Q30" s="99"/>
      <c r="R30" s="99">
        <f t="shared" si="28"/>
        <v>0</v>
      </c>
      <c r="S30" s="99"/>
      <c r="T30" s="97">
        <f t="shared" si="95"/>
        <v>0</v>
      </c>
      <c r="U30" s="99"/>
      <c r="V30" s="99">
        <f t="shared" si="29"/>
        <v>0</v>
      </c>
      <c r="W30" s="210">
        <f t="shared" si="30"/>
        <v>0</v>
      </c>
      <c r="X30" s="210">
        <f t="shared" si="31"/>
        <v>0</v>
      </c>
      <c r="Y30" s="210">
        <f t="shared" si="32"/>
        <v>0</v>
      </c>
      <c r="Z30" s="210">
        <f t="shared" si="33"/>
        <v>0</v>
      </c>
      <c r="AA30" s="99"/>
      <c r="AB30" s="97">
        <f t="shared" si="96"/>
        <v>0</v>
      </c>
      <c r="AC30" s="99"/>
      <c r="AD30" s="99">
        <f t="shared" si="35"/>
        <v>0</v>
      </c>
      <c r="AE30" s="99"/>
      <c r="AF30" s="97">
        <f t="shared" si="96"/>
        <v>0</v>
      </c>
      <c r="AG30" s="99"/>
      <c r="AH30" s="99">
        <f t="shared" si="36"/>
        <v>0</v>
      </c>
      <c r="AI30" s="99"/>
      <c r="AJ30" s="97">
        <f t="shared" si="10"/>
        <v>0</v>
      </c>
      <c r="AK30" s="99"/>
      <c r="AL30" s="99">
        <f t="shared" si="37"/>
        <v>0</v>
      </c>
      <c r="AM30" s="235">
        <f t="shared" si="38"/>
        <v>0</v>
      </c>
      <c r="AN30" s="235">
        <f t="shared" si="39"/>
        <v>0</v>
      </c>
      <c r="AO30" s="235">
        <f t="shared" si="40"/>
        <v>0</v>
      </c>
      <c r="AP30" s="235">
        <f t="shared" si="41"/>
        <v>0</v>
      </c>
      <c r="AQ30" s="99"/>
      <c r="AR30" s="162">
        <f t="shared" si="94"/>
        <v>0</v>
      </c>
      <c r="AS30" s="258"/>
      <c r="AT30" s="99">
        <f t="shared" si="43"/>
        <v>0</v>
      </c>
      <c r="AU30" s="99"/>
      <c r="AV30" s="115">
        <f t="shared" si="44"/>
        <v>0</v>
      </c>
      <c r="AW30" s="258"/>
      <c r="AX30" s="99">
        <f t="shared" si="45"/>
        <v>0</v>
      </c>
      <c r="AY30" s="99"/>
      <c r="AZ30" s="331"/>
      <c r="BA30" s="99"/>
      <c r="BB30" s="99">
        <f t="shared" si="46"/>
        <v>0</v>
      </c>
      <c r="BC30" s="210">
        <f t="shared" si="47"/>
        <v>0</v>
      </c>
      <c r="BD30" s="210">
        <f t="shared" si="48"/>
        <v>0</v>
      </c>
      <c r="BE30" s="210">
        <f t="shared" si="49"/>
        <v>0</v>
      </c>
      <c r="BF30" s="210">
        <f t="shared" si="50"/>
        <v>0</v>
      </c>
      <c r="BG30" s="99"/>
      <c r="BH30" s="97">
        <f t="shared" si="51"/>
        <v>0</v>
      </c>
      <c r="BI30" s="99"/>
      <c r="BJ30" s="99">
        <f t="shared" si="52"/>
        <v>0</v>
      </c>
      <c r="BK30" s="210">
        <f t="shared" si="53"/>
        <v>0</v>
      </c>
      <c r="BL30" s="210">
        <f t="shared" si="54"/>
        <v>0</v>
      </c>
      <c r="BM30" s="210">
        <f t="shared" si="55"/>
        <v>0</v>
      </c>
      <c r="BN30" s="210">
        <f t="shared" si="56"/>
        <v>0</v>
      </c>
    </row>
    <row r="31" spans="1:66" ht="31.5" x14ac:dyDescent="0.2">
      <c r="A31" s="165" t="s">
        <v>141</v>
      </c>
      <c r="B31" s="199" t="s">
        <v>3</v>
      </c>
      <c r="C31" s="163">
        <f t="shared" ref="C31:D31" si="97">C33+C41*2+C43+C48</f>
        <v>11162</v>
      </c>
      <c r="D31" s="163">
        <f t="shared" si="97"/>
        <v>11162</v>
      </c>
      <c r="E31" s="163">
        <f>E33+E41*2+E43+E48+E42</f>
        <v>11302</v>
      </c>
      <c r="F31" s="163">
        <f t="shared" si="21"/>
        <v>101.25425550976527</v>
      </c>
      <c r="G31" s="163">
        <f t="shared" ref="G31" si="98">G33+G41*2+G43+G48</f>
        <v>0</v>
      </c>
      <c r="H31" s="162">
        <f t="shared" si="3"/>
        <v>0</v>
      </c>
      <c r="I31" s="163">
        <f>I33+I41+I43+I48</f>
        <v>0</v>
      </c>
      <c r="J31" s="163">
        <f t="shared" si="22"/>
        <v>0</v>
      </c>
      <c r="K31" s="235">
        <f t="shared" si="23"/>
        <v>11162</v>
      </c>
      <c r="L31" s="235">
        <f t="shared" si="24"/>
        <v>11162</v>
      </c>
      <c r="M31" s="235">
        <f t="shared" si="25"/>
        <v>11302</v>
      </c>
      <c r="N31" s="235">
        <f t="shared" si="26"/>
        <v>101.25425550976527</v>
      </c>
      <c r="O31" s="163">
        <f t="shared" ref="O31:T31" si="99">O33+O41*2+O43+O48</f>
        <v>6423</v>
      </c>
      <c r="P31" s="163">
        <f t="shared" si="99"/>
        <v>6423</v>
      </c>
      <c r="Q31" s="163">
        <f>Q33+Q41*2+Q43+Q48+Q42</f>
        <v>5714</v>
      </c>
      <c r="R31" s="163">
        <f t="shared" si="28"/>
        <v>88.961544449634118</v>
      </c>
      <c r="S31" s="163">
        <f t="shared" si="99"/>
        <v>1055</v>
      </c>
      <c r="T31" s="163">
        <f t="shared" si="99"/>
        <v>1055</v>
      </c>
      <c r="U31" s="163">
        <f>U33+U41*2+U43+U48+U42</f>
        <v>962</v>
      </c>
      <c r="V31" s="163">
        <f t="shared" si="29"/>
        <v>91.184834123222743</v>
      </c>
      <c r="W31" s="210">
        <f t="shared" si="30"/>
        <v>7478</v>
      </c>
      <c r="X31" s="210">
        <f t="shared" si="31"/>
        <v>7478</v>
      </c>
      <c r="Y31" s="210">
        <f t="shared" si="32"/>
        <v>6676</v>
      </c>
      <c r="Z31" s="210">
        <f t="shared" si="33"/>
        <v>89.275207274672368</v>
      </c>
      <c r="AA31" s="163">
        <f t="shared" ref="AA31:AF31" si="100">AA33+AA41*2+AA43+AA48</f>
        <v>7814.4087</v>
      </c>
      <c r="AB31" s="163">
        <f t="shared" si="100"/>
        <v>7814.4087</v>
      </c>
      <c r="AC31" s="163">
        <f>AC33+AC41*2+AC43+AC48+AC42</f>
        <v>7710</v>
      </c>
      <c r="AD31" s="163">
        <f t="shared" si="35"/>
        <v>98.663895068605768</v>
      </c>
      <c r="AE31" s="163">
        <f t="shared" si="100"/>
        <v>17132</v>
      </c>
      <c r="AF31" s="163">
        <f t="shared" si="100"/>
        <v>17132</v>
      </c>
      <c r="AG31" s="163">
        <f>AG33+AG41*2+AG43+AG48+AG42</f>
        <v>9950</v>
      </c>
      <c r="AH31" s="163">
        <f t="shared" si="36"/>
        <v>58.078449684800368</v>
      </c>
      <c r="AI31" s="163">
        <f t="shared" ref="AI31" si="101">AI33+AI41*2+AI43+AI48</f>
        <v>0</v>
      </c>
      <c r="AJ31" s="162">
        <f t="shared" si="10"/>
        <v>0</v>
      </c>
      <c r="AK31" s="163">
        <f>AK33+AK41+AK43+AK48</f>
        <v>0</v>
      </c>
      <c r="AL31" s="163">
        <f t="shared" si="37"/>
        <v>0</v>
      </c>
      <c r="AM31" s="235">
        <f t="shared" si="38"/>
        <v>17132</v>
      </c>
      <c r="AN31" s="235">
        <f t="shared" si="39"/>
        <v>17132</v>
      </c>
      <c r="AO31" s="235">
        <f t="shared" si="40"/>
        <v>9950</v>
      </c>
      <c r="AP31" s="235">
        <f t="shared" si="41"/>
        <v>58.078449684800368</v>
      </c>
      <c r="AQ31" s="163">
        <f t="shared" ref="AQ31" si="102">AQ33+AQ41*2+AQ43+AQ48</f>
        <v>121</v>
      </c>
      <c r="AR31" s="162">
        <f t="shared" si="94"/>
        <v>121</v>
      </c>
      <c r="AS31" s="258">
        <f>AS33+AS41*2+AS43+AS48</f>
        <v>121</v>
      </c>
      <c r="AT31" s="163">
        <f t="shared" si="43"/>
        <v>100</v>
      </c>
      <c r="AU31" s="163">
        <f t="shared" ref="AU31" si="103">AU33+AU41*2+AU43+AU48</f>
        <v>126</v>
      </c>
      <c r="AV31" s="115">
        <f t="shared" si="44"/>
        <v>126</v>
      </c>
      <c r="AW31" s="258">
        <f>AW33+AW41*2+AW43+AW48</f>
        <v>126</v>
      </c>
      <c r="AX31" s="163">
        <f t="shared" si="45"/>
        <v>100</v>
      </c>
      <c r="AY31" s="163">
        <f t="shared" ref="AY31:AZ31" si="104">AY33+AY41*2+AY43+AY48</f>
        <v>5988</v>
      </c>
      <c r="AZ31" s="163">
        <f t="shared" si="104"/>
        <v>5988</v>
      </c>
      <c r="BA31" s="163">
        <f>BA33+BA41*2+BA43+BA48+BA42</f>
        <v>6662</v>
      </c>
      <c r="BB31" s="163">
        <f t="shared" si="46"/>
        <v>111.25584502338009</v>
      </c>
      <c r="BC31" s="210">
        <f t="shared" si="47"/>
        <v>6235</v>
      </c>
      <c r="BD31" s="210">
        <f t="shared" si="48"/>
        <v>6235</v>
      </c>
      <c r="BE31" s="210">
        <f t="shared" si="49"/>
        <v>6909</v>
      </c>
      <c r="BF31" s="210">
        <f t="shared" si="50"/>
        <v>110.80994386527667</v>
      </c>
      <c r="BG31" s="163">
        <f t="shared" ref="BG31:BH31" si="105">BG33+BG41*2+BG43+BG48</f>
        <v>1168</v>
      </c>
      <c r="BH31" s="163">
        <f t="shared" si="105"/>
        <v>1168</v>
      </c>
      <c r="BI31" s="163">
        <f>BI33+BI41*2+BI43+BI48+BI42</f>
        <v>547</v>
      </c>
      <c r="BJ31" s="163">
        <f t="shared" si="52"/>
        <v>46.832191780821915</v>
      </c>
      <c r="BK31" s="210">
        <f t="shared" si="53"/>
        <v>50989.4087</v>
      </c>
      <c r="BL31" s="210">
        <f t="shared" si="54"/>
        <v>50989.4087</v>
      </c>
      <c r="BM31" s="210">
        <f t="shared" si="55"/>
        <v>43094</v>
      </c>
      <c r="BN31" s="210">
        <f t="shared" si="56"/>
        <v>84.515590783856254</v>
      </c>
    </row>
    <row r="32" spans="1:66" ht="15.75" x14ac:dyDescent="0.2">
      <c r="A32" s="154" t="s">
        <v>132</v>
      </c>
      <c r="B32" s="200"/>
      <c r="C32" s="212"/>
      <c r="D32" s="97">
        <f t="shared" si="20"/>
        <v>0</v>
      </c>
      <c r="E32" s="212"/>
      <c r="F32" s="99">
        <f t="shared" si="21"/>
        <v>0</v>
      </c>
      <c r="G32" s="212"/>
      <c r="H32" s="97">
        <f t="shared" si="3"/>
        <v>0</v>
      </c>
      <c r="I32" s="212"/>
      <c r="J32" s="99">
        <f t="shared" si="22"/>
        <v>0</v>
      </c>
      <c r="K32" s="235">
        <f t="shared" si="23"/>
        <v>0</v>
      </c>
      <c r="L32" s="235">
        <f t="shared" si="24"/>
        <v>0</v>
      </c>
      <c r="M32" s="235">
        <f t="shared" si="25"/>
        <v>0</v>
      </c>
      <c r="N32" s="235">
        <f t="shared" si="26"/>
        <v>0</v>
      </c>
      <c r="O32" s="212"/>
      <c r="P32" s="97">
        <f t="shared" si="95"/>
        <v>0</v>
      </c>
      <c r="Q32" s="212"/>
      <c r="R32" s="99">
        <f t="shared" si="28"/>
        <v>0</v>
      </c>
      <c r="S32" s="212"/>
      <c r="T32" s="97">
        <f t="shared" si="95"/>
        <v>0</v>
      </c>
      <c r="U32" s="212"/>
      <c r="V32" s="99">
        <f t="shared" si="29"/>
        <v>0</v>
      </c>
      <c r="W32" s="210">
        <f t="shared" si="30"/>
        <v>0</v>
      </c>
      <c r="X32" s="210">
        <f t="shared" si="31"/>
        <v>0</v>
      </c>
      <c r="Y32" s="210">
        <f t="shared" si="32"/>
        <v>0</v>
      </c>
      <c r="Z32" s="210">
        <f t="shared" si="33"/>
        <v>0</v>
      </c>
      <c r="AA32" s="212"/>
      <c r="AB32" s="97">
        <f t="shared" si="96"/>
        <v>0</v>
      </c>
      <c r="AC32" s="212"/>
      <c r="AD32" s="99">
        <f t="shared" si="35"/>
        <v>0</v>
      </c>
      <c r="AE32" s="212"/>
      <c r="AF32" s="97">
        <f t="shared" si="96"/>
        <v>0</v>
      </c>
      <c r="AG32" s="212"/>
      <c r="AH32" s="99">
        <f t="shared" si="36"/>
        <v>0</v>
      </c>
      <c r="AI32" s="212"/>
      <c r="AJ32" s="97">
        <f t="shared" si="10"/>
        <v>0</v>
      </c>
      <c r="AK32" s="212"/>
      <c r="AL32" s="99">
        <f t="shared" si="37"/>
        <v>0</v>
      </c>
      <c r="AM32" s="235">
        <f t="shared" si="38"/>
        <v>0</v>
      </c>
      <c r="AN32" s="235">
        <f t="shared" si="39"/>
        <v>0</v>
      </c>
      <c r="AO32" s="235">
        <f t="shared" si="40"/>
        <v>0</v>
      </c>
      <c r="AP32" s="235">
        <f t="shared" si="41"/>
        <v>0</v>
      </c>
      <c r="AQ32" s="212"/>
      <c r="AR32" s="162">
        <f t="shared" si="94"/>
        <v>0</v>
      </c>
      <c r="AS32" s="258"/>
      <c r="AT32" s="99">
        <f t="shared" si="43"/>
        <v>0</v>
      </c>
      <c r="AU32" s="212"/>
      <c r="AV32" s="115">
        <f t="shared" si="44"/>
        <v>0</v>
      </c>
      <c r="AW32" s="258"/>
      <c r="AX32" s="99">
        <f t="shared" si="45"/>
        <v>0</v>
      </c>
      <c r="AY32" s="212"/>
      <c r="AZ32" s="115"/>
      <c r="BA32" s="212"/>
      <c r="BB32" s="99">
        <f t="shared" si="46"/>
        <v>0</v>
      </c>
      <c r="BC32" s="210">
        <f t="shared" si="47"/>
        <v>0</v>
      </c>
      <c r="BD32" s="210">
        <f t="shared" si="48"/>
        <v>0</v>
      </c>
      <c r="BE32" s="210">
        <f t="shared" si="49"/>
        <v>0</v>
      </c>
      <c r="BF32" s="210">
        <f t="shared" si="50"/>
        <v>0</v>
      </c>
      <c r="BG32" s="212"/>
      <c r="BH32" s="97">
        <f t="shared" si="51"/>
        <v>0</v>
      </c>
      <c r="BI32" s="212"/>
      <c r="BJ32" s="99">
        <f t="shared" si="52"/>
        <v>0</v>
      </c>
      <c r="BK32" s="210">
        <f t="shared" si="53"/>
        <v>0</v>
      </c>
      <c r="BL32" s="210">
        <f t="shared" si="54"/>
        <v>0</v>
      </c>
      <c r="BM32" s="210">
        <f t="shared" si="55"/>
        <v>0</v>
      </c>
      <c r="BN32" s="210">
        <f t="shared" si="56"/>
        <v>0</v>
      </c>
    </row>
    <row r="33" spans="1:66" s="17" customFormat="1" ht="31.5" x14ac:dyDescent="0.2">
      <c r="A33" s="303" t="s">
        <v>142</v>
      </c>
      <c r="B33" s="201" t="s">
        <v>3</v>
      </c>
      <c r="C33" s="213">
        <f t="shared" ref="C33:D33" si="106">C34+C35+C36+C37+C38+C39*2</f>
        <v>8680</v>
      </c>
      <c r="D33" s="213">
        <f t="shared" si="106"/>
        <v>8680</v>
      </c>
      <c r="E33" s="213">
        <f>E34+E35+E36+E37+E38+E39*2+E40</f>
        <v>8256</v>
      </c>
      <c r="F33" s="213">
        <f t="shared" si="21"/>
        <v>95.115207373271886</v>
      </c>
      <c r="G33" s="213">
        <f t="shared" ref="G33" si="107">G34+G35+G36+G37+G38+G39*2</f>
        <v>0</v>
      </c>
      <c r="H33" s="304">
        <f t="shared" si="3"/>
        <v>0</v>
      </c>
      <c r="I33" s="213">
        <f>I34+I35+I36+I37+I38+I39</f>
        <v>0</v>
      </c>
      <c r="J33" s="213">
        <f t="shared" si="22"/>
        <v>0</v>
      </c>
      <c r="K33" s="305">
        <f t="shared" si="23"/>
        <v>8680</v>
      </c>
      <c r="L33" s="305">
        <f t="shared" si="24"/>
        <v>8680</v>
      </c>
      <c r="M33" s="305">
        <f t="shared" si="25"/>
        <v>8256</v>
      </c>
      <c r="N33" s="305">
        <f t="shared" si="26"/>
        <v>95.115207373271886</v>
      </c>
      <c r="O33" s="213">
        <f t="shared" ref="O33:T33" si="108">O34+O35+O36+O37+O38+O39*2</f>
        <v>4360</v>
      </c>
      <c r="P33" s="213">
        <f t="shared" si="108"/>
        <v>4360</v>
      </c>
      <c r="Q33" s="213">
        <f>Q34+Q35+Q36+Q37+Q38+Q39*2+Q40</f>
        <v>3866</v>
      </c>
      <c r="R33" s="213">
        <f t="shared" si="28"/>
        <v>88.669724770642205</v>
      </c>
      <c r="S33" s="213">
        <f t="shared" si="108"/>
        <v>855</v>
      </c>
      <c r="T33" s="213">
        <f t="shared" si="108"/>
        <v>855</v>
      </c>
      <c r="U33" s="213">
        <f>U34+U35+U36+U37+U38+U39*2+U40</f>
        <v>843</v>
      </c>
      <c r="V33" s="213">
        <f t="shared" si="29"/>
        <v>98.596491228070164</v>
      </c>
      <c r="W33" s="309">
        <f t="shared" si="30"/>
        <v>5215</v>
      </c>
      <c r="X33" s="309">
        <f t="shared" si="31"/>
        <v>5215</v>
      </c>
      <c r="Y33" s="309">
        <f t="shared" si="32"/>
        <v>4709</v>
      </c>
      <c r="Z33" s="309">
        <f t="shared" si="33"/>
        <v>90.297219558964528</v>
      </c>
      <c r="AA33" s="213">
        <f t="shared" ref="AA33:AF33" si="109">AA34+AA35+AA36+AA37+AA38+AA39*2</f>
        <v>4920.4087</v>
      </c>
      <c r="AB33" s="213">
        <f t="shared" si="109"/>
        <v>4920.4087</v>
      </c>
      <c r="AC33" s="213">
        <f>AC34+AC35+AC36+AC37+AC38+AC39*2+AC40</f>
        <v>4412</v>
      </c>
      <c r="AD33" s="213">
        <f t="shared" si="35"/>
        <v>89.667348161546016</v>
      </c>
      <c r="AE33" s="213">
        <f t="shared" si="109"/>
        <v>7100</v>
      </c>
      <c r="AF33" s="213">
        <f t="shared" si="109"/>
        <v>7100</v>
      </c>
      <c r="AG33" s="213">
        <f>AG34+AG35+AG36+AG37+AG38+AG39*2+AG40</f>
        <v>6261</v>
      </c>
      <c r="AH33" s="213">
        <f t="shared" si="36"/>
        <v>88.183098591549296</v>
      </c>
      <c r="AI33" s="213">
        <f t="shared" ref="AI33" si="110">AI34+AI35+AI36+AI37+AI38+AI39*2</f>
        <v>0</v>
      </c>
      <c r="AJ33" s="304">
        <f t="shared" si="10"/>
        <v>0</v>
      </c>
      <c r="AK33" s="213">
        <f>AK34+AK35+AK36+AK37+AK38+AK39</f>
        <v>0</v>
      </c>
      <c r="AL33" s="213">
        <f t="shared" si="37"/>
        <v>0</v>
      </c>
      <c r="AM33" s="305">
        <f t="shared" si="38"/>
        <v>7100</v>
      </c>
      <c r="AN33" s="305">
        <f t="shared" si="39"/>
        <v>7100</v>
      </c>
      <c r="AO33" s="305">
        <f t="shared" si="40"/>
        <v>6261</v>
      </c>
      <c r="AP33" s="305">
        <f t="shared" si="41"/>
        <v>88.183098591549296</v>
      </c>
      <c r="AQ33" s="213">
        <f t="shared" ref="AQ33" si="111">AQ34+AQ35+AQ36+AQ37+AQ38+AQ39*2</f>
        <v>121</v>
      </c>
      <c r="AR33" s="304">
        <f t="shared" si="94"/>
        <v>121</v>
      </c>
      <c r="AS33" s="213">
        <f>AS34+AS35+AS36+AS37+AS38+AS39*2</f>
        <v>121</v>
      </c>
      <c r="AT33" s="213">
        <f t="shared" si="43"/>
        <v>100</v>
      </c>
      <c r="AU33" s="213">
        <f t="shared" ref="AU33" si="112">AU34+AU35+AU36+AU37+AU38+AU39*2</f>
        <v>126</v>
      </c>
      <c r="AV33" s="304">
        <f t="shared" si="44"/>
        <v>126</v>
      </c>
      <c r="AW33" s="213">
        <f>AW34+AW35+AW36+AW37+AW38+AW39*2</f>
        <v>126</v>
      </c>
      <c r="AX33" s="213">
        <f t="shared" si="45"/>
        <v>100</v>
      </c>
      <c r="AY33" s="213">
        <f t="shared" ref="AY33:AZ33" si="113">AY34+AY35+AY36+AY37+AY38+AY39*2</f>
        <v>3982</v>
      </c>
      <c r="AZ33" s="213">
        <f t="shared" si="113"/>
        <v>3982</v>
      </c>
      <c r="BA33" s="213">
        <f>BA34+BA35+BA36+BA37+BA38+BA39*2+BA40</f>
        <v>3841</v>
      </c>
      <c r="BB33" s="213">
        <f t="shared" si="46"/>
        <v>96.459065796082371</v>
      </c>
      <c r="BC33" s="309">
        <f t="shared" si="47"/>
        <v>4229</v>
      </c>
      <c r="BD33" s="309">
        <f t="shared" si="48"/>
        <v>4229</v>
      </c>
      <c r="BE33" s="309">
        <f t="shared" si="49"/>
        <v>4088</v>
      </c>
      <c r="BF33" s="309">
        <f t="shared" si="50"/>
        <v>96.665878458264359</v>
      </c>
      <c r="BG33" s="213">
        <f t="shared" ref="BG33:BH33" si="114">BG34+BG35+BG36+BG37+BG38+BG39*2</f>
        <v>435</v>
      </c>
      <c r="BH33" s="213">
        <f t="shared" si="114"/>
        <v>435</v>
      </c>
      <c r="BI33" s="213">
        <f>BI34+BI35+BI36+BI37+BI38+BI39*2+BI40</f>
        <v>522</v>
      </c>
      <c r="BJ33" s="213">
        <f t="shared" si="52"/>
        <v>120</v>
      </c>
      <c r="BK33" s="309">
        <f t="shared" si="53"/>
        <v>30579.4087</v>
      </c>
      <c r="BL33" s="309">
        <f t="shared" si="54"/>
        <v>30579.4087</v>
      </c>
      <c r="BM33" s="309">
        <f t="shared" si="55"/>
        <v>28248</v>
      </c>
      <c r="BN33" s="309">
        <f t="shared" si="56"/>
        <v>92.375886915040311</v>
      </c>
    </row>
    <row r="34" spans="1:66" ht="15.75" x14ac:dyDescent="0.2">
      <c r="A34" s="169" t="s">
        <v>143</v>
      </c>
      <c r="B34" s="201" t="s">
        <v>339</v>
      </c>
      <c r="C34" s="99">
        <v>700</v>
      </c>
      <c r="D34" s="195">
        <v>700</v>
      </c>
      <c r="E34" s="99">
        <v>1341</v>
      </c>
      <c r="F34" s="99">
        <f t="shared" si="21"/>
        <v>191.57142857142858</v>
      </c>
      <c r="G34" s="213"/>
      <c r="H34" s="97">
        <f t="shared" si="3"/>
        <v>0</v>
      </c>
      <c r="I34" s="213"/>
      <c r="J34" s="99">
        <f t="shared" si="22"/>
        <v>0</v>
      </c>
      <c r="K34" s="235">
        <f t="shared" si="23"/>
        <v>700</v>
      </c>
      <c r="L34" s="235">
        <f t="shared" si="24"/>
        <v>700</v>
      </c>
      <c r="M34" s="235">
        <f t="shared" si="25"/>
        <v>1341</v>
      </c>
      <c r="N34" s="235">
        <f t="shared" si="26"/>
        <v>191.57142857142858</v>
      </c>
      <c r="O34" s="99">
        <v>700</v>
      </c>
      <c r="P34" s="360">
        <v>700</v>
      </c>
      <c r="Q34" s="99">
        <v>551</v>
      </c>
      <c r="R34" s="99">
        <f t="shared" si="28"/>
        <v>78.714285714285708</v>
      </c>
      <c r="S34" s="99">
        <v>130</v>
      </c>
      <c r="T34" s="195">
        <v>130</v>
      </c>
      <c r="U34" s="99">
        <v>191</v>
      </c>
      <c r="V34" s="99">
        <f t="shared" si="29"/>
        <v>146.92307692307693</v>
      </c>
      <c r="W34" s="210">
        <f t="shared" si="30"/>
        <v>830</v>
      </c>
      <c r="X34" s="210">
        <f t="shared" si="31"/>
        <v>830</v>
      </c>
      <c r="Y34" s="210">
        <f t="shared" si="32"/>
        <v>742</v>
      </c>
      <c r="Z34" s="210">
        <f t="shared" si="33"/>
        <v>89.397590361445779</v>
      </c>
      <c r="AA34" s="99">
        <v>519.40869999999995</v>
      </c>
      <c r="AB34" s="360">
        <v>519.40869999999995</v>
      </c>
      <c r="AC34" s="99">
        <v>619</v>
      </c>
      <c r="AD34" s="99">
        <f t="shared" si="35"/>
        <v>119.17397610013079</v>
      </c>
      <c r="AE34" s="99">
        <v>502</v>
      </c>
      <c r="AF34" s="195">
        <v>502</v>
      </c>
      <c r="AG34" s="99">
        <v>845</v>
      </c>
      <c r="AH34" s="99">
        <f t="shared" si="36"/>
        <v>168.32669322709165</v>
      </c>
      <c r="AI34" s="213"/>
      <c r="AJ34" s="97">
        <f t="shared" si="10"/>
        <v>0</v>
      </c>
      <c r="AK34" s="213"/>
      <c r="AL34" s="99">
        <f t="shared" si="37"/>
        <v>0</v>
      </c>
      <c r="AM34" s="235">
        <f t="shared" si="38"/>
        <v>502</v>
      </c>
      <c r="AN34" s="235">
        <f t="shared" si="39"/>
        <v>502</v>
      </c>
      <c r="AO34" s="235">
        <f t="shared" si="40"/>
        <v>845</v>
      </c>
      <c r="AP34" s="235">
        <f t="shared" si="41"/>
        <v>168.32669322709165</v>
      </c>
      <c r="AQ34" s="213">
        <v>19</v>
      </c>
      <c r="AR34" s="162">
        <f t="shared" si="94"/>
        <v>19</v>
      </c>
      <c r="AS34" s="258">
        <v>19</v>
      </c>
      <c r="AT34" s="99">
        <f t="shared" si="43"/>
        <v>100</v>
      </c>
      <c r="AU34" s="213">
        <v>22</v>
      </c>
      <c r="AV34" s="115">
        <f t="shared" si="44"/>
        <v>22</v>
      </c>
      <c r="AW34" s="258">
        <v>22</v>
      </c>
      <c r="AX34" s="99">
        <f t="shared" si="45"/>
        <v>100</v>
      </c>
      <c r="AY34" s="213">
        <v>551</v>
      </c>
      <c r="AZ34" s="115">
        <v>551</v>
      </c>
      <c r="BA34" s="503">
        <f>423-AS34</f>
        <v>404</v>
      </c>
      <c r="BB34" s="99">
        <f t="shared" si="46"/>
        <v>73.321234119782218</v>
      </c>
      <c r="BC34" s="210">
        <f t="shared" si="47"/>
        <v>592</v>
      </c>
      <c r="BD34" s="210">
        <f t="shared" si="48"/>
        <v>592</v>
      </c>
      <c r="BE34" s="210">
        <f t="shared" si="49"/>
        <v>445</v>
      </c>
      <c r="BF34" s="210">
        <f t="shared" si="50"/>
        <v>75.168918918918919</v>
      </c>
      <c r="BG34" s="99">
        <v>70</v>
      </c>
      <c r="BH34" s="195">
        <v>70</v>
      </c>
      <c r="BI34" s="99">
        <v>70</v>
      </c>
      <c r="BJ34" s="99">
        <f t="shared" si="52"/>
        <v>100</v>
      </c>
      <c r="BK34" s="210">
        <f t="shared" si="53"/>
        <v>3213.4087</v>
      </c>
      <c r="BL34" s="210">
        <f t="shared" si="54"/>
        <v>3213.4087</v>
      </c>
      <c r="BM34" s="210">
        <f t="shared" si="55"/>
        <v>4062</v>
      </c>
      <c r="BN34" s="210">
        <f t="shared" si="56"/>
        <v>126.40782356754062</v>
      </c>
    </row>
    <row r="35" spans="1:66" ht="15.75" x14ac:dyDescent="0.2">
      <c r="A35" s="169" t="s">
        <v>144</v>
      </c>
      <c r="B35" s="201" t="s">
        <v>339</v>
      </c>
      <c r="C35" s="214">
        <v>700</v>
      </c>
      <c r="D35" s="195">
        <v>700</v>
      </c>
      <c r="E35" s="214">
        <v>1268</v>
      </c>
      <c r="F35" s="99">
        <f t="shared" si="21"/>
        <v>181.14285714285714</v>
      </c>
      <c r="G35" s="214"/>
      <c r="H35" s="97">
        <f t="shared" si="3"/>
        <v>0</v>
      </c>
      <c r="I35" s="214"/>
      <c r="J35" s="99">
        <f t="shared" si="22"/>
        <v>0</v>
      </c>
      <c r="K35" s="235">
        <f t="shared" si="23"/>
        <v>700</v>
      </c>
      <c r="L35" s="235">
        <f t="shared" si="24"/>
        <v>700</v>
      </c>
      <c r="M35" s="235">
        <f t="shared" si="25"/>
        <v>1268</v>
      </c>
      <c r="N35" s="235">
        <f t="shared" si="26"/>
        <v>181.14285714285714</v>
      </c>
      <c r="O35" s="214">
        <v>700</v>
      </c>
      <c r="P35" s="360">
        <v>700</v>
      </c>
      <c r="Q35" s="214">
        <v>852</v>
      </c>
      <c r="R35" s="99">
        <f t="shared" si="28"/>
        <v>121.71428571428571</v>
      </c>
      <c r="S35" s="214">
        <v>60</v>
      </c>
      <c r="T35" s="195">
        <v>60</v>
      </c>
      <c r="U35" s="214">
        <v>37</v>
      </c>
      <c r="V35" s="99">
        <f t="shared" si="29"/>
        <v>61.666666666666671</v>
      </c>
      <c r="W35" s="210">
        <f t="shared" si="30"/>
        <v>760</v>
      </c>
      <c r="X35" s="210">
        <f t="shared" si="31"/>
        <v>760</v>
      </c>
      <c r="Y35" s="210">
        <f t="shared" si="32"/>
        <v>889</v>
      </c>
      <c r="Z35" s="210">
        <f t="shared" si="33"/>
        <v>116.97368421052632</v>
      </c>
      <c r="AA35" s="214">
        <v>722</v>
      </c>
      <c r="AB35" s="360">
        <v>722</v>
      </c>
      <c r="AC35" s="214">
        <v>742</v>
      </c>
      <c r="AD35" s="99">
        <f t="shared" si="35"/>
        <v>102.77008310249307</v>
      </c>
      <c r="AE35" s="214">
        <v>596</v>
      </c>
      <c r="AF35" s="195">
        <v>596</v>
      </c>
      <c r="AG35" s="214">
        <v>931</v>
      </c>
      <c r="AH35" s="99">
        <f t="shared" si="36"/>
        <v>156.20805369127518</v>
      </c>
      <c r="AI35" s="214"/>
      <c r="AJ35" s="97">
        <f t="shared" si="10"/>
        <v>0</v>
      </c>
      <c r="AK35" s="214"/>
      <c r="AL35" s="99">
        <f t="shared" si="37"/>
        <v>0</v>
      </c>
      <c r="AM35" s="235">
        <f t="shared" si="38"/>
        <v>596</v>
      </c>
      <c r="AN35" s="235">
        <f t="shared" si="39"/>
        <v>596</v>
      </c>
      <c r="AO35" s="235">
        <f t="shared" si="40"/>
        <v>931</v>
      </c>
      <c r="AP35" s="235">
        <f t="shared" si="41"/>
        <v>156.20805369127518</v>
      </c>
      <c r="AQ35" s="214">
        <v>9</v>
      </c>
      <c r="AR35" s="162">
        <f t="shared" si="94"/>
        <v>9</v>
      </c>
      <c r="AS35" s="264">
        <v>9</v>
      </c>
      <c r="AT35" s="99">
        <f t="shared" si="43"/>
        <v>100</v>
      </c>
      <c r="AU35" s="214">
        <v>32</v>
      </c>
      <c r="AV35" s="115">
        <f t="shared" si="44"/>
        <v>32</v>
      </c>
      <c r="AW35" s="264">
        <v>32</v>
      </c>
      <c r="AX35" s="99">
        <f t="shared" si="45"/>
        <v>100</v>
      </c>
      <c r="AY35" s="214">
        <v>637</v>
      </c>
      <c r="AZ35" s="115">
        <v>637</v>
      </c>
      <c r="BA35" s="497">
        <f>558-AS35</f>
        <v>549</v>
      </c>
      <c r="BB35" s="99">
        <f t="shared" si="46"/>
        <v>86.185243328100469</v>
      </c>
      <c r="BC35" s="210">
        <f t="shared" si="47"/>
        <v>678</v>
      </c>
      <c r="BD35" s="210">
        <f t="shared" si="48"/>
        <v>678</v>
      </c>
      <c r="BE35" s="210">
        <f t="shared" si="49"/>
        <v>590</v>
      </c>
      <c r="BF35" s="210">
        <f t="shared" si="50"/>
        <v>87.020648967551622</v>
      </c>
      <c r="BG35" s="214">
        <v>70</v>
      </c>
      <c r="BH35" s="195">
        <v>70</v>
      </c>
      <c r="BI35" s="214">
        <v>73</v>
      </c>
      <c r="BJ35" s="99">
        <f t="shared" si="52"/>
        <v>104.28571428571429</v>
      </c>
      <c r="BK35" s="210">
        <f t="shared" si="53"/>
        <v>3526</v>
      </c>
      <c r="BL35" s="210">
        <f t="shared" si="54"/>
        <v>3526</v>
      </c>
      <c r="BM35" s="210">
        <f t="shared" si="55"/>
        <v>4493</v>
      </c>
      <c r="BN35" s="210">
        <f t="shared" si="56"/>
        <v>127.42484401588202</v>
      </c>
    </row>
    <row r="36" spans="1:66" ht="15.75" x14ac:dyDescent="0.2">
      <c r="A36" s="169" t="s">
        <v>145</v>
      </c>
      <c r="B36" s="201" t="s">
        <v>339</v>
      </c>
      <c r="C36" s="214">
        <v>1400</v>
      </c>
      <c r="D36" s="195">
        <v>1400</v>
      </c>
      <c r="E36" s="214">
        <v>233</v>
      </c>
      <c r="F36" s="99">
        <f t="shared" si="21"/>
        <v>16.642857142857142</v>
      </c>
      <c r="G36" s="214"/>
      <c r="H36" s="97">
        <f t="shared" si="3"/>
        <v>0</v>
      </c>
      <c r="I36" s="214"/>
      <c r="J36" s="99">
        <f t="shared" si="22"/>
        <v>0</v>
      </c>
      <c r="K36" s="235">
        <f t="shared" si="23"/>
        <v>1400</v>
      </c>
      <c r="L36" s="235">
        <f t="shared" si="24"/>
        <v>1400</v>
      </c>
      <c r="M36" s="235">
        <f t="shared" si="25"/>
        <v>233</v>
      </c>
      <c r="N36" s="235">
        <f t="shared" si="26"/>
        <v>16.642857142857142</v>
      </c>
      <c r="O36" s="214">
        <v>250</v>
      </c>
      <c r="P36" s="360">
        <v>250</v>
      </c>
      <c r="Q36" s="214">
        <v>165</v>
      </c>
      <c r="R36" s="99">
        <f t="shared" si="28"/>
        <v>66</v>
      </c>
      <c r="S36" s="214">
        <v>210</v>
      </c>
      <c r="T36" s="195">
        <v>210</v>
      </c>
      <c r="U36" s="214">
        <v>70</v>
      </c>
      <c r="V36" s="99">
        <f t="shared" si="29"/>
        <v>33.333333333333329</v>
      </c>
      <c r="W36" s="210">
        <f t="shared" si="30"/>
        <v>460</v>
      </c>
      <c r="X36" s="210">
        <f t="shared" si="31"/>
        <v>460</v>
      </c>
      <c r="Y36" s="210">
        <f t="shared" si="32"/>
        <v>235</v>
      </c>
      <c r="Z36" s="210">
        <f t="shared" si="33"/>
        <v>51.086956521739133</v>
      </c>
      <c r="AA36" s="214">
        <v>218</v>
      </c>
      <c r="AB36" s="360">
        <v>218</v>
      </c>
      <c r="AC36" s="214">
        <v>203</v>
      </c>
      <c r="AD36" s="99">
        <f t="shared" si="35"/>
        <v>93.11926605504587</v>
      </c>
      <c r="AE36" s="214">
        <v>250</v>
      </c>
      <c r="AF36" s="195">
        <v>250</v>
      </c>
      <c r="AG36" s="214">
        <v>203</v>
      </c>
      <c r="AH36" s="99">
        <f t="shared" si="36"/>
        <v>81.2</v>
      </c>
      <c r="AI36" s="214"/>
      <c r="AJ36" s="97">
        <f t="shared" si="10"/>
        <v>0</v>
      </c>
      <c r="AK36" s="214"/>
      <c r="AL36" s="99">
        <f t="shared" si="37"/>
        <v>0</v>
      </c>
      <c r="AM36" s="235">
        <f t="shared" si="38"/>
        <v>250</v>
      </c>
      <c r="AN36" s="235">
        <f t="shared" si="39"/>
        <v>250</v>
      </c>
      <c r="AO36" s="235">
        <f t="shared" si="40"/>
        <v>203</v>
      </c>
      <c r="AP36" s="235">
        <f t="shared" si="41"/>
        <v>81.2</v>
      </c>
      <c r="AQ36" s="214">
        <v>3</v>
      </c>
      <c r="AR36" s="162">
        <f t="shared" si="94"/>
        <v>3</v>
      </c>
      <c r="AS36" s="264">
        <v>3</v>
      </c>
      <c r="AT36" s="99">
        <f t="shared" si="43"/>
        <v>100</v>
      </c>
      <c r="AU36" s="214">
        <v>5</v>
      </c>
      <c r="AV36" s="115">
        <f t="shared" si="44"/>
        <v>5</v>
      </c>
      <c r="AW36" s="264">
        <v>5</v>
      </c>
      <c r="AX36" s="99">
        <f t="shared" si="45"/>
        <v>100</v>
      </c>
      <c r="AY36" s="214">
        <v>233</v>
      </c>
      <c r="AZ36" s="115">
        <v>233</v>
      </c>
      <c r="BA36" s="497">
        <f>148-AS36</f>
        <v>145</v>
      </c>
      <c r="BB36" s="99">
        <f t="shared" si="46"/>
        <v>62.231759656652365</v>
      </c>
      <c r="BC36" s="210">
        <f t="shared" si="47"/>
        <v>241</v>
      </c>
      <c r="BD36" s="210">
        <f t="shared" si="48"/>
        <v>241</v>
      </c>
      <c r="BE36" s="210">
        <f t="shared" si="49"/>
        <v>153</v>
      </c>
      <c r="BF36" s="210">
        <f t="shared" si="50"/>
        <v>63.485477178423231</v>
      </c>
      <c r="BG36" s="214">
        <v>20</v>
      </c>
      <c r="BH36" s="195">
        <v>20</v>
      </c>
      <c r="BI36" s="214">
        <v>18</v>
      </c>
      <c r="BJ36" s="99">
        <f t="shared" si="52"/>
        <v>90</v>
      </c>
      <c r="BK36" s="210">
        <f t="shared" si="53"/>
        <v>2589</v>
      </c>
      <c r="BL36" s="210">
        <f t="shared" si="54"/>
        <v>2589</v>
      </c>
      <c r="BM36" s="210">
        <f t="shared" si="55"/>
        <v>1045</v>
      </c>
      <c r="BN36" s="210">
        <f t="shared" si="56"/>
        <v>40.363074546156817</v>
      </c>
    </row>
    <row r="37" spans="1:66" ht="15.75" x14ac:dyDescent="0.2">
      <c r="A37" s="169" t="s">
        <v>146</v>
      </c>
      <c r="B37" s="201" t="s">
        <v>339</v>
      </c>
      <c r="C37" s="214">
        <v>1400</v>
      </c>
      <c r="D37" s="195">
        <v>1400</v>
      </c>
      <c r="E37" s="214">
        <v>339</v>
      </c>
      <c r="F37" s="99">
        <f t="shared" si="21"/>
        <v>24.214285714285712</v>
      </c>
      <c r="G37" s="214"/>
      <c r="H37" s="97">
        <f t="shared" si="3"/>
        <v>0</v>
      </c>
      <c r="I37" s="214"/>
      <c r="J37" s="99">
        <f t="shared" si="22"/>
        <v>0</v>
      </c>
      <c r="K37" s="235">
        <f t="shared" si="23"/>
        <v>1400</v>
      </c>
      <c r="L37" s="235">
        <f t="shared" si="24"/>
        <v>1400</v>
      </c>
      <c r="M37" s="235">
        <f t="shared" si="25"/>
        <v>339</v>
      </c>
      <c r="N37" s="235">
        <f t="shared" si="26"/>
        <v>24.214285714285712</v>
      </c>
      <c r="O37" s="214">
        <v>350</v>
      </c>
      <c r="P37" s="360">
        <v>350</v>
      </c>
      <c r="Q37" s="214">
        <v>301</v>
      </c>
      <c r="R37" s="99">
        <f t="shared" si="28"/>
        <v>86</v>
      </c>
      <c r="S37" s="214">
        <v>100</v>
      </c>
      <c r="T37" s="195">
        <v>100</v>
      </c>
      <c r="U37" s="214">
        <v>27</v>
      </c>
      <c r="V37" s="99">
        <f t="shared" si="29"/>
        <v>27</v>
      </c>
      <c r="W37" s="210">
        <f t="shared" si="30"/>
        <v>450</v>
      </c>
      <c r="X37" s="210">
        <f t="shared" si="31"/>
        <v>450</v>
      </c>
      <c r="Y37" s="210">
        <f t="shared" si="32"/>
        <v>328</v>
      </c>
      <c r="Z37" s="210">
        <f t="shared" si="33"/>
        <v>72.888888888888886</v>
      </c>
      <c r="AA37" s="214">
        <v>285</v>
      </c>
      <c r="AB37" s="360">
        <v>285</v>
      </c>
      <c r="AC37" s="214">
        <v>246</v>
      </c>
      <c r="AD37" s="99">
        <f t="shared" si="35"/>
        <v>86.31578947368422</v>
      </c>
      <c r="AE37" s="214">
        <v>302</v>
      </c>
      <c r="AF37" s="195">
        <v>302</v>
      </c>
      <c r="AG37" s="214">
        <v>343</v>
      </c>
      <c r="AH37" s="99">
        <f t="shared" si="36"/>
        <v>113.57615894039735</v>
      </c>
      <c r="AI37" s="214"/>
      <c r="AJ37" s="97">
        <f t="shared" si="10"/>
        <v>0</v>
      </c>
      <c r="AK37" s="214"/>
      <c r="AL37" s="99">
        <f t="shared" si="37"/>
        <v>0</v>
      </c>
      <c r="AM37" s="235">
        <f t="shared" si="38"/>
        <v>302</v>
      </c>
      <c r="AN37" s="235">
        <f t="shared" si="39"/>
        <v>302</v>
      </c>
      <c r="AO37" s="235">
        <f t="shared" si="40"/>
        <v>343</v>
      </c>
      <c r="AP37" s="235">
        <f t="shared" si="41"/>
        <v>113.57615894039735</v>
      </c>
      <c r="AQ37" s="214">
        <v>1</v>
      </c>
      <c r="AR37" s="162">
        <f t="shared" si="94"/>
        <v>1</v>
      </c>
      <c r="AS37" s="264">
        <v>1</v>
      </c>
      <c r="AT37" s="99">
        <f t="shared" si="43"/>
        <v>100</v>
      </c>
      <c r="AU37" s="214">
        <v>5</v>
      </c>
      <c r="AV37" s="115">
        <f t="shared" si="44"/>
        <v>5</v>
      </c>
      <c r="AW37" s="264">
        <v>5</v>
      </c>
      <c r="AX37" s="99">
        <f t="shared" si="45"/>
        <v>100</v>
      </c>
      <c r="AY37" s="214">
        <v>245</v>
      </c>
      <c r="AZ37" s="115">
        <v>245</v>
      </c>
      <c r="BA37" s="497">
        <f>226-AS37</f>
        <v>225</v>
      </c>
      <c r="BB37" s="99">
        <f t="shared" si="46"/>
        <v>91.83673469387756</v>
      </c>
      <c r="BC37" s="210">
        <f t="shared" si="47"/>
        <v>251</v>
      </c>
      <c r="BD37" s="210">
        <f t="shared" si="48"/>
        <v>251</v>
      </c>
      <c r="BE37" s="210">
        <f t="shared" si="49"/>
        <v>231</v>
      </c>
      <c r="BF37" s="210">
        <f t="shared" si="50"/>
        <v>92.031872509960152</v>
      </c>
      <c r="BG37" s="214">
        <v>35</v>
      </c>
      <c r="BH37" s="195">
        <v>35</v>
      </c>
      <c r="BI37" s="214">
        <v>34</v>
      </c>
      <c r="BJ37" s="99">
        <f t="shared" si="52"/>
        <v>97.142857142857139</v>
      </c>
      <c r="BK37" s="210">
        <f t="shared" si="53"/>
        <v>2723</v>
      </c>
      <c r="BL37" s="210">
        <f t="shared" si="54"/>
        <v>2723</v>
      </c>
      <c r="BM37" s="210">
        <f t="shared" si="55"/>
        <v>1521</v>
      </c>
      <c r="BN37" s="210">
        <f t="shared" si="56"/>
        <v>55.857510099155341</v>
      </c>
    </row>
    <row r="38" spans="1:66" ht="15.75" x14ac:dyDescent="0.2">
      <c r="A38" s="169" t="s">
        <v>147</v>
      </c>
      <c r="B38" s="201" t="s">
        <v>339</v>
      </c>
      <c r="C38" s="214">
        <v>1120</v>
      </c>
      <c r="D38" s="195">
        <v>1120</v>
      </c>
      <c r="E38" s="214">
        <v>1430</v>
      </c>
      <c r="F38" s="99">
        <f t="shared" si="21"/>
        <v>127.67857142857142</v>
      </c>
      <c r="G38" s="214"/>
      <c r="H38" s="97">
        <f t="shared" si="3"/>
        <v>0</v>
      </c>
      <c r="I38" s="214"/>
      <c r="J38" s="99">
        <f t="shared" si="22"/>
        <v>0</v>
      </c>
      <c r="K38" s="235">
        <f t="shared" si="23"/>
        <v>1120</v>
      </c>
      <c r="L38" s="235">
        <f t="shared" si="24"/>
        <v>1120</v>
      </c>
      <c r="M38" s="235">
        <f t="shared" si="25"/>
        <v>1430</v>
      </c>
      <c r="N38" s="235">
        <f t="shared" si="26"/>
        <v>127.67857142857142</v>
      </c>
      <c r="O38" s="214">
        <v>600</v>
      </c>
      <c r="P38" s="360">
        <v>600</v>
      </c>
      <c r="Q38" s="214">
        <v>602</v>
      </c>
      <c r="R38" s="99">
        <f t="shared" si="28"/>
        <v>100.33333333333334</v>
      </c>
      <c r="S38" s="214">
        <v>145</v>
      </c>
      <c r="T38" s="195">
        <v>145</v>
      </c>
      <c r="U38" s="214">
        <v>272</v>
      </c>
      <c r="V38" s="99">
        <f t="shared" si="29"/>
        <v>187.58620689655172</v>
      </c>
      <c r="W38" s="210">
        <f t="shared" si="30"/>
        <v>745</v>
      </c>
      <c r="X38" s="210">
        <f t="shared" si="31"/>
        <v>745</v>
      </c>
      <c r="Y38" s="210">
        <f t="shared" si="32"/>
        <v>874</v>
      </c>
      <c r="Z38" s="210">
        <f t="shared" si="33"/>
        <v>117.31543624161074</v>
      </c>
      <c r="AA38" s="214">
        <v>796</v>
      </c>
      <c r="AB38" s="360">
        <v>796</v>
      </c>
      <c r="AC38" s="214">
        <v>827</v>
      </c>
      <c r="AD38" s="99">
        <f t="shared" si="35"/>
        <v>103.89447236180904</v>
      </c>
      <c r="AE38" s="214">
        <v>1750</v>
      </c>
      <c r="AF38" s="195">
        <v>1750</v>
      </c>
      <c r="AG38" s="214">
        <v>1095</v>
      </c>
      <c r="AH38" s="99">
        <f t="shared" si="36"/>
        <v>62.571428571428569</v>
      </c>
      <c r="AI38" s="214"/>
      <c r="AJ38" s="97">
        <f t="shared" si="10"/>
        <v>0</v>
      </c>
      <c r="AK38" s="214"/>
      <c r="AL38" s="99">
        <f t="shared" si="37"/>
        <v>0</v>
      </c>
      <c r="AM38" s="235">
        <f t="shared" si="38"/>
        <v>1750</v>
      </c>
      <c r="AN38" s="235">
        <f t="shared" si="39"/>
        <v>1750</v>
      </c>
      <c r="AO38" s="235">
        <f t="shared" si="40"/>
        <v>1095</v>
      </c>
      <c r="AP38" s="235">
        <f t="shared" si="41"/>
        <v>62.571428571428569</v>
      </c>
      <c r="AQ38" s="214">
        <v>25</v>
      </c>
      <c r="AR38" s="162">
        <f t="shared" si="94"/>
        <v>25</v>
      </c>
      <c r="AS38" s="264">
        <v>25</v>
      </c>
      <c r="AT38" s="99">
        <f t="shared" si="43"/>
        <v>100</v>
      </c>
      <c r="AU38" s="214">
        <v>30</v>
      </c>
      <c r="AV38" s="115">
        <f t="shared" si="44"/>
        <v>30</v>
      </c>
      <c r="AW38" s="264">
        <v>30</v>
      </c>
      <c r="AX38" s="99">
        <f t="shared" si="45"/>
        <v>100</v>
      </c>
      <c r="AY38" s="214">
        <v>682</v>
      </c>
      <c r="AZ38" s="115">
        <v>682</v>
      </c>
      <c r="BA38" s="497">
        <f>750-AS38</f>
        <v>725</v>
      </c>
      <c r="BB38" s="99">
        <f t="shared" si="46"/>
        <v>106.30498533724339</v>
      </c>
      <c r="BC38" s="210">
        <f t="shared" si="47"/>
        <v>737</v>
      </c>
      <c r="BD38" s="210">
        <f t="shared" si="48"/>
        <v>737</v>
      </c>
      <c r="BE38" s="210">
        <f t="shared" si="49"/>
        <v>780</v>
      </c>
      <c r="BF38" s="210">
        <f t="shared" si="50"/>
        <v>105.83446404341927</v>
      </c>
      <c r="BG38" s="214">
        <v>80</v>
      </c>
      <c r="BH38" s="195">
        <v>80</v>
      </c>
      <c r="BI38" s="214">
        <v>101</v>
      </c>
      <c r="BJ38" s="99">
        <f t="shared" si="52"/>
        <v>126.25</v>
      </c>
      <c r="BK38" s="210">
        <f t="shared" si="53"/>
        <v>5228</v>
      </c>
      <c r="BL38" s="210">
        <f t="shared" si="54"/>
        <v>5228</v>
      </c>
      <c r="BM38" s="210">
        <f t="shared" si="55"/>
        <v>5107</v>
      </c>
      <c r="BN38" s="210">
        <f t="shared" si="56"/>
        <v>97.685539403213468</v>
      </c>
    </row>
    <row r="39" spans="1:66" s="358" customFormat="1" ht="31.5" x14ac:dyDescent="0.2">
      <c r="A39" s="342" t="s">
        <v>342</v>
      </c>
      <c r="B39" s="356" t="s">
        <v>339</v>
      </c>
      <c r="C39" s="357">
        <v>1680</v>
      </c>
      <c r="D39" s="346">
        <v>1680</v>
      </c>
      <c r="E39" s="361">
        <v>1228</v>
      </c>
      <c r="F39" s="345">
        <f>(E39+E40)/D39*100</f>
        <v>143.86904761904762</v>
      </c>
      <c r="G39" s="357"/>
      <c r="H39" s="346">
        <f t="shared" si="3"/>
        <v>0</v>
      </c>
      <c r="I39" s="357"/>
      <c r="J39" s="345">
        <f t="shared" si="22"/>
        <v>0</v>
      </c>
      <c r="K39" s="349">
        <f t="shared" si="23"/>
        <v>1680</v>
      </c>
      <c r="L39" s="349">
        <f t="shared" si="24"/>
        <v>1680</v>
      </c>
      <c r="M39" s="349">
        <f t="shared" si="25"/>
        <v>1228</v>
      </c>
      <c r="N39" s="349">
        <f t="shared" si="26"/>
        <v>73.095238095238088</v>
      </c>
      <c r="O39" s="357">
        <v>880</v>
      </c>
      <c r="P39" s="366">
        <v>880</v>
      </c>
      <c r="Q39" s="361">
        <v>326</v>
      </c>
      <c r="R39" s="345">
        <f>(Q39+Q40)/P39*100</f>
        <v>121.47727272727273</v>
      </c>
      <c r="S39" s="357">
        <v>105</v>
      </c>
      <c r="T39" s="346">
        <v>105</v>
      </c>
      <c r="U39" s="361">
        <v>67</v>
      </c>
      <c r="V39" s="345">
        <f>(U39+U40)/T39*100</f>
        <v>170.47619047619048</v>
      </c>
      <c r="W39" s="354">
        <f t="shared" si="30"/>
        <v>985</v>
      </c>
      <c r="X39" s="354">
        <f t="shared" si="31"/>
        <v>985</v>
      </c>
      <c r="Y39" s="354">
        <f t="shared" si="32"/>
        <v>393</v>
      </c>
      <c r="Z39" s="354">
        <f t="shared" si="33"/>
        <v>39.898477157360404</v>
      </c>
      <c r="AA39" s="357">
        <v>1190</v>
      </c>
      <c r="AB39" s="366">
        <v>1190</v>
      </c>
      <c r="AC39" s="361">
        <v>681</v>
      </c>
      <c r="AD39" s="345">
        <f>(AC39+AC40)/AB39*100</f>
        <v>91.932773109243698</v>
      </c>
      <c r="AE39" s="357">
        <v>1850</v>
      </c>
      <c r="AF39" s="346">
        <v>1850</v>
      </c>
      <c r="AG39" s="361">
        <v>941</v>
      </c>
      <c r="AH39" s="345">
        <f>(AG39+AG40)/AF39*100</f>
        <v>102.86486486486486</v>
      </c>
      <c r="AI39" s="357"/>
      <c r="AJ39" s="346">
        <f t="shared" si="10"/>
        <v>0</v>
      </c>
      <c r="AK39" s="357"/>
      <c r="AL39" s="345">
        <f t="shared" si="37"/>
        <v>0</v>
      </c>
      <c r="AM39" s="349">
        <f t="shared" si="38"/>
        <v>1850</v>
      </c>
      <c r="AN39" s="349">
        <f t="shared" si="39"/>
        <v>1850</v>
      </c>
      <c r="AO39" s="349">
        <f t="shared" si="40"/>
        <v>941</v>
      </c>
      <c r="AP39" s="349">
        <f t="shared" si="41"/>
        <v>50.86486486486487</v>
      </c>
      <c r="AQ39" s="357">
        <v>32</v>
      </c>
      <c r="AR39" s="346">
        <f t="shared" si="94"/>
        <v>32</v>
      </c>
      <c r="AS39" s="357">
        <v>32</v>
      </c>
      <c r="AT39" s="345">
        <f t="shared" si="43"/>
        <v>100</v>
      </c>
      <c r="AU39" s="357">
        <v>16</v>
      </c>
      <c r="AV39" s="346">
        <f t="shared" si="44"/>
        <v>16</v>
      </c>
      <c r="AW39" s="357">
        <v>16</v>
      </c>
      <c r="AX39" s="345">
        <f t="shared" si="45"/>
        <v>100</v>
      </c>
      <c r="AY39" s="357">
        <v>817</v>
      </c>
      <c r="AZ39" s="346">
        <v>817</v>
      </c>
      <c r="BA39" s="361">
        <f>559-AS39</f>
        <v>527</v>
      </c>
      <c r="BB39" s="345">
        <f>(BA39+BA40)/AZ39*100</f>
        <v>154.95716034271726</v>
      </c>
      <c r="BC39" s="354">
        <f t="shared" si="47"/>
        <v>865</v>
      </c>
      <c r="BD39" s="354">
        <f t="shared" si="48"/>
        <v>865</v>
      </c>
      <c r="BE39" s="354">
        <f t="shared" si="49"/>
        <v>575</v>
      </c>
      <c r="BF39" s="354">
        <f t="shared" si="50"/>
        <v>66.473988439306353</v>
      </c>
      <c r="BG39" s="357">
        <v>80</v>
      </c>
      <c r="BH39" s="346">
        <v>80</v>
      </c>
      <c r="BI39" s="361">
        <v>69</v>
      </c>
      <c r="BJ39" s="345">
        <f>(BI39+BI40)/BH39*100</f>
        <v>196.25</v>
      </c>
      <c r="BK39" s="354">
        <f t="shared" si="53"/>
        <v>6650</v>
      </c>
      <c r="BL39" s="354">
        <f t="shared" si="54"/>
        <v>6650</v>
      </c>
      <c r="BM39" s="354">
        <f t="shared" si="55"/>
        <v>3887</v>
      </c>
      <c r="BN39" s="354">
        <f t="shared" si="56"/>
        <v>58.451127819548873</v>
      </c>
    </row>
    <row r="40" spans="1:66" ht="31.5" x14ac:dyDescent="0.2">
      <c r="A40" s="338" t="s">
        <v>343</v>
      </c>
      <c r="B40" s="201" t="s">
        <v>339</v>
      </c>
      <c r="C40" s="214"/>
      <c r="D40" s="195"/>
      <c r="E40" s="337">
        <f>2417-E39</f>
        <v>1189</v>
      </c>
      <c r="F40" s="99"/>
      <c r="G40" s="214"/>
      <c r="H40" s="97"/>
      <c r="I40" s="214"/>
      <c r="J40" s="99"/>
      <c r="K40" s="235">
        <f t="shared" ref="K40" si="115">G40+C40</f>
        <v>0</v>
      </c>
      <c r="L40" s="235">
        <f t="shared" ref="L40" si="116">H40+D40</f>
        <v>0</v>
      </c>
      <c r="M40" s="235">
        <f t="shared" ref="M40" si="117">I40+E40</f>
        <v>1189</v>
      </c>
      <c r="N40" s="235">
        <f t="shared" ref="N40" si="118">IF(L40=0,0,M40/L40*100)</f>
        <v>0</v>
      </c>
      <c r="O40" s="214"/>
      <c r="P40" s="195"/>
      <c r="Q40" s="337">
        <f>1069-Q39</f>
        <v>743</v>
      </c>
      <c r="R40" s="99"/>
      <c r="S40" s="214"/>
      <c r="T40" s="195"/>
      <c r="U40" s="337">
        <f>179-U39</f>
        <v>112</v>
      </c>
      <c r="V40" s="99"/>
      <c r="W40" s="210">
        <f t="shared" ref="W40" si="119">S40+O40</f>
        <v>0</v>
      </c>
      <c r="X40" s="210">
        <f t="shared" ref="X40" si="120">T40+P40</f>
        <v>0</v>
      </c>
      <c r="Y40" s="210">
        <f t="shared" ref="Y40" si="121">U40+Q40</f>
        <v>855</v>
      </c>
      <c r="Z40" s="210">
        <f t="shared" ref="Z40" si="122">IF(X40=0,0,Y40/X40*100)</f>
        <v>0</v>
      </c>
      <c r="AA40" s="214"/>
      <c r="AB40" s="195"/>
      <c r="AC40" s="337">
        <f>1094-AC39</f>
        <v>413</v>
      </c>
      <c r="AD40" s="99"/>
      <c r="AE40" s="214"/>
      <c r="AF40" s="195"/>
      <c r="AG40" s="337">
        <f>1903-AG39</f>
        <v>962</v>
      </c>
      <c r="AH40" s="99"/>
      <c r="AI40" s="214"/>
      <c r="AJ40" s="97"/>
      <c r="AK40" s="214"/>
      <c r="AL40" s="99"/>
      <c r="AM40" s="235">
        <f t="shared" ref="AM40" si="123">SUM(AI40,AE40)</f>
        <v>0</v>
      </c>
      <c r="AN40" s="235">
        <f t="shared" ref="AN40" si="124">SUM(AJ40,AF40)</f>
        <v>0</v>
      </c>
      <c r="AO40" s="235">
        <f t="shared" ref="AO40" si="125">SUM(AK40,AG40)</f>
        <v>962</v>
      </c>
      <c r="AP40" s="235">
        <f t="shared" ref="AP40" si="126">IF(AN40=0,0,AO40/AN40*100)</f>
        <v>0</v>
      </c>
      <c r="AQ40" s="214"/>
      <c r="AR40" s="162"/>
      <c r="AS40" s="264"/>
      <c r="AT40" s="99"/>
      <c r="AU40" s="214"/>
      <c r="AV40" s="115"/>
      <c r="AW40" s="264"/>
      <c r="AX40" s="99"/>
      <c r="AY40" s="214"/>
      <c r="AZ40" s="115"/>
      <c r="BA40" s="337">
        <f>1298-BA39-AS39</f>
        <v>739</v>
      </c>
      <c r="BB40" s="99"/>
      <c r="BC40" s="210">
        <f t="shared" ref="BC40" si="127">AU40+AQ40+AY40</f>
        <v>0</v>
      </c>
      <c r="BD40" s="210">
        <f t="shared" ref="BD40" si="128">AV40+AR40+AZ40</f>
        <v>0</v>
      </c>
      <c r="BE40" s="210">
        <f t="shared" ref="BE40" si="129">AW40+AS40+BA40</f>
        <v>739</v>
      </c>
      <c r="BF40" s="210">
        <f t="shared" ref="BF40" si="130">IF(BD40=0,0,BE40/BD40*100)</f>
        <v>0</v>
      </c>
      <c r="BG40" s="214"/>
      <c r="BH40" s="195"/>
      <c r="BI40" s="337">
        <f>157-BI39</f>
        <v>88</v>
      </c>
      <c r="BJ40" s="99"/>
      <c r="BK40" s="210">
        <f t="shared" ref="BK40" si="131">SUM(BG40,BC40,AM40,AA40,W40,K40)</f>
        <v>0</v>
      </c>
      <c r="BL40" s="210">
        <f t="shared" ref="BL40" si="132">SUM(BH40,BD40,AN40,AB40,X40,L40)</f>
        <v>0</v>
      </c>
      <c r="BM40" s="210">
        <f t="shared" ref="BM40" si="133">SUM(BI40,BE40,AO40,AC40,Y40,M40)</f>
        <v>4246</v>
      </c>
      <c r="BN40" s="210">
        <f t="shared" ref="BN40" si="134">IF(BL40=0,0,BM40/BL40*100)</f>
        <v>0</v>
      </c>
    </row>
    <row r="41" spans="1:66" s="17" customFormat="1" ht="30" x14ac:dyDescent="0.2">
      <c r="A41" s="201" t="s">
        <v>344</v>
      </c>
      <c r="B41" s="201" t="s">
        <v>339</v>
      </c>
      <c r="C41" s="310">
        <v>700</v>
      </c>
      <c r="D41" s="304">
        <v>700</v>
      </c>
      <c r="E41" s="337">
        <v>122</v>
      </c>
      <c r="F41" s="99">
        <f>(E41+E42)/D41*100</f>
        <v>262.42857142857139</v>
      </c>
      <c r="G41" s="310"/>
      <c r="H41" s="304">
        <f t="shared" si="3"/>
        <v>0</v>
      </c>
      <c r="I41" s="310"/>
      <c r="J41" s="213">
        <f t="shared" si="22"/>
        <v>0</v>
      </c>
      <c r="K41" s="305">
        <f t="shared" si="23"/>
        <v>700</v>
      </c>
      <c r="L41" s="305">
        <f t="shared" si="24"/>
        <v>700</v>
      </c>
      <c r="M41" s="305">
        <f t="shared" si="25"/>
        <v>122</v>
      </c>
      <c r="N41" s="305">
        <f t="shared" si="26"/>
        <v>17.428571428571431</v>
      </c>
      <c r="O41" s="310">
        <v>400</v>
      </c>
      <c r="P41" s="304">
        <v>400</v>
      </c>
      <c r="Q41" s="337">
        <v>77</v>
      </c>
      <c r="R41" s="99">
        <f>(Q41+Q42)/P41*100</f>
        <v>277.75</v>
      </c>
      <c r="S41" s="310">
        <v>100</v>
      </c>
      <c r="T41" s="304">
        <v>100</v>
      </c>
      <c r="U41" s="337">
        <v>12</v>
      </c>
      <c r="V41" s="99">
        <f>(U41+U42)/T41*100</f>
        <v>107</v>
      </c>
      <c r="W41" s="309">
        <f t="shared" si="30"/>
        <v>500</v>
      </c>
      <c r="X41" s="309">
        <f t="shared" si="31"/>
        <v>500</v>
      </c>
      <c r="Y41" s="309">
        <f t="shared" si="32"/>
        <v>89</v>
      </c>
      <c r="Z41" s="309">
        <f t="shared" si="33"/>
        <v>17.8</v>
      </c>
      <c r="AA41" s="310">
        <v>340</v>
      </c>
      <c r="AB41" s="304">
        <v>340</v>
      </c>
      <c r="AC41" s="337">
        <v>53</v>
      </c>
      <c r="AD41" s="99">
        <f>(AC41+AC42)/AB41*100</f>
        <v>341.1764705882353</v>
      </c>
      <c r="AE41" s="310">
        <v>4207</v>
      </c>
      <c r="AF41" s="304">
        <v>4207</v>
      </c>
      <c r="AG41" s="337">
        <v>192</v>
      </c>
      <c r="AH41" s="99">
        <f>(AG41+AG42)/AF41*100</f>
        <v>38.483479914428329</v>
      </c>
      <c r="AI41" s="310"/>
      <c r="AJ41" s="304">
        <f t="shared" si="10"/>
        <v>0</v>
      </c>
      <c r="AK41" s="310"/>
      <c r="AL41" s="213">
        <f t="shared" si="37"/>
        <v>0</v>
      </c>
      <c r="AM41" s="305">
        <f t="shared" si="38"/>
        <v>4207</v>
      </c>
      <c r="AN41" s="305">
        <f t="shared" si="39"/>
        <v>4207</v>
      </c>
      <c r="AO41" s="305">
        <f t="shared" si="40"/>
        <v>192</v>
      </c>
      <c r="AP41" s="305">
        <f t="shared" si="41"/>
        <v>4.5638222010934157</v>
      </c>
      <c r="AQ41" s="310"/>
      <c r="AR41" s="304">
        <f t="shared" si="94"/>
        <v>0</v>
      </c>
      <c r="AS41" s="310"/>
      <c r="AT41" s="213">
        <f t="shared" si="43"/>
        <v>0</v>
      </c>
      <c r="AU41" s="310"/>
      <c r="AV41" s="304">
        <f t="shared" si="44"/>
        <v>0</v>
      </c>
      <c r="AW41" s="310"/>
      <c r="AX41" s="213">
        <f t="shared" si="45"/>
        <v>0</v>
      </c>
      <c r="AY41" s="310">
        <v>170</v>
      </c>
      <c r="AZ41" s="115">
        <v>170</v>
      </c>
      <c r="BA41" s="337">
        <v>1</v>
      </c>
      <c r="BB41" s="99">
        <f>(BA41+BA42)/AZ41*100</f>
        <v>553.52941176470586</v>
      </c>
      <c r="BC41" s="309">
        <f t="shared" si="47"/>
        <v>170</v>
      </c>
      <c r="BD41" s="309">
        <f t="shared" si="48"/>
        <v>170</v>
      </c>
      <c r="BE41" s="309">
        <f t="shared" si="49"/>
        <v>1</v>
      </c>
      <c r="BF41" s="309">
        <f t="shared" si="50"/>
        <v>0.58823529411764708</v>
      </c>
      <c r="BG41" s="310">
        <v>221</v>
      </c>
      <c r="BH41" s="304">
        <v>221</v>
      </c>
      <c r="BI41" s="337">
        <v>8</v>
      </c>
      <c r="BJ41" s="99">
        <f>(BI41+BI42)/BH41*100</f>
        <v>7.6923076923076925</v>
      </c>
      <c r="BK41" s="309">
        <f t="shared" si="53"/>
        <v>6138</v>
      </c>
      <c r="BL41" s="309">
        <f t="shared" si="54"/>
        <v>6138</v>
      </c>
      <c r="BM41" s="309">
        <f t="shared" si="55"/>
        <v>465</v>
      </c>
      <c r="BN41" s="309">
        <f t="shared" si="56"/>
        <v>7.5757575757575761</v>
      </c>
    </row>
    <row r="42" spans="1:66" s="17" customFormat="1" ht="31.5" x14ac:dyDescent="0.25">
      <c r="A42" s="45" t="s">
        <v>345</v>
      </c>
      <c r="B42" s="201" t="s">
        <v>339</v>
      </c>
      <c r="C42" s="310"/>
      <c r="D42" s="304"/>
      <c r="E42" s="337">
        <f>1837-E41</f>
        <v>1715</v>
      </c>
      <c r="F42" s="99"/>
      <c r="G42" s="310"/>
      <c r="H42" s="304"/>
      <c r="I42" s="310"/>
      <c r="J42" s="213"/>
      <c r="K42" s="305">
        <f t="shared" ref="K42" si="135">G42+C42</f>
        <v>0</v>
      </c>
      <c r="L42" s="305">
        <f t="shared" ref="L42" si="136">H42+D42</f>
        <v>0</v>
      </c>
      <c r="M42" s="305">
        <f t="shared" ref="M42" si="137">I42+E42</f>
        <v>1715</v>
      </c>
      <c r="N42" s="305">
        <f t="shared" ref="N42" si="138">IF(L42=0,0,M42/L42*100)</f>
        <v>0</v>
      </c>
      <c r="O42" s="310"/>
      <c r="P42" s="304"/>
      <c r="Q42" s="337">
        <f>1111-Q41</f>
        <v>1034</v>
      </c>
      <c r="R42" s="213"/>
      <c r="S42" s="310"/>
      <c r="T42" s="304"/>
      <c r="U42" s="337">
        <f>107-U41</f>
        <v>95</v>
      </c>
      <c r="V42" s="213"/>
      <c r="W42" s="309">
        <f t="shared" ref="W42" si="139">S42+O42</f>
        <v>0</v>
      </c>
      <c r="X42" s="309">
        <f t="shared" ref="X42" si="140">T42+P42</f>
        <v>0</v>
      </c>
      <c r="Y42" s="309">
        <f t="shared" ref="Y42" si="141">U42+Q42</f>
        <v>1129</v>
      </c>
      <c r="Z42" s="309">
        <f t="shared" ref="Z42" si="142">IF(X42=0,0,Y42/X42*100)</f>
        <v>0</v>
      </c>
      <c r="AA42" s="310"/>
      <c r="AB42" s="304"/>
      <c r="AC42" s="337">
        <f>1160-AC41</f>
        <v>1107</v>
      </c>
      <c r="AD42" s="213"/>
      <c r="AE42" s="310"/>
      <c r="AF42" s="304"/>
      <c r="AG42" s="337">
        <f>1619-AG41</f>
        <v>1427</v>
      </c>
      <c r="AH42" s="213"/>
      <c r="AI42" s="310"/>
      <c r="AJ42" s="304"/>
      <c r="AK42" s="310"/>
      <c r="AL42" s="213"/>
      <c r="AM42" s="305">
        <f t="shared" ref="AM42" si="143">SUM(AI42,AE42)</f>
        <v>0</v>
      </c>
      <c r="AN42" s="305">
        <f t="shared" ref="AN42" si="144">SUM(AJ42,AF42)</f>
        <v>0</v>
      </c>
      <c r="AO42" s="305">
        <f t="shared" ref="AO42" si="145">SUM(AK42,AG42)</f>
        <v>1427</v>
      </c>
      <c r="AP42" s="305">
        <f t="shared" ref="AP42" si="146">IF(AN42=0,0,AO42/AN42*100)</f>
        <v>0</v>
      </c>
      <c r="AQ42" s="310"/>
      <c r="AR42" s="304"/>
      <c r="AS42" s="310"/>
      <c r="AT42" s="213"/>
      <c r="AU42" s="310"/>
      <c r="AV42" s="304"/>
      <c r="AW42" s="310"/>
      <c r="AX42" s="213"/>
      <c r="AY42" s="310"/>
      <c r="AZ42" s="115"/>
      <c r="BA42" s="337">
        <f>941-BA41</f>
        <v>940</v>
      </c>
      <c r="BB42" s="213"/>
      <c r="BC42" s="309">
        <f t="shared" ref="BC42" si="147">AU42+AQ42+AY42</f>
        <v>0</v>
      </c>
      <c r="BD42" s="309">
        <f t="shared" ref="BD42" si="148">AV42+AR42+AZ42</f>
        <v>0</v>
      </c>
      <c r="BE42" s="309">
        <f t="shared" ref="BE42" si="149">AW42+AS42+BA42</f>
        <v>940</v>
      </c>
      <c r="BF42" s="309">
        <f t="shared" ref="BF42" si="150">IF(BD42=0,0,BE42/BD42*100)</f>
        <v>0</v>
      </c>
      <c r="BG42" s="310"/>
      <c r="BH42" s="304"/>
      <c r="BI42" s="337">
        <f>17-BI41</f>
        <v>9</v>
      </c>
      <c r="BJ42" s="213"/>
      <c r="BK42" s="309">
        <f t="shared" ref="BK42" si="151">SUM(BG42,BC42,AM42,AA42,W42,K42)</f>
        <v>0</v>
      </c>
      <c r="BL42" s="309">
        <f t="shared" ref="BL42" si="152">SUM(BH42,BD42,AN42,AB42,X42,L42)</f>
        <v>0</v>
      </c>
      <c r="BM42" s="309">
        <f t="shared" ref="BM42" si="153">SUM(BI42,BE42,AO42,AC42,Y42,M42)</f>
        <v>6327</v>
      </c>
      <c r="BN42" s="309">
        <f t="shared" ref="BN42" si="154">IF(BL42=0,0,BM42/BL42*100)</f>
        <v>0</v>
      </c>
    </row>
    <row r="43" spans="1:66" ht="47.25" x14ac:dyDescent="0.25">
      <c r="A43" s="173" t="s">
        <v>148</v>
      </c>
      <c r="B43" s="197" t="s">
        <v>3</v>
      </c>
      <c r="C43" s="214">
        <f t="shared" ref="C43:D43" si="155">C44*7+C45*8+C46*9+C47*9</f>
        <v>875</v>
      </c>
      <c r="D43" s="214">
        <f t="shared" si="155"/>
        <v>875</v>
      </c>
      <c r="E43" s="214">
        <f t="shared" ref="E43" si="156">E44*7+E45*8+E46*9+E47*9</f>
        <v>898</v>
      </c>
      <c r="F43" s="99">
        <f t="shared" si="21"/>
        <v>102.62857142857142</v>
      </c>
      <c r="G43" s="214">
        <f t="shared" ref="G43" si="157">G44*7+G45*8+G46*9+G47*9</f>
        <v>0</v>
      </c>
      <c r="H43" s="97">
        <f t="shared" si="3"/>
        <v>0</v>
      </c>
      <c r="I43" s="214">
        <f t="shared" ref="I43" si="158">I44*7+I45*8+I46*9+I47*9</f>
        <v>0</v>
      </c>
      <c r="J43" s="99">
        <f t="shared" si="22"/>
        <v>0</v>
      </c>
      <c r="K43" s="235">
        <f t="shared" si="23"/>
        <v>875</v>
      </c>
      <c r="L43" s="235">
        <f t="shared" si="24"/>
        <v>875</v>
      </c>
      <c r="M43" s="235">
        <f t="shared" si="25"/>
        <v>898</v>
      </c>
      <c r="N43" s="235">
        <f t="shared" si="26"/>
        <v>102.62857142857142</v>
      </c>
      <c r="O43" s="214">
        <f t="shared" ref="O43:S43" si="159">O44*7+O45*8+O46*9+O47*9</f>
        <v>441</v>
      </c>
      <c r="P43" s="214">
        <f t="shared" si="159"/>
        <v>441</v>
      </c>
      <c r="Q43" s="214">
        <f t="shared" ref="Q43:U43" si="160">Q44*7+Q45*8+Q46*9+Q47*9</f>
        <v>252</v>
      </c>
      <c r="R43" s="99">
        <f t="shared" si="28"/>
        <v>57.142857142857139</v>
      </c>
      <c r="S43" s="214">
        <f t="shared" si="159"/>
        <v>0</v>
      </c>
      <c r="T43" s="97">
        <f t="shared" si="95"/>
        <v>0</v>
      </c>
      <c r="U43" s="214">
        <f t="shared" si="160"/>
        <v>0</v>
      </c>
      <c r="V43" s="99">
        <f t="shared" si="29"/>
        <v>0</v>
      </c>
      <c r="W43" s="210">
        <f t="shared" si="30"/>
        <v>441</v>
      </c>
      <c r="X43" s="210">
        <f t="shared" si="31"/>
        <v>441</v>
      </c>
      <c r="Y43" s="210">
        <f t="shared" si="32"/>
        <v>252</v>
      </c>
      <c r="Z43" s="210">
        <f t="shared" si="33"/>
        <v>57.142857142857139</v>
      </c>
      <c r="AA43" s="214">
        <f t="shared" ref="AA43:AF43" si="161">AA44*7+AA45*8+AA46*9+AA47*9</f>
        <v>1058</v>
      </c>
      <c r="AB43" s="214">
        <f t="shared" si="161"/>
        <v>1058</v>
      </c>
      <c r="AC43" s="214">
        <f t="shared" ref="AC43:AG43" si="162">AC44*7+AC45*8+AC46*9+AC47*9</f>
        <v>1074</v>
      </c>
      <c r="AD43" s="99">
        <f t="shared" si="35"/>
        <v>101.51228733459357</v>
      </c>
      <c r="AE43" s="214">
        <f t="shared" si="161"/>
        <v>1215</v>
      </c>
      <c r="AF43" s="214">
        <f t="shared" si="161"/>
        <v>1215</v>
      </c>
      <c r="AG43" s="214">
        <f t="shared" si="162"/>
        <v>1214</v>
      </c>
      <c r="AH43" s="99">
        <f t="shared" si="36"/>
        <v>99.91769547325103</v>
      </c>
      <c r="AI43" s="214">
        <f t="shared" ref="AI43" si="163">AI44*7+AI45*8+AI46*9+AI47*9</f>
        <v>0</v>
      </c>
      <c r="AJ43" s="97">
        <f t="shared" si="10"/>
        <v>0</v>
      </c>
      <c r="AK43" s="214">
        <f t="shared" ref="AK43" si="164">AK44*7+AK45*8+AK46*9+AK47*9</f>
        <v>0</v>
      </c>
      <c r="AL43" s="99">
        <f t="shared" si="37"/>
        <v>0</v>
      </c>
      <c r="AM43" s="235">
        <f t="shared" si="38"/>
        <v>1215</v>
      </c>
      <c r="AN43" s="235">
        <f t="shared" si="39"/>
        <v>1215</v>
      </c>
      <c r="AO43" s="235">
        <f t="shared" si="40"/>
        <v>1214</v>
      </c>
      <c r="AP43" s="235">
        <f t="shared" si="41"/>
        <v>99.91769547325103</v>
      </c>
      <c r="AQ43" s="214">
        <f t="shared" ref="AQ43" si="165">AQ44*7+AQ45*8+AQ46*9+AQ47*9</f>
        <v>0</v>
      </c>
      <c r="AR43" s="162">
        <f t="shared" si="94"/>
        <v>0</v>
      </c>
      <c r="AS43" s="264">
        <f t="shared" ref="AS43" si="166">AS44*7+AS45*8+AS46*9+AS47*9</f>
        <v>0</v>
      </c>
      <c r="AT43" s="99">
        <f t="shared" si="43"/>
        <v>0</v>
      </c>
      <c r="AU43" s="214">
        <f t="shared" ref="AU43" si="167">AU44*7+AU45*8+AU46*9+AU47*9</f>
        <v>0</v>
      </c>
      <c r="AV43" s="115">
        <f t="shared" si="44"/>
        <v>0</v>
      </c>
      <c r="AW43" s="264">
        <f t="shared" ref="AW43" si="168">AW44*7+AW45*8+AW46*9+AW47*9</f>
        <v>0</v>
      </c>
      <c r="AX43" s="99">
        <f t="shared" si="45"/>
        <v>0</v>
      </c>
      <c r="AY43" s="214">
        <f t="shared" ref="AY43:AZ43" si="169">AY44*7+AY45*8+AY46*9+AY47*9</f>
        <v>711</v>
      </c>
      <c r="AZ43" s="214">
        <f t="shared" si="169"/>
        <v>711</v>
      </c>
      <c r="BA43" s="214">
        <f t="shared" ref="BA43" si="170">BA44*7+BA45*8+BA46*9+BA47*9</f>
        <v>720</v>
      </c>
      <c r="BB43" s="99">
        <f t="shared" si="46"/>
        <v>101.26582278481013</v>
      </c>
      <c r="BC43" s="210">
        <f t="shared" si="47"/>
        <v>711</v>
      </c>
      <c r="BD43" s="210">
        <f t="shared" si="48"/>
        <v>711</v>
      </c>
      <c r="BE43" s="210">
        <f t="shared" si="49"/>
        <v>720</v>
      </c>
      <c r="BF43" s="210">
        <f t="shared" si="50"/>
        <v>101.26582278481013</v>
      </c>
      <c r="BG43" s="214">
        <f t="shared" ref="BG43" si="171">BG44*7+BG45*8+BG46*9+BG47*9</f>
        <v>0</v>
      </c>
      <c r="BH43" s="97">
        <f t="shared" si="51"/>
        <v>0</v>
      </c>
      <c r="BI43" s="214">
        <f t="shared" ref="BI43" si="172">BI44*7+BI45*8+BI46*9+BI47*9</f>
        <v>0</v>
      </c>
      <c r="BJ43" s="99">
        <f t="shared" si="52"/>
        <v>0</v>
      </c>
      <c r="BK43" s="210">
        <f t="shared" si="53"/>
        <v>4300</v>
      </c>
      <c r="BL43" s="210">
        <f t="shared" si="54"/>
        <v>4300</v>
      </c>
      <c r="BM43" s="210">
        <f t="shared" si="55"/>
        <v>4158</v>
      </c>
      <c r="BN43" s="210">
        <f t="shared" si="56"/>
        <v>96.697674418604649</v>
      </c>
    </row>
    <row r="44" spans="1:66" ht="15.75" x14ac:dyDescent="0.2">
      <c r="A44" s="169" t="s">
        <v>149</v>
      </c>
      <c r="B44" s="201" t="s">
        <v>339</v>
      </c>
      <c r="C44" s="214">
        <v>7</v>
      </c>
      <c r="D44" s="97">
        <v>7</v>
      </c>
      <c r="E44" s="214">
        <v>0</v>
      </c>
      <c r="F44" s="99">
        <f t="shared" si="21"/>
        <v>0</v>
      </c>
      <c r="G44" s="214"/>
      <c r="H44" s="97">
        <f t="shared" si="3"/>
        <v>0</v>
      </c>
      <c r="I44" s="214"/>
      <c r="J44" s="99">
        <f t="shared" si="22"/>
        <v>0</v>
      </c>
      <c r="K44" s="235">
        <f t="shared" si="23"/>
        <v>7</v>
      </c>
      <c r="L44" s="235">
        <f t="shared" si="24"/>
        <v>7</v>
      </c>
      <c r="M44" s="235">
        <f t="shared" si="25"/>
        <v>0</v>
      </c>
      <c r="N44" s="235">
        <f t="shared" si="26"/>
        <v>0</v>
      </c>
      <c r="O44" s="214"/>
      <c r="P44" s="97">
        <f t="shared" si="95"/>
        <v>0</v>
      </c>
      <c r="Q44" s="214">
        <v>0</v>
      </c>
      <c r="R44" s="99">
        <f t="shared" si="28"/>
        <v>0</v>
      </c>
      <c r="S44" s="214"/>
      <c r="T44" s="97">
        <f t="shared" si="95"/>
        <v>0</v>
      </c>
      <c r="U44" s="214"/>
      <c r="V44" s="99">
        <f t="shared" si="29"/>
        <v>0</v>
      </c>
      <c r="W44" s="210">
        <f t="shared" si="30"/>
        <v>0</v>
      </c>
      <c r="X44" s="210">
        <f t="shared" si="31"/>
        <v>0</v>
      </c>
      <c r="Y44" s="210">
        <f t="shared" si="32"/>
        <v>0</v>
      </c>
      <c r="Z44" s="210">
        <f t="shared" si="33"/>
        <v>0</v>
      </c>
      <c r="AA44" s="214">
        <v>1</v>
      </c>
      <c r="AB44" s="97">
        <v>1</v>
      </c>
      <c r="AC44" s="214">
        <v>1</v>
      </c>
      <c r="AD44" s="99">
        <f t="shared" si="35"/>
        <v>100</v>
      </c>
      <c r="AE44" s="214"/>
      <c r="AF44" s="97"/>
      <c r="AG44" s="214">
        <v>0</v>
      </c>
      <c r="AH44" s="99">
        <f t="shared" si="36"/>
        <v>0</v>
      </c>
      <c r="AI44" s="214"/>
      <c r="AJ44" s="97">
        <f t="shared" si="10"/>
        <v>0</v>
      </c>
      <c r="AK44" s="214"/>
      <c r="AL44" s="99">
        <f t="shared" si="37"/>
        <v>0</v>
      </c>
      <c r="AM44" s="235">
        <f t="shared" si="38"/>
        <v>0</v>
      </c>
      <c r="AN44" s="235">
        <f t="shared" si="39"/>
        <v>0</v>
      </c>
      <c r="AO44" s="235">
        <f t="shared" si="40"/>
        <v>0</v>
      </c>
      <c r="AP44" s="235">
        <f t="shared" si="41"/>
        <v>0</v>
      </c>
      <c r="AQ44" s="214"/>
      <c r="AR44" s="162">
        <f t="shared" si="94"/>
        <v>0</v>
      </c>
      <c r="AS44" s="264"/>
      <c r="AT44" s="99">
        <f t="shared" si="43"/>
        <v>0</v>
      </c>
      <c r="AU44" s="214"/>
      <c r="AV44" s="115">
        <f t="shared" si="44"/>
        <v>0</v>
      </c>
      <c r="AW44" s="264"/>
      <c r="AX44" s="99">
        <f t="shared" si="45"/>
        <v>0</v>
      </c>
      <c r="AY44" s="214"/>
      <c r="AZ44" s="331"/>
      <c r="BA44" s="214">
        <v>0</v>
      </c>
      <c r="BB44" s="99">
        <f t="shared" si="46"/>
        <v>0</v>
      </c>
      <c r="BC44" s="210">
        <f t="shared" si="47"/>
        <v>0</v>
      </c>
      <c r="BD44" s="210">
        <f t="shared" si="48"/>
        <v>0</v>
      </c>
      <c r="BE44" s="210">
        <f t="shared" si="49"/>
        <v>0</v>
      </c>
      <c r="BF44" s="210">
        <f t="shared" si="50"/>
        <v>0</v>
      </c>
      <c r="BG44" s="214"/>
      <c r="BH44" s="97">
        <f t="shared" si="51"/>
        <v>0</v>
      </c>
      <c r="BI44" s="214"/>
      <c r="BJ44" s="99">
        <f t="shared" si="52"/>
        <v>0</v>
      </c>
      <c r="BK44" s="210">
        <f t="shared" si="53"/>
        <v>8</v>
      </c>
      <c r="BL44" s="210">
        <f t="shared" si="54"/>
        <v>8</v>
      </c>
      <c r="BM44" s="210">
        <f t="shared" si="55"/>
        <v>1</v>
      </c>
      <c r="BN44" s="210">
        <f t="shared" si="56"/>
        <v>12.5</v>
      </c>
    </row>
    <row r="45" spans="1:66" ht="15.75" x14ac:dyDescent="0.2">
      <c r="A45" s="169" t="s">
        <v>150</v>
      </c>
      <c r="B45" s="201" t="s">
        <v>339</v>
      </c>
      <c r="C45" s="214">
        <v>11</v>
      </c>
      <c r="D45" s="97">
        <v>11</v>
      </c>
      <c r="E45" s="214">
        <v>2</v>
      </c>
      <c r="F45" s="99">
        <f t="shared" si="21"/>
        <v>18.181818181818183</v>
      </c>
      <c r="G45" s="214"/>
      <c r="H45" s="97">
        <f t="shared" si="3"/>
        <v>0</v>
      </c>
      <c r="I45" s="214"/>
      <c r="J45" s="99">
        <f t="shared" si="22"/>
        <v>0</v>
      </c>
      <c r="K45" s="235">
        <f t="shared" si="23"/>
        <v>11</v>
      </c>
      <c r="L45" s="235">
        <f t="shared" si="24"/>
        <v>11</v>
      </c>
      <c r="M45" s="235">
        <f t="shared" si="25"/>
        <v>2</v>
      </c>
      <c r="N45" s="235">
        <f t="shared" si="26"/>
        <v>18.181818181818183</v>
      </c>
      <c r="O45" s="214"/>
      <c r="P45" s="97">
        <f t="shared" si="95"/>
        <v>0</v>
      </c>
      <c r="Q45" s="214">
        <v>0</v>
      </c>
      <c r="R45" s="99">
        <f t="shared" si="28"/>
        <v>0</v>
      </c>
      <c r="S45" s="214"/>
      <c r="T45" s="97">
        <f t="shared" si="95"/>
        <v>0</v>
      </c>
      <c r="U45" s="214"/>
      <c r="V45" s="99">
        <f t="shared" si="29"/>
        <v>0</v>
      </c>
      <c r="W45" s="210">
        <f t="shared" si="30"/>
        <v>0</v>
      </c>
      <c r="X45" s="210">
        <f t="shared" si="31"/>
        <v>0</v>
      </c>
      <c r="Y45" s="210">
        <f t="shared" si="32"/>
        <v>0</v>
      </c>
      <c r="Z45" s="210">
        <f t="shared" si="33"/>
        <v>0</v>
      </c>
      <c r="AA45" s="214">
        <v>2</v>
      </c>
      <c r="AB45" s="97">
        <v>2</v>
      </c>
      <c r="AC45" s="214">
        <v>4</v>
      </c>
      <c r="AD45" s="99">
        <f t="shared" si="35"/>
        <v>200</v>
      </c>
      <c r="AE45" s="214"/>
      <c r="AF45" s="97"/>
      <c r="AG45" s="214">
        <v>1</v>
      </c>
      <c r="AH45" s="99">
        <f t="shared" si="36"/>
        <v>0</v>
      </c>
      <c r="AI45" s="214"/>
      <c r="AJ45" s="97">
        <f t="shared" si="10"/>
        <v>0</v>
      </c>
      <c r="AK45" s="214"/>
      <c r="AL45" s="99">
        <f t="shared" si="37"/>
        <v>0</v>
      </c>
      <c r="AM45" s="235">
        <f t="shared" si="38"/>
        <v>0</v>
      </c>
      <c r="AN45" s="235">
        <f t="shared" si="39"/>
        <v>0</v>
      </c>
      <c r="AO45" s="235">
        <f t="shared" si="40"/>
        <v>1</v>
      </c>
      <c r="AP45" s="235">
        <f t="shared" si="41"/>
        <v>0</v>
      </c>
      <c r="AQ45" s="214"/>
      <c r="AR45" s="162">
        <f t="shared" si="94"/>
        <v>0</v>
      </c>
      <c r="AS45" s="264"/>
      <c r="AT45" s="99">
        <f t="shared" si="43"/>
        <v>0</v>
      </c>
      <c r="AU45" s="214"/>
      <c r="AV45" s="115">
        <f t="shared" si="44"/>
        <v>0</v>
      </c>
      <c r="AW45" s="264"/>
      <c r="AX45" s="99">
        <f t="shared" si="45"/>
        <v>0</v>
      </c>
      <c r="AY45" s="214"/>
      <c r="AZ45" s="331"/>
      <c r="BA45" s="214">
        <v>0</v>
      </c>
      <c r="BB45" s="99">
        <f t="shared" si="46"/>
        <v>0</v>
      </c>
      <c r="BC45" s="210">
        <f t="shared" si="47"/>
        <v>0</v>
      </c>
      <c r="BD45" s="210">
        <f t="shared" si="48"/>
        <v>0</v>
      </c>
      <c r="BE45" s="210">
        <f t="shared" si="49"/>
        <v>0</v>
      </c>
      <c r="BF45" s="210">
        <f t="shared" si="50"/>
        <v>0</v>
      </c>
      <c r="BG45" s="214"/>
      <c r="BH45" s="97">
        <f t="shared" si="51"/>
        <v>0</v>
      </c>
      <c r="BI45" s="214"/>
      <c r="BJ45" s="99">
        <f t="shared" si="52"/>
        <v>0</v>
      </c>
      <c r="BK45" s="210">
        <f t="shared" si="53"/>
        <v>13</v>
      </c>
      <c r="BL45" s="210">
        <f t="shared" si="54"/>
        <v>13</v>
      </c>
      <c r="BM45" s="210">
        <f t="shared" si="55"/>
        <v>7</v>
      </c>
      <c r="BN45" s="210">
        <f t="shared" si="56"/>
        <v>53.846153846153847</v>
      </c>
    </row>
    <row r="46" spans="1:66" ht="15.75" x14ac:dyDescent="0.2">
      <c r="A46" s="169" t="s">
        <v>151</v>
      </c>
      <c r="B46" s="201" t="s">
        <v>339</v>
      </c>
      <c r="C46" s="214">
        <v>69</v>
      </c>
      <c r="D46" s="97">
        <v>69</v>
      </c>
      <c r="E46" s="214">
        <v>59</v>
      </c>
      <c r="F46" s="99">
        <f t="shared" si="21"/>
        <v>85.507246376811594</v>
      </c>
      <c r="G46" s="214"/>
      <c r="H46" s="97">
        <f t="shared" si="3"/>
        <v>0</v>
      </c>
      <c r="I46" s="214"/>
      <c r="J46" s="99">
        <f t="shared" si="22"/>
        <v>0</v>
      </c>
      <c r="K46" s="235">
        <f t="shared" si="23"/>
        <v>69</v>
      </c>
      <c r="L46" s="235">
        <f t="shared" si="24"/>
        <v>69</v>
      </c>
      <c r="M46" s="235">
        <f t="shared" si="25"/>
        <v>59</v>
      </c>
      <c r="N46" s="235">
        <f t="shared" si="26"/>
        <v>85.507246376811594</v>
      </c>
      <c r="O46" s="214">
        <v>33</v>
      </c>
      <c r="P46" s="97">
        <v>33</v>
      </c>
      <c r="Q46" s="214">
        <v>21</v>
      </c>
      <c r="R46" s="99">
        <f t="shared" si="28"/>
        <v>63.636363636363633</v>
      </c>
      <c r="S46" s="214"/>
      <c r="T46" s="97">
        <f t="shared" ref="P46:T61" si="173">ROUND(S46/12*$A$7,0)</f>
        <v>0</v>
      </c>
      <c r="U46" s="214"/>
      <c r="V46" s="99">
        <f t="shared" si="29"/>
        <v>0</v>
      </c>
      <c r="W46" s="210">
        <f t="shared" si="30"/>
        <v>33</v>
      </c>
      <c r="X46" s="210">
        <f t="shared" si="31"/>
        <v>33</v>
      </c>
      <c r="Y46" s="210">
        <f t="shared" si="32"/>
        <v>21</v>
      </c>
      <c r="Z46" s="210">
        <f t="shared" si="33"/>
        <v>63.636363636363633</v>
      </c>
      <c r="AA46" s="214">
        <v>96</v>
      </c>
      <c r="AB46" s="97">
        <v>96</v>
      </c>
      <c r="AC46" s="214">
        <v>99</v>
      </c>
      <c r="AD46" s="99">
        <f t="shared" si="35"/>
        <v>103.125</v>
      </c>
      <c r="AE46" s="214">
        <v>125</v>
      </c>
      <c r="AF46" s="97">
        <v>125</v>
      </c>
      <c r="AG46" s="214">
        <v>103</v>
      </c>
      <c r="AH46" s="99">
        <f t="shared" si="36"/>
        <v>82.399999999999991</v>
      </c>
      <c r="AI46" s="214"/>
      <c r="AJ46" s="97">
        <f t="shared" si="10"/>
        <v>0</v>
      </c>
      <c r="AK46" s="214"/>
      <c r="AL46" s="99">
        <f t="shared" si="37"/>
        <v>0</v>
      </c>
      <c r="AM46" s="235">
        <f t="shared" si="38"/>
        <v>125</v>
      </c>
      <c r="AN46" s="235">
        <f t="shared" si="39"/>
        <v>125</v>
      </c>
      <c r="AO46" s="235">
        <f t="shared" si="40"/>
        <v>103</v>
      </c>
      <c r="AP46" s="235">
        <f t="shared" si="41"/>
        <v>82.399999999999991</v>
      </c>
      <c r="AQ46" s="214"/>
      <c r="AR46" s="162">
        <f t="shared" si="94"/>
        <v>0</v>
      </c>
      <c r="AS46" s="264"/>
      <c r="AT46" s="99">
        <f t="shared" si="43"/>
        <v>0</v>
      </c>
      <c r="AU46" s="214"/>
      <c r="AV46" s="115">
        <f t="shared" si="44"/>
        <v>0</v>
      </c>
      <c r="AW46" s="264"/>
      <c r="AX46" s="99">
        <f t="shared" si="45"/>
        <v>0</v>
      </c>
      <c r="AY46" s="214">
        <v>48</v>
      </c>
      <c r="AZ46" s="331">
        <v>48</v>
      </c>
      <c r="BA46" s="214">
        <v>58</v>
      </c>
      <c r="BB46" s="99">
        <f t="shared" si="46"/>
        <v>120.83333333333333</v>
      </c>
      <c r="BC46" s="210">
        <f t="shared" si="47"/>
        <v>48</v>
      </c>
      <c r="BD46" s="210">
        <f t="shared" si="48"/>
        <v>48</v>
      </c>
      <c r="BE46" s="210">
        <f t="shared" si="49"/>
        <v>58</v>
      </c>
      <c r="BF46" s="210">
        <f t="shared" si="50"/>
        <v>120.83333333333333</v>
      </c>
      <c r="BG46" s="214"/>
      <c r="BH46" s="97">
        <f t="shared" si="51"/>
        <v>0</v>
      </c>
      <c r="BI46" s="214"/>
      <c r="BJ46" s="99">
        <f t="shared" si="52"/>
        <v>0</v>
      </c>
      <c r="BK46" s="210">
        <f t="shared" si="53"/>
        <v>371</v>
      </c>
      <c r="BL46" s="210">
        <f t="shared" si="54"/>
        <v>371</v>
      </c>
      <c r="BM46" s="210">
        <f t="shared" si="55"/>
        <v>340</v>
      </c>
      <c r="BN46" s="210">
        <f t="shared" si="56"/>
        <v>91.644204851752022</v>
      </c>
    </row>
    <row r="47" spans="1:66" ht="15.75" x14ac:dyDescent="0.2">
      <c r="A47" s="169" t="s">
        <v>152</v>
      </c>
      <c r="B47" s="201" t="s">
        <v>339</v>
      </c>
      <c r="C47" s="214">
        <v>13</v>
      </c>
      <c r="D47" s="97">
        <v>13</v>
      </c>
      <c r="E47" s="214">
        <v>39</v>
      </c>
      <c r="F47" s="99">
        <f t="shared" si="21"/>
        <v>300</v>
      </c>
      <c r="G47" s="214"/>
      <c r="H47" s="97">
        <f t="shared" si="3"/>
        <v>0</v>
      </c>
      <c r="I47" s="214"/>
      <c r="J47" s="99">
        <f t="shared" si="22"/>
        <v>0</v>
      </c>
      <c r="K47" s="235">
        <f t="shared" si="23"/>
        <v>13</v>
      </c>
      <c r="L47" s="235">
        <f t="shared" si="24"/>
        <v>13</v>
      </c>
      <c r="M47" s="235">
        <f t="shared" si="25"/>
        <v>39</v>
      </c>
      <c r="N47" s="235">
        <f t="shared" si="26"/>
        <v>300</v>
      </c>
      <c r="O47" s="214">
        <v>16</v>
      </c>
      <c r="P47" s="97">
        <v>16</v>
      </c>
      <c r="Q47" s="214">
        <v>7</v>
      </c>
      <c r="R47" s="99">
        <f t="shared" si="28"/>
        <v>43.75</v>
      </c>
      <c r="S47" s="214"/>
      <c r="T47" s="97">
        <f t="shared" si="173"/>
        <v>0</v>
      </c>
      <c r="U47" s="214"/>
      <c r="V47" s="99">
        <f t="shared" si="29"/>
        <v>0</v>
      </c>
      <c r="W47" s="210">
        <f t="shared" si="30"/>
        <v>16</v>
      </c>
      <c r="X47" s="210">
        <f t="shared" si="31"/>
        <v>16</v>
      </c>
      <c r="Y47" s="210">
        <f t="shared" si="32"/>
        <v>7</v>
      </c>
      <c r="Z47" s="210">
        <f t="shared" si="33"/>
        <v>43.75</v>
      </c>
      <c r="AA47" s="214">
        <v>19</v>
      </c>
      <c r="AB47" s="97">
        <v>19</v>
      </c>
      <c r="AC47" s="214">
        <v>16</v>
      </c>
      <c r="AD47" s="99">
        <f t="shared" si="35"/>
        <v>84.210526315789465</v>
      </c>
      <c r="AE47" s="214">
        <v>10</v>
      </c>
      <c r="AF47" s="97">
        <v>10</v>
      </c>
      <c r="AG47" s="214">
        <v>31</v>
      </c>
      <c r="AH47" s="99">
        <f t="shared" si="36"/>
        <v>310</v>
      </c>
      <c r="AI47" s="214"/>
      <c r="AJ47" s="97">
        <f t="shared" si="10"/>
        <v>0</v>
      </c>
      <c r="AK47" s="214"/>
      <c r="AL47" s="99">
        <f t="shared" si="37"/>
        <v>0</v>
      </c>
      <c r="AM47" s="235">
        <f t="shared" si="38"/>
        <v>10</v>
      </c>
      <c r="AN47" s="235">
        <f t="shared" si="39"/>
        <v>10</v>
      </c>
      <c r="AO47" s="235">
        <f t="shared" si="40"/>
        <v>31</v>
      </c>
      <c r="AP47" s="235">
        <f t="shared" si="41"/>
        <v>310</v>
      </c>
      <c r="AQ47" s="214"/>
      <c r="AR47" s="162">
        <f t="shared" si="94"/>
        <v>0</v>
      </c>
      <c r="AS47" s="264"/>
      <c r="AT47" s="99">
        <f t="shared" si="43"/>
        <v>0</v>
      </c>
      <c r="AU47" s="214"/>
      <c r="AV47" s="115">
        <f t="shared" si="44"/>
        <v>0</v>
      </c>
      <c r="AW47" s="264"/>
      <c r="AX47" s="99">
        <f t="shared" si="45"/>
        <v>0</v>
      </c>
      <c r="AY47" s="214">
        <v>31</v>
      </c>
      <c r="AZ47" s="331">
        <v>31</v>
      </c>
      <c r="BA47" s="214">
        <v>22</v>
      </c>
      <c r="BB47" s="99">
        <f t="shared" si="46"/>
        <v>70.967741935483872</v>
      </c>
      <c r="BC47" s="210">
        <f t="shared" si="47"/>
        <v>31</v>
      </c>
      <c r="BD47" s="210">
        <f t="shared" si="48"/>
        <v>31</v>
      </c>
      <c r="BE47" s="210">
        <f t="shared" si="49"/>
        <v>22</v>
      </c>
      <c r="BF47" s="210">
        <f t="shared" si="50"/>
        <v>70.967741935483872</v>
      </c>
      <c r="BG47" s="214"/>
      <c r="BH47" s="97">
        <f t="shared" si="51"/>
        <v>0</v>
      </c>
      <c r="BI47" s="214"/>
      <c r="BJ47" s="99">
        <f t="shared" si="52"/>
        <v>0</v>
      </c>
      <c r="BK47" s="210">
        <f t="shared" si="53"/>
        <v>89</v>
      </c>
      <c r="BL47" s="210">
        <f t="shared" si="54"/>
        <v>89</v>
      </c>
      <c r="BM47" s="210">
        <f t="shared" si="55"/>
        <v>115</v>
      </c>
      <c r="BN47" s="210">
        <f t="shared" si="56"/>
        <v>129.21348314606743</v>
      </c>
    </row>
    <row r="48" spans="1:66" ht="31.5" x14ac:dyDescent="0.25">
      <c r="A48" s="173" t="s">
        <v>153</v>
      </c>
      <c r="B48" s="197" t="s">
        <v>3</v>
      </c>
      <c r="C48" s="214">
        <f t="shared" ref="C48:D48" si="174">C49*7+C50*8+C51*9+C52*9</f>
        <v>207</v>
      </c>
      <c r="D48" s="214">
        <f t="shared" si="174"/>
        <v>207</v>
      </c>
      <c r="E48" s="214">
        <f t="shared" ref="E48" si="175">E49*7+E50*8+E51*9+E52*9</f>
        <v>189</v>
      </c>
      <c r="F48" s="99">
        <f t="shared" si="21"/>
        <v>91.304347826086953</v>
      </c>
      <c r="G48" s="214">
        <f t="shared" ref="G48" si="176">G49*7+G50*8+G51*9+G52*9</f>
        <v>0</v>
      </c>
      <c r="H48" s="97">
        <f t="shared" si="3"/>
        <v>0</v>
      </c>
      <c r="I48" s="214">
        <f t="shared" ref="I48" si="177">I49*7+I50*8+I51*9+I52*9</f>
        <v>0</v>
      </c>
      <c r="J48" s="99">
        <f t="shared" si="22"/>
        <v>0</v>
      </c>
      <c r="K48" s="235">
        <f t="shared" si="23"/>
        <v>207</v>
      </c>
      <c r="L48" s="235">
        <f t="shared" si="24"/>
        <v>207</v>
      </c>
      <c r="M48" s="235">
        <f t="shared" si="25"/>
        <v>189</v>
      </c>
      <c r="N48" s="235">
        <f t="shared" si="26"/>
        <v>91.304347826086953</v>
      </c>
      <c r="O48" s="214">
        <f t="shared" ref="O48:S48" si="178">O49*7+O50*8+O51*9+O52*9</f>
        <v>822</v>
      </c>
      <c r="P48" s="214">
        <f t="shared" si="178"/>
        <v>822</v>
      </c>
      <c r="Q48" s="214">
        <f t="shared" ref="Q48:U48" si="179">Q49*7+Q50*8+Q51*9+Q52*9</f>
        <v>408</v>
      </c>
      <c r="R48" s="99">
        <f t="shared" si="28"/>
        <v>49.635036496350367</v>
      </c>
      <c r="S48" s="214">
        <f t="shared" si="178"/>
        <v>0</v>
      </c>
      <c r="T48" s="97">
        <f t="shared" si="173"/>
        <v>0</v>
      </c>
      <c r="U48" s="214">
        <f t="shared" si="179"/>
        <v>0</v>
      </c>
      <c r="V48" s="99">
        <f t="shared" si="29"/>
        <v>0</v>
      </c>
      <c r="W48" s="210">
        <f t="shared" si="30"/>
        <v>822</v>
      </c>
      <c r="X48" s="210">
        <f t="shared" si="31"/>
        <v>822</v>
      </c>
      <c r="Y48" s="210">
        <f t="shared" si="32"/>
        <v>408</v>
      </c>
      <c r="Z48" s="210">
        <f t="shared" si="33"/>
        <v>49.635036496350367</v>
      </c>
      <c r="AA48" s="214">
        <f t="shared" ref="AA48:AF48" si="180">AA49*7+AA50*8+AA51*9+AA52*9</f>
        <v>1156</v>
      </c>
      <c r="AB48" s="214">
        <f t="shared" si="180"/>
        <v>1156</v>
      </c>
      <c r="AC48" s="214">
        <f t="shared" ref="AC48:AG48" si="181">AC49*7+AC50*8+AC51*9+AC52*9</f>
        <v>1011</v>
      </c>
      <c r="AD48" s="99">
        <f t="shared" si="35"/>
        <v>87.456747404844293</v>
      </c>
      <c r="AE48" s="214">
        <f t="shared" si="180"/>
        <v>403</v>
      </c>
      <c r="AF48" s="214">
        <f t="shared" si="180"/>
        <v>403</v>
      </c>
      <c r="AG48" s="214">
        <f t="shared" si="181"/>
        <v>664</v>
      </c>
      <c r="AH48" s="99">
        <f t="shared" si="36"/>
        <v>164.76426799007444</v>
      </c>
      <c r="AI48" s="214">
        <f t="shared" ref="AI48" si="182">AI49*7+AI50*8+AI51*9+AI52*9</f>
        <v>0</v>
      </c>
      <c r="AJ48" s="97">
        <f t="shared" si="10"/>
        <v>0</v>
      </c>
      <c r="AK48" s="214">
        <f t="shared" ref="AK48" si="183">AK49*7+AK50*8+AK51*9+AK52*9</f>
        <v>0</v>
      </c>
      <c r="AL48" s="99">
        <f t="shared" si="37"/>
        <v>0</v>
      </c>
      <c r="AM48" s="235">
        <f t="shared" si="38"/>
        <v>403</v>
      </c>
      <c r="AN48" s="235">
        <f t="shared" si="39"/>
        <v>403</v>
      </c>
      <c r="AO48" s="235">
        <f t="shared" si="40"/>
        <v>664</v>
      </c>
      <c r="AP48" s="235">
        <f t="shared" si="41"/>
        <v>164.76426799007444</v>
      </c>
      <c r="AQ48" s="214">
        <f t="shared" ref="AQ48" si="184">AQ49*7+AQ50*8+AQ51*9+AQ52*9</f>
        <v>0</v>
      </c>
      <c r="AR48" s="162">
        <f t="shared" si="94"/>
        <v>0</v>
      </c>
      <c r="AS48" s="264">
        <f t="shared" ref="AS48" si="185">AS49*7+AS50*8+AS51*9+AS52*9</f>
        <v>0</v>
      </c>
      <c r="AT48" s="99">
        <f t="shared" si="43"/>
        <v>0</v>
      </c>
      <c r="AU48" s="214">
        <f t="shared" ref="AU48" si="186">AU49*7+AU50*8+AU51*9+AU52*9</f>
        <v>0</v>
      </c>
      <c r="AV48" s="115">
        <f t="shared" si="44"/>
        <v>0</v>
      </c>
      <c r="AW48" s="264">
        <f t="shared" ref="AW48" si="187">AW49*7+AW50*8+AW51*9+AW52*9</f>
        <v>0</v>
      </c>
      <c r="AX48" s="99">
        <f t="shared" si="45"/>
        <v>0</v>
      </c>
      <c r="AY48" s="214">
        <f t="shared" ref="AY48:AZ48" si="188">AY49*7+AY50*8+AY51*9+AY52*9</f>
        <v>955</v>
      </c>
      <c r="AZ48" s="214">
        <f t="shared" si="188"/>
        <v>955</v>
      </c>
      <c r="BA48" s="214">
        <f t="shared" ref="BA48" si="189">BA49*7+BA50*8+BA51*9+BA52*9</f>
        <v>1159</v>
      </c>
      <c r="BB48" s="99">
        <f t="shared" si="46"/>
        <v>121.36125654450262</v>
      </c>
      <c r="BC48" s="210">
        <f t="shared" si="47"/>
        <v>955</v>
      </c>
      <c r="BD48" s="210">
        <f t="shared" si="48"/>
        <v>955</v>
      </c>
      <c r="BE48" s="210">
        <f t="shared" si="49"/>
        <v>1159</v>
      </c>
      <c r="BF48" s="210">
        <f t="shared" si="50"/>
        <v>121.36125654450262</v>
      </c>
      <c r="BG48" s="214">
        <f t="shared" ref="BG48:BH48" si="190">BG49*7+BG50*8+BG51*9+BG52*9</f>
        <v>291</v>
      </c>
      <c r="BH48" s="214">
        <f t="shared" si="190"/>
        <v>291</v>
      </c>
      <c r="BI48" s="214">
        <f t="shared" ref="BI48" si="191">BI49*7+BI50*8+BI51*9+BI52*9</f>
        <v>0</v>
      </c>
      <c r="BJ48" s="99">
        <f t="shared" si="52"/>
        <v>0</v>
      </c>
      <c r="BK48" s="210">
        <f t="shared" si="53"/>
        <v>3834</v>
      </c>
      <c r="BL48" s="210">
        <f t="shared" si="54"/>
        <v>3834</v>
      </c>
      <c r="BM48" s="210">
        <f t="shared" si="55"/>
        <v>3431</v>
      </c>
      <c r="BN48" s="210">
        <f t="shared" si="56"/>
        <v>89.48878455920709</v>
      </c>
    </row>
    <row r="49" spans="1:66" ht="15.75" x14ac:dyDescent="0.2">
      <c r="A49" s="169" t="s">
        <v>149</v>
      </c>
      <c r="B49" s="201" t="s">
        <v>339</v>
      </c>
      <c r="C49" s="214"/>
      <c r="D49" s="97">
        <f t="shared" si="20"/>
        <v>0</v>
      </c>
      <c r="E49" s="214">
        <v>0</v>
      </c>
      <c r="F49" s="99">
        <f t="shared" si="21"/>
        <v>0</v>
      </c>
      <c r="G49" s="214"/>
      <c r="H49" s="97">
        <f t="shared" si="3"/>
        <v>0</v>
      </c>
      <c r="I49" s="214"/>
      <c r="J49" s="99">
        <f t="shared" si="22"/>
        <v>0</v>
      </c>
      <c r="K49" s="235">
        <f t="shared" si="23"/>
        <v>0</v>
      </c>
      <c r="L49" s="235">
        <f t="shared" si="24"/>
        <v>0</v>
      </c>
      <c r="M49" s="235">
        <f t="shared" si="25"/>
        <v>0</v>
      </c>
      <c r="N49" s="235">
        <f t="shared" si="26"/>
        <v>0</v>
      </c>
      <c r="O49" s="214">
        <v>1</v>
      </c>
      <c r="P49" s="97">
        <v>1</v>
      </c>
      <c r="Q49" s="214">
        <v>2</v>
      </c>
      <c r="R49" s="99">
        <f t="shared" si="28"/>
        <v>200</v>
      </c>
      <c r="S49" s="214"/>
      <c r="T49" s="97">
        <f t="shared" si="173"/>
        <v>0</v>
      </c>
      <c r="U49" s="214"/>
      <c r="V49" s="99">
        <f t="shared" si="29"/>
        <v>0</v>
      </c>
      <c r="W49" s="210">
        <f t="shared" si="30"/>
        <v>1</v>
      </c>
      <c r="X49" s="210">
        <f t="shared" si="31"/>
        <v>1</v>
      </c>
      <c r="Y49" s="210">
        <f t="shared" si="32"/>
        <v>2</v>
      </c>
      <c r="Z49" s="210">
        <f t="shared" si="33"/>
        <v>200</v>
      </c>
      <c r="AA49" s="214">
        <v>4</v>
      </c>
      <c r="AB49" s="97">
        <v>4</v>
      </c>
      <c r="AC49" s="214">
        <v>4</v>
      </c>
      <c r="AD49" s="99">
        <f t="shared" si="35"/>
        <v>100</v>
      </c>
      <c r="AE49" s="214"/>
      <c r="AF49" s="97">
        <f t="shared" ref="AB49:AF61" si="192">ROUND(AE49/12*$A$7,0)</f>
        <v>0</v>
      </c>
      <c r="AG49" s="214">
        <v>2</v>
      </c>
      <c r="AH49" s="99">
        <f t="shared" si="36"/>
        <v>0</v>
      </c>
      <c r="AI49" s="214"/>
      <c r="AJ49" s="97">
        <f t="shared" si="10"/>
        <v>0</v>
      </c>
      <c r="AK49" s="214"/>
      <c r="AL49" s="99">
        <f t="shared" si="37"/>
        <v>0</v>
      </c>
      <c r="AM49" s="235">
        <f t="shared" si="38"/>
        <v>0</v>
      </c>
      <c r="AN49" s="235">
        <f t="shared" si="39"/>
        <v>0</v>
      </c>
      <c r="AO49" s="235">
        <f t="shared" si="40"/>
        <v>2</v>
      </c>
      <c r="AP49" s="235">
        <f t="shared" si="41"/>
        <v>0</v>
      </c>
      <c r="AQ49" s="214"/>
      <c r="AR49" s="162">
        <f t="shared" si="94"/>
        <v>0</v>
      </c>
      <c r="AS49" s="264"/>
      <c r="AT49" s="99">
        <f t="shared" si="43"/>
        <v>0</v>
      </c>
      <c r="AU49" s="214"/>
      <c r="AV49" s="115">
        <f t="shared" si="44"/>
        <v>0</v>
      </c>
      <c r="AW49" s="264"/>
      <c r="AX49" s="99">
        <f t="shared" si="45"/>
        <v>0</v>
      </c>
      <c r="AY49" s="214">
        <v>4</v>
      </c>
      <c r="AZ49" s="331">
        <v>4</v>
      </c>
      <c r="BA49" s="214">
        <v>4</v>
      </c>
      <c r="BB49" s="99">
        <f t="shared" si="46"/>
        <v>100</v>
      </c>
      <c r="BC49" s="210">
        <f t="shared" si="47"/>
        <v>4</v>
      </c>
      <c r="BD49" s="210">
        <f t="shared" si="48"/>
        <v>4</v>
      </c>
      <c r="BE49" s="210">
        <f t="shared" si="49"/>
        <v>4</v>
      </c>
      <c r="BF49" s="210">
        <f t="shared" si="50"/>
        <v>100</v>
      </c>
      <c r="BG49" s="214"/>
      <c r="BH49" s="97">
        <f t="shared" si="51"/>
        <v>0</v>
      </c>
      <c r="BI49" s="214"/>
      <c r="BJ49" s="99">
        <f t="shared" si="52"/>
        <v>0</v>
      </c>
      <c r="BK49" s="210">
        <f t="shared" si="53"/>
        <v>9</v>
      </c>
      <c r="BL49" s="210">
        <f t="shared" si="54"/>
        <v>9</v>
      </c>
      <c r="BM49" s="210">
        <f t="shared" si="55"/>
        <v>12</v>
      </c>
      <c r="BN49" s="210">
        <f t="shared" si="56"/>
        <v>133.33333333333331</v>
      </c>
    </row>
    <row r="50" spans="1:66" ht="15.75" x14ac:dyDescent="0.2">
      <c r="A50" s="169" t="s">
        <v>150</v>
      </c>
      <c r="B50" s="201" t="s">
        <v>339</v>
      </c>
      <c r="C50" s="214"/>
      <c r="D50" s="97">
        <f t="shared" si="20"/>
        <v>0</v>
      </c>
      <c r="E50" s="214">
        <v>0</v>
      </c>
      <c r="F50" s="99">
        <f t="shared" si="21"/>
        <v>0</v>
      </c>
      <c r="G50" s="214"/>
      <c r="H50" s="97">
        <f t="shared" si="3"/>
        <v>0</v>
      </c>
      <c r="I50" s="214"/>
      <c r="J50" s="99">
        <f t="shared" si="22"/>
        <v>0</v>
      </c>
      <c r="K50" s="235">
        <f t="shared" si="23"/>
        <v>0</v>
      </c>
      <c r="L50" s="235">
        <f t="shared" si="24"/>
        <v>0</v>
      </c>
      <c r="M50" s="235">
        <f t="shared" si="25"/>
        <v>0</v>
      </c>
      <c r="N50" s="235">
        <f t="shared" si="26"/>
        <v>0</v>
      </c>
      <c r="O50" s="214">
        <v>4</v>
      </c>
      <c r="P50" s="97">
        <v>4</v>
      </c>
      <c r="Q50" s="214">
        <v>2</v>
      </c>
      <c r="R50" s="99">
        <f t="shared" si="28"/>
        <v>50</v>
      </c>
      <c r="S50" s="214"/>
      <c r="T50" s="97">
        <f t="shared" si="173"/>
        <v>0</v>
      </c>
      <c r="U50" s="214"/>
      <c r="V50" s="99">
        <f t="shared" si="29"/>
        <v>0</v>
      </c>
      <c r="W50" s="210">
        <f t="shared" si="30"/>
        <v>4</v>
      </c>
      <c r="X50" s="210">
        <f t="shared" si="31"/>
        <v>4</v>
      </c>
      <c r="Y50" s="210">
        <f t="shared" si="32"/>
        <v>2</v>
      </c>
      <c r="Z50" s="210">
        <f t="shared" si="33"/>
        <v>50</v>
      </c>
      <c r="AA50" s="214">
        <v>6</v>
      </c>
      <c r="AB50" s="97">
        <v>6</v>
      </c>
      <c r="AC50" s="214">
        <v>7</v>
      </c>
      <c r="AD50" s="99">
        <f t="shared" si="35"/>
        <v>116.66666666666667</v>
      </c>
      <c r="AE50" s="214">
        <v>2</v>
      </c>
      <c r="AF50" s="97">
        <v>2</v>
      </c>
      <c r="AG50" s="214">
        <v>7</v>
      </c>
      <c r="AH50" s="99">
        <f t="shared" si="36"/>
        <v>350</v>
      </c>
      <c r="AI50" s="214"/>
      <c r="AJ50" s="97">
        <f t="shared" si="10"/>
        <v>0</v>
      </c>
      <c r="AK50" s="214"/>
      <c r="AL50" s="99">
        <f t="shared" si="37"/>
        <v>0</v>
      </c>
      <c r="AM50" s="235">
        <f t="shared" si="38"/>
        <v>2</v>
      </c>
      <c r="AN50" s="235">
        <f t="shared" si="39"/>
        <v>2</v>
      </c>
      <c r="AO50" s="235">
        <f t="shared" si="40"/>
        <v>7</v>
      </c>
      <c r="AP50" s="235">
        <f t="shared" si="41"/>
        <v>350</v>
      </c>
      <c r="AQ50" s="214"/>
      <c r="AR50" s="162">
        <f t="shared" si="94"/>
        <v>0</v>
      </c>
      <c r="AS50" s="264"/>
      <c r="AT50" s="99">
        <f t="shared" si="43"/>
        <v>0</v>
      </c>
      <c r="AU50" s="214"/>
      <c r="AV50" s="115">
        <f t="shared" si="44"/>
        <v>0</v>
      </c>
      <c r="AW50" s="264"/>
      <c r="AX50" s="99">
        <f t="shared" si="45"/>
        <v>0</v>
      </c>
      <c r="AY50" s="214">
        <v>9</v>
      </c>
      <c r="AZ50" s="331">
        <v>9</v>
      </c>
      <c r="BA50" s="214">
        <v>12</v>
      </c>
      <c r="BB50" s="99">
        <f t="shared" si="46"/>
        <v>133.33333333333331</v>
      </c>
      <c r="BC50" s="210">
        <f t="shared" si="47"/>
        <v>9</v>
      </c>
      <c r="BD50" s="210">
        <f t="shared" si="48"/>
        <v>9</v>
      </c>
      <c r="BE50" s="210">
        <f t="shared" si="49"/>
        <v>12</v>
      </c>
      <c r="BF50" s="210">
        <f t="shared" si="50"/>
        <v>133.33333333333331</v>
      </c>
      <c r="BG50" s="214">
        <v>6</v>
      </c>
      <c r="BH50" s="97">
        <v>6</v>
      </c>
      <c r="BI50" s="214"/>
      <c r="BJ50" s="99">
        <f t="shared" si="52"/>
        <v>0</v>
      </c>
      <c r="BK50" s="210">
        <f t="shared" si="53"/>
        <v>27</v>
      </c>
      <c r="BL50" s="210">
        <f t="shared" si="54"/>
        <v>27</v>
      </c>
      <c r="BM50" s="210">
        <f t="shared" si="55"/>
        <v>28</v>
      </c>
      <c r="BN50" s="210">
        <f t="shared" si="56"/>
        <v>103.7037037037037</v>
      </c>
    </row>
    <row r="51" spans="1:66" ht="15.75" x14ac:dyDescent="0.2">
      <c r="A51" s="169" t="s">
        <v>151</v>
      </c>
      <c r="B51" s="201" t="s">
        <v>339</v>
      </c>
      <c r="C51" s="214">
        <v>23</v>
      </c>
      <c r="D51" s="97">
        <v>23</v>
      </c>
      <c r="E51" s="214">
        <v>20</v>
      </c>
      <c r="F51" s="99">
        <f t="shared" si="21"/>
        <v>86.956521739130437</v>
      </c>
      <c r="G51" s="214"/>
      <c r="H51" s="97">
        <f t="shared" si="3"/>
        <v>0</v>
      </c>
      <c r="I51" s="214"/>
      <c r="J51" s="99">
        <f t="shared" si="22"/>
        <v>0</v>
      </c>
      <c r="K51" s="235">
        <f t="shared" si="23"/>
        <v>23</v>
      </c>
      <c r="L51" s="235">
        <f t="shared" si="24"/>
        <v>23</v>
      </c>
      <c r="M51" s="235">
        <f t="shared" si="25"/>
        <v>20</v>
      </c>
      <c r="N51" s="235">
        <f t="shared" si="26"/>
        <v>86.956521739130437</v>
      </c>
      <c r="O51" s="214">
        <v>75</v>
      </c>
      <c r="P51" s="97">
        <v>75</v>
      </c>
      <c r="Q51" s="214">
        <v>39</v>
      </c>
      <c r="R51" s="99">
        <f t="shared" si="28"/>
        <v>52</v>
      </c>
      <c r="S51" s="214"/>
      <c r="T51" s="97">
        <f t="shared" si="173"/>
        <v>0</v>
      </c>
      <c r="U51" s="214"/>
      <c r="V51" s="99">
        <f t="shared" si="29"/>
        <v>0</v>
      </c>
      <c r="W51" s="210">
        <f t="shared" si="30"/>
        <v>75</v>
      </c>
      <c r="X51" s="210">
        <f t="shared" si="31"/>
        <v>75</v>
      </c>
      <c r="Y51" s="210">
        <f t="shared" si="32"/>
        <v>39</v>
      </c>
      <c r="Z51" s="210">
        <f t="shared" si="33"/>
        <v>52</v>
      </c>
      <c r="AA51" s="214">
        <v>82</v>
      </c>
      <c r="AB51" s="97">
        <v>82</v>
      </c>
      <c r="AC51" s="214">
        <v>77</v>
      </c>
      <c r="AD51" s="99">
        <f t="shared" si="35"/>
        <v>93.902439024390233</v>
      </c>
      <c r="AE51" s="214">
        <v>40</v>
      </c>
      <c r="AF51" s="97">
        <v>40</v>
      </c>
      <c r="AG51" s="214">
        <v>59</v>
      </c>
      <c r="AH51" s="99">
        <f t="shared" si="36"/>
        <v>147.5</v>
      </c>
      <c r="AI51" s="214"/>
      <c r="AJ51" s="97">
        <f t="shared" si="10"/>
        <v>0</v>
      </c>
      <c r="AK51" s="214"/>
      <c r="AL51" s="99">
        <f t="shared" si="37"/>
        <v>0</v>
      </c>
      <c r="AM51" s="235">
        <f t="shared" si="38"/>
        <v>40</v>
      </c>
      <c r="AN51" s="235">
        <f t="shared" si="39"/>
        <v>40</v>
      </c>
      <c r="AO51" s="235">
        <f t="shared" si="40"/>
        <v>59</v>
      </c>
      <c r="AP51" s="235">
        <f t="shared" si="41"/>
        <v>147.5</v>
      </c>
      <c r="AQ51" s="214"/>
      <c r="AR51" s="162">
        <f t="shared" si="94"/>
        <v>0</v>
      </c>
      <c r="AS51" s="264"/>
      <c r="AT51" s="99">
        <f t="shared" si="43"/>
        <v>0</v>
      </c>
      <c r="AU51" s="214"/>
      <c r="AV51" s="115">
        <f t="shared" si="44"/>
        <v>0</v>
      </c>
      <c r="AW51" s="264"/>
      <c r="AX51" s="99">
        <f t="shared" si="45"/>
        <v>0</v>
      </c>
      <c r="AY51" s="214">
        <v>82</v>
      </c>
      <c r="AZ51" s="331">
        <v>82</v>
      </c>
      <c r="BA51" s="214">
        <v>98</v>
      </c>
      <c r="BB51" s="99">
        <f t="shared" si="46"/>
        <v>119.51219512195121</v>
      </c>
      <c r="BC51" s="210">
        <f t="shared" si="47"/>
        <v>82</v>
      </c>
      <c r="BD51" s="210">
        <f t="shared" si="48"/>
        <v>82</v>
      </c>
      <c r="BE51" s="210">
        <f t="shared" si="49"/>
        <v>98</v>
      </c>
      <c r="BF51" s="210">
        <f t="shared" si="50"/>
        <v>119.51219512195121</v>
      </c>
      <c r="BG51" s="214">
        <v>24</v>
      </c>
      <c r="BH51" s="97">
        <v>24</v>
      </c>
      <c r="BI51" s="214"/>
      <c r="BJ51" s="99">
        <f t="shared" si="52"/>
        <v>0</v>
      </c>
      <c r="BK51" s="210">
        <f t="shared" si="53"/>
        <v>326</v>
      </c>
      <c r="BL51" s="210">
        <f t="shared" si="54"/>
        <v>326</v>
      </c>
      <c r="BM51" s="210">
        <f t="shared" si="55"/>
        <v>293</v>
      </c>
      <c r="BN51" s="210">
        <f t="shared" si="56"/>
        <v>89.877300613496942</v>
      </c>
    </row>
    <row r="52" spans="1:66" ht="15.75" x14ac:dyDescent="0.2">
      <c r="A52" s="169" t="s">
        <v>152</v>
      </c>
      <c r="B52" s="201" t="s">
        <v>339</v>
      </c>
      <c r="C52" s="214"/>
      <c r="D52" s="97">
        <f t="shared" si="20"/>
        <v>0</v>
      </c>
      <c r="E52" s="214">
        <v>1</v>
      </c>
      <c r="F52" s="99">
        <f t="shared" si="21"/>
        <v>0</v>
      </c>
      <c r="G52" s="214"/>
      <c r="H52" s="97">
        <f t="shared" si="3"/>
        <v>0</v>
      </c>
      <c r="I52" s="214"/>
      <c r="J52" s="99">
        <f t="shared" si="22"/>
        <v>0</v>
      </c>
      <c r="K52" s="235">
        <f t="shared" si="23"/>
        <v>0</v>
      </c>
      <c r="L52" s="235">
        <f t="shared" si="24"/>
        <v>0</v>
      </c>
      <c r="M52" s="235">
        <f t="shared" si="25"/>
        <v>1</v>
      </c>
      <c r="N52" s="235">
        <f t="shared" si="26"/>
        <v>0</v>
      </c>
      <c r="O52" s="214">
        <v>12</v>
      </c>
      <c r="P52" s="97">
        <v>12</v>
      </c>
      <c r="Q52" s="214">
        <v>3</v>
      </c>
      <c r="R52" s="99">
        <f t="shared" si="28"/>
        <v>25</v>
      </c>
      <c r="S52" s="214"/>
      <c r="T52" s="97">
        <f t="shared" si="173"/>
        <v>0</v>
      </c>
      <c r="U52" s="214"/>
      <c r="V52" s="99">
        <f t="shared" si="29"/>
        <v>0</v>
      </c>
      <c r="W52" s="210">
        <f t="shared" si="30"/>
        <v>12</v>
      </c>
      <c r="X52" s="210">
        <f t="shared" si="31"/>
        <v>12</v>
      </c>
      <c r="Y52" s="210">
        <f t="shared" si="32"/>
        <v>3</v>
      </c>
      <c r="Z52" s="210">
        <f t="shared" si="33"/>
        <v>25</v>
      </c>
      <c r="AA52" s="214">
        <v>38</v>
      </c>
      <c r="AB52" s="97">
        <v>38</v>
      </c>
      <c r="AC52" s="214">
        <v>26</v>
      </c>
      <c r="AD52" s="99">
        <f t="shared" si="35"/>
        <v>68.421052631578945</v>
      </c>
      <c r="AE52" s="214">
        <v>3</v>
      </c>
      <c r="AF52" s="97">
        <v>3</v>
      </c>
      <c r="AG52" s="214">
        <v>7</v>
      </c>
      <c r="AH52" s="99">
        <f t="shared" si="36"/>
        <v>233.33333333333334</v>
      </c>
      <c r="AI52" s="214"/>
      <c r="AJ52" s="97">
        <f t="shared" si="10"/>
        <v>0</v>
      </c>
      <c r="AK52" s="214"/>
      <c r="AL52" s="99">
        <f t="shared" si="37"/>
        <v>0</v>
      </c>
      <c r="AM52" s="235">
        <f t="shared" si="38"/>
        <v>3</v>
      </c>
      <c r="AN52" s="235">
        <f t="shared" si="39"/>
        <v>3</v>
      </c>
      <c r="AO52" s="235">
        <f t="shared" si="40"/>
        <v>7</v>
      </c>
      <c r="AP52" s="235">
        <f t="shared" si="41"/>
        <v>233.33333333333334</v>
      </c>
      <c r="AQ52" s="214"/>
      <c r="AR52" s="162">
        <f t="shared" si="94"/>
        <v>0</v>
      </c>
      <c r="AS52" s="264"/>
      <c r="AT52" s="99">
        <f t="shared" si="43"/>
        <v>0</v>
      </c>
      <c r="AU52" s="214"/>
      <c r="AV52" s="115">
        <f t="shared" si="44"/>
        <v>0</v>
      </c>
      <c r="AW52" s="264"/>
      <c r="AX52" s="99">
        <f t="shared" si="45"/>
        <v>0</v>
      </c>
      <c r="AY52" s="214">
        <v>13</v>
      </c>
      <c r="AZ52" s="331">
        <v>13</v>
      </c>
      <c r="BA52" s="214">
        <v>17</v>
      </c>
      <c r="BB52" s="99">
        <f t="shared" si="46"/>
        <v>130.76923076923077</v>
      </c>
      <c r="BC52" s="210">
        <f t="shared" si="47"/>
        <v>13</v>
      </c>
      <c r="BD52" s="210">
        <f t="shared" si="48"/>
        <v>13</v>
      </c>
      <c r="BE52" s="210">
        <f t="shared" si="49"/>
        <v>17</v>
      </c>
      <c r="BF52" s="210">
        <f t="shared" si="50"/>
        <v>130.76923076923077</v>
      </c>
      <c r="BG52" s="214">
        <v>3</v>
      </c>
      <c r="BH52" s="97">
        <v>3</v>
      </c>
      <c r="BI52" s="214"/>
      <c r="BJ52" s="99">
        <f t="shared" si="52"/>
        <v>0</v>
      </c>
      <c r="BK52" s="210">
        <f t="shared" si="53"/>
        <v>69</v>
      </c>
      <c r="BL52" s="210">
        <f t="shared" si="54"/>
        <v>69</v>
      </c>
      <c r="BM52" s="210">
        <f t="shared" si="55"/>
        <v>54</v>
      </c>
      <c r="BN52" s="210">
        <f t="shared" si="56"/>
        <v>78.260869565217391</v>
      </c>
    </row>
    <row r="53" spans="1:66" ht="31.5" x14ac:dyDescent="0.25">
      <c r="A53" s="174" t="s">
        <v>154</v>
      </c>
      <c r="B53" s="199" t="s">
        <v>3</v>
      </c>
      <c r="C53" s="216">
        <f t="shared" ref="C53:D53" si="193">C54+C55+C70+C74</f>
        <v>45263</v>
      </c>
      <c r="D53" s="216">
        <f t="shared" si="193"/>
        <v>45263</v>
      </c>
      <c r="E53" s="216">
        <f t="shared" ref="E53" si="194">E54+E55+E70+E74</f>
        <v>46574</v>
      </c>
      <c r="F53" s="163">
        <f t="shared" si="21"/>
        <v>102.89640545257717</v>
      </c>
      <c r="G53" s="216">
        <f t="shared" ref="G53" si="195">G54+G55+G70+G74</f>
        <v>0</v>
      </c>
      <c r="H53" s="162">
        <f t="shared" si="3"/>
        <v>0</v>
      </c>
      <c r="I53" s="216">
        <f t="shared" ref="I53" si="196">I54+I55+I70+I74</f>
        <v>0</v>
      </c>
      <c r="J53" s="163">
        <f t="shared" si="22"/>
        <v>0</v>
      </c>
      <c r="K53" s="235">
        <f t="shared" si="23"/>
        <v>45263</v>
      </c>
      <c r="L53" s="235">
        <f t="shared" si="24"/>
        <v>45263</v>
      </c>
      <c r="M53" s="235">
        <f t="shared" si="25"/>
        <v>46574</v>
      </c>
      <c r="N53" s="235">
        <f t="shared" si="26"/>
        <v>102.89640545257717</v>
      </c>
      <c r="O53" s="216">
        <f t="shared" ref="O53:T53" si="197">O54+O55+O70+O74</f>
        <v>13422</v>
      </c>
      <c r="P53" s="216">
        <f t="shared" si="197"/>
        <v>13422</v>
      </c>
      <c r="Q53" s="216">
        <f t="shared" ref="Q53:U53" si="198">Q54+Q55+Q70+Q74</f>
        <v>16289</v>
      </c>
      <c r="R53" s="163">
        <f t="shared" si="28"/>
        <v>121.36045298763224</v>
      </c>
      <c r="S53" s="216">
        <f t="shared" si="197"/>
        <v>200</v>
      </c>
      <c r="T53" s="216">
        <f t="shared" si="197"/>
        <v>200</v>
      </c>
      <c r="U53" s="216">
        <f t="shared" si="198"/>
        <v>124</v>
      </c>
      <c r="V53" s="163">
        <f t="shared" si="29"/>
        <v>62</v>
      </c>
      <c r="W53" s="210">
        <f t="shared" si="30"/>
        <v>13622</v>
      </c>
      <c r="X53" s="210">
        <f t="shared" si="31"/>
        <v>13622</v>
      </c>
      <c r="Y53" s="210">
        <f t="shared" si="32"/>
        <v>16413</v>
      </c>
      <c r="Z53" s="210">
        <f t="shared" si="33"/>
        <v>120.48891499045662</v>
      </c>
      <c r="AA53" s="216">
        <f t="shared" ref="AA53:AF53" si="199">AA54+AA55+AA70+AA74</f>
        <v>17459</v>
      </c>
      <c r="AB53" s="216">
        <f t="shared" si="199"/>
        <v>17459</v>
      </c>
      <c r="AC53" s="216">
        <f t="shared" ref="AC53:AG53" si="200">AC54+AC55+AC70+AC74</f>
        <v>24095</v>
      </c>
      <c r="AD53" s="163">
        <f t="shared" si="35"/>
        <v>138.00904977375566</v>
      </c>
      <c r="AE53" s="216">
        <f t="shared" si="199"/>
        <v>18994</v>
      </c>
      <c r="AF53" s="216">
        <f t="shared" si="199"/>
        <v>18994</v>
      </c>
      <c r="AG53" s="216">
        <f t="shared" si="200"/>
        <v>20817</v>
      </c>
      <c r="AH53" s="163">
        <f t="shared" si="36"/>
        <v>109.59776771612088</v>
      </c>
      <c r="AI53" s="216">
        <f t="shared" ref="AI53" si="201">AI54+AI55+AI70+AI74</f>
        <v>0</v>
      </c>
      <c r="AJ53" s="162">
        <f t="shared" si="10"/>
        <v>0</v>
      </c>
      <c r="AK53" s="216">
        <f t="shared" ref="AK53" si="202">AK54+AK55+AK70+AK74</f>
        <v>0</v>
      </c>
      <c r="AL53" s="163">
        <f t="shared" si="37"/>
        <v>0</v>
      </c>
      <c r="AM53" s="235">
        <f t="shared" si="38"/>
        <v>18994</v>
      </c>
      <c r="AN53" s="235">
        <f t="shared" si="39"/>
        <v>18994</v>
      </c>
      <c r="AO53" s="235">
        <f t="shared" si="40"/>
        <v>20817</v>
      </c>
      <c r="AP53" s="235">
        <f t="shared" si="41"/>
        <v>109.59776771612088</v>
      </c>
      <c r="AQ53" s="216">
        <f t="shared" ref="AQ53" si="203">AQ54+AQ55+AQ70+AQ74</f>
        <v>873</v>
      </c>
      <c r="AR53" s="162">
        <f t="shared" si="94"/>
        <v>873</v>
      </c>
      <c r="AS53" s="264">
        <f t="shared" ref="AS53" si="204">AS54+AS55+AS70+AS74</f>
        <v>873</v>
      </c>
      <c r="AT53" s="163">
        <f t="shared" si="43"/>
        <v>100</v>
      </c>
      <c r="AU53" s="216">
        <f t="shared" ref="AU53" si="205">AU54+AU55+AU70+AU74</f>
        <v>0</v>
      </c>
      <c r="AV53" s="115">
        <f t="shared" si="44"/>
        <v>0</v>
      </c>
      <c r="AW53" s="264">
        <f t="shared" ref="AW53" si="206">AW54+AW55+AW70+AW74</f>
        <v>0</v>
      </c>
      <c r="AX53" s="163">
        <f t="shared" si="45"/>
        <v>0</v>
      </c>
      <c r="AY53" s="216">
        <f t="shared" ref="AY53:AZ53" si="207">AY54+AY55+AY70+AY74</f>
        <v>23448</v>
      </c>
      <c r="AZ53" s="216">
        <f t="shared" si="207"/>
        <v>23448</v>
      </c>
      <c r="BA53" s="216">
        <f t="shared" ref="BA53" si="208">BA54+BA55+BA70+BA74</f>
        <v>16822</v>
      </c>
      <c r="BB53" s="163">
        <f t="shared" si="46"/>
        <v>71.741726373251453</v>
      </c>
      <c r="BC53" s="210">
        <f t="shared" si="47"/>
        <v>24321</v>
      </c>
      <c r="BD53" s="210">
        <f t="shared" si="48"/>
        <v>24321</v>
      </c>
      <c r="BE53" s="210">
        <f t="shared" si="49"/>
        <v>17695</v>
      </c>
      <c r="BF53" s="210">
        <f t="shared" si="50"/>
        <v>72.756054438551047</v>
      </c>
      <c r="BG53" s="216">
        <f t="shared" ref="BG53:BH53" si="209">BG54+BG55+BG70+BG74</f>
        <v>3795</v>
      </c>
      <c r="BH53" s="216">
        <f t="shared" si="209"/>
        <v>3795</v>
      </c>
      <c r="BI53" s="216">
        <f t="shared" ref="BI53" si="210">BI54+BI55+BI70+BI74</f>
        <v>2266</v>
      </c>
      <c r="BJ53" s="163">
        <f t="shared" si="52"/>
        <v>59.710144927536234</v>
      </c>
      <c r="BK53" s="210">
        <f t="shared" si="53"/>
        <v>123454</v>
      </c>
      <c r="BL53" s="210">
        <f t="shared" si="54"/>
        <v>123454</v>
      </c>
      <c r="BM53" s="210">
        <f t="shared" si="55"/>
        <v>127860</v>
      </c>
      <c r="BN53" s="210">
        <f t="shared" si="56"/>
        <v>103.56894065805886</v>
      </c>
    </row>
    <row r="54" spans="1:66" s="275" customFormat="1" ht="31.5" x14ac:dyDescent="0.25">
      <c r="A54" s="265" t="s">
        <v>155</v>
      </c>
      <c r="B54" s="274"/>
      <c r="C54" s="269">
        <v>3050</v>
      </c>
      <c r="D54" s="195">
        <f t="shared" si="20"/>
        <v>3050</v>
      </c>
      <c r="E54" s="269">
        <v>1658</v>
      </c>
      <c r="F54" s="99">
        <f t="shared" si="21"/>
        <v>54.360655737704924</v>
      </c>
      <c r="G54" s="269"/>
      <c r="H54" s="195">
        <f t="shared" si="3"/>
        <v>0</v>
      </c>
      <c r="I54" s="269"/>
      <c r="J54" s="99">
        <f t="shared" si="22"/>
        <v>0</v>
      </c>
      <c r="K54" s="278">
        <f t="shared" si="23"/>
        <v>3050</v>
      </c>
      <c r="L54" s="278">
        <f t="shared" si="24"/>
        <v>3050</v>
      </c>
      <c r="M54" s="278">
        <f t="shared" si="25"/>
        <v>1658</v>
      </c>
      <c r="N54" s="278">
        <f t="shared" si="26"/>
        <v>54.360655737704924</v>
      </c>
      <c r="O54" s="269">
        <v>800</v>
      </c>
      <c r="P54" s="195">
        <f t="shared" ref="P54" si="211">ROUND(O54/12*$A$7,0)</f>
        <v>800</v>
      </c>
      <c r="Q54" s="269">
        <v>138</v>
      </c>
      <c r="R54" s="99">
        <f t="shared" si="28"/>
        <v>17.25</v>
      </c>
      <c r="S54" s="269">
        <v>200</v>
      </c>
      <c r="T54" s="195">
        <f t="shared" ref="T54" si="212">ROUND(S54/12*$A$7,0)</f>
        <v>200</v>
      </c>
      <c r="U54" s="269">
        <v>124</v>
      </c>
      <c r="V54" s="99">
        <f t="shared" si="29"/>
        <v>62</v>
      </c>
      <c r="W54" s="152">
        <f t="shared" si="30"/>
        <v>1000</v>
      </c>
      <c r="X54" s="152">
        <f t="shared" si="31"/>
        <v>1000</v>
      </c>
      <c r="Y54" s="152">
        <f t="shared" si="32"/>
        <v>262</v>
      </c>
      <c r="Z54" s="152">
        <f t="shared" si="33"/>
        <v>26.200000000000003</v>
      </c>
      <c r="AA54" s="269">
        <v>2500</v>
      </c>
      <c r="AB54" s="195">
        <f t="shared" ref="AB54" si="213">ROUND(AA54/12*$A$7,0)</f>
        <v>2500</v>
      </c>
      <c r="AC54" s="269">
        <v>2415</v>
      </c>
      <c r="AD54" s="99">
        <f t="shared" si="35"/>
        <v>96.6</v>
      </c>
      <c r="AE54" s="269">
        <v>350</v>
      </c>
      <c r="AF54" s="195">
        <f t="shared" ref="AF54" si="214">ROUND(AE54/12*$A$7,0)</f>
        <v>350</v>
      </c>
      <c r="AG54" s="269">
        <v>297</v>
      </c>
      <c r="AH54" s="99">
        <f t="shared" si="36"/>
        <v>84.857142857142847</v>
      </c>
      <c r="AI54" s="269"/>
      <c r="AJ54" s="195">
        <f t="shared" si="10"/>
        <v>0</v>
      </c>
      <c r="AK54" s="269"/>
      <c r="AL54" s="99">
        <f t="shared" si="37"/>
        <v>0</v>
      </c>
      <c r="AM54" s="278">
        <f t="shared" si="38"/>
        <v>350</v>
      </c>
      <c r="AN54" s="278">
        <f t="shared" si="39"/>
        <v>350</v>
      </c>
      <c r="AO54" s="278">
        <f t="shared" si="40"/>
        <v>297</v>
      </c>
      <c r="AP54" s="278">
        <f t="shared" si="41"/>
        <v>84.857142857142847</v>
      </c>
      <c r="AQ54" s="269"/>
      <c r="AR54" s="195">
        <f t="shared" si="94"/>
        <v>0</v>
      </c>
      <c r="AS54" s="269"/>
      <c r="AT54" s="99">
        <f t="shared" si="43"/>
        <v>0</v>
      </c>
      <c r="AU54" s="269"/>
      <c r="AV54" s="195">
        <f t="shared" si="44"/>
        <v>0</v>
      </c>
      <c r="AW54" s="269"/>
      <c r="AX54" s="99">
        <f t="shared" si="45"/>
        <v>0</v>
      </c>
      <c r="AY54" s="269">
        <v>4044</v>
      </c>
      <c r="AZ54" s="360">
        <v>4044</v>
      </c>
      <c r="BA54" s="269">
        <v>137</v>
      </c>
      <c r="BB54" s="99">
        <f t="shared" si="46"/>
        <v>3.3877349159248267</v>
      </c>
      <c r="BC54" s="152">
        <f t="shared" si="47"/>
        <v>4044</v>
      </c>
      <c r="BD54" s="152">
        <f t="shared" si="48"/>
        <v>4044</v>
      </c>
      <c r="BE54" s="152">
        <f t="shared" si="49"/>
        <v>137</v>
      </c>
      <c r="BF54" s="152">
        <f t="shared" si="50"/>
        <v>3.3877349159248267</v>
      </c>
      <c r="BG54" s="269">
        <v>235</v>
      </c>
      <c r="BH54" s="195">
        <f t="shared" si="51"/>
        <v>235</v>
      </c>
      <c r="BI54" s="269">
        <v>54</v>
      </c>
      <c r="BJ54" s="99">
        <f t="shared" si="52"/>
        <v>22.978723404255319</v>
      </c>
      <c r="BK54" s="152">
        <f t="shared" si="53"/>
        <v>11179</v>
      </c>
      <c r="BL54" s="152">
        <f t="shared" si="54"/>
        <v>11179</v>
      </c>
      <c r="BM54" s="152">
        <f t="shared" si="55"/>
        <v>4823</v>
      </c>
      <c r="BN54" s="152">
        <f t="shared" si="56"/>
        <v>43.143393863494047</v>
      </c>
    </row>
    <row r="55" spans="1:66" ht="31.5" x14ac:dyDescent="0.25">
      <c r="A55" s="180" t="s">
        <v>204</v>
      </c>
      <c r="B55" s="196" t="s">
        <v>3</v>
      </c>
      <c r="C55" s="217">
        <f t="shared" ref="C55:D55" si="215">C56*4+C57+C58*3+C59*6+C60*2+C61*7+C62*2+C63*4+C64*8+C65*8+C66*3+C67*2+C68*7+C69*9</f>
        <v>28234</v>
      </c>
      <c r="D55" s="217">
        <f t="shared" si="215"/>
        <v>28234</v>
      </c>
      <c r="E55" s="217">
        <f t="shared" ref="E55" si="216">E56*4+E57+E58*3+E59*6+E60*2+E61*7+E62*2+E63*4+E64*8+E65*8+E66*3+E67*2+E68*7+E69*9</f>
        <v>34564</v>
      </c>
      <c r="F55" s="117">
        <f t="shared" si="21"/>
        <v>122.41977757313877</v>
      </c>
      <c r="G55" s="217">
        <f t="shared" ref="G55" si="217">G56*4+G57+G58*3+G59*6+G60*2+G61*7+G62*2+G63*4+G64*8+G65*8+G66*3+G67*2+G68*7+G69*9</f>
        <v>0</v>
      </c>
      <c r="H55" s="115">
        <f t="shared" si="3"/>
        <v>0</v>
      </c>
      <c r="I55" s="217">
        <f t="shared" ref="I55" si="218">I56*4+I57+I58*3+I59*6+I60*2+I61*7+I62*2+I63*4+I64*8+I65*8+I66*3+I67*2+I68*7+I69*9</f>
        <v>0</v>
      </c>
      <c r="J55" s="117">
        <f t="shared" si="22"/>
        <v>0</v>
      </c>
      <c r="K55" s="235">
        <f t="shared" si="23"/>
        <v>28234</v>
      </c>
      <c r="L55" s="235">
        <f t="shared" si="24"/>
        <v>28234</v>
      </c>
      <c r="M55" s="235">
        <f t="shared" si="25"/>
        <v>34564</v>
      </c>
      <c r="N55" s="235">
        <f t="shared" si="26"/>
        <v>122.41977757313877</v>
      </c>
      <c r="O55" s="217">
        <f t="shared" ref="O55:S55" si="219">O56*4+O57+O58*3+O59*6+O60*2+O61*7+O62*2+O63*4+O64*8+O65*8+O66*3+O67*2+O68*7+O69*9</f>
        <v>9119</v>
      </c>
      <c r="P55" s="217">
        <f t="shared" si="219"/>
        <v>9119</v>
      </c>
      <c r="Q55" s="217">
        <f t="shared" ref="Q55:U55" si="220">Q56*4+Q57+Q58*3+Q59*6+Q60*2+Q61*7+Q62*2+Q63*4+Q64*8+Q65*8+Q66*3+Q67*2+Q68*7+Q69*9</f>
        <v>13630</v>
      </c>
      <c r="R55" s="117">
        <f t="shared" si="28"/>
        <v>149.46814343678034</v>
      </c>
      <c r="S55" s="217">
        <f t="shared" si="219"/>
        <v>0</v>
      </c>
      <c r="T55" s="115">
        <f t="shared" si="173"/>
        <v>0</v>
      </c>
      <c r="U55" s="217">
        <f t="shared" si="220"/>
        <v>0</v>
      </c>
      <c r="V55" s="117">
        <f t="shared" si="29"/>
        <v>0</v>
      </c>
      <c r="W55" s="210">
        <f t="shared" si="30"/>
        <v>9119</v>
      </c>
      <c r="X55" s="210">
        <f t="shared" si="31"/>
        <v>9119</v>
      </c>
      <c r="Y55" s="210">
        <f t="shared" si="32"/>
        <v>13630</v>
      </c>
      <c r="Z55" s="210">
        <f t="shared" si="33"/>
        <v>149.46814343678034</v>
      </c>
      <c r="AA55" s="217">
        <f t="shared" ref="AA55:AF55" si="221">AA56*4+AA57+AA58*3+AA59*6+AA60*2+AA61*7+AA62*2+AA63*4+AA64*8+AA65*8+AA66*3+AA67*2+AA68*7+AA69*9</f>
        <v>13214</v>
      </c>
      <c r="AB55" s="217">
        <f t="shared" si="221"/>
        <v>13214</v>
      </c>
      <c r="AC55" s="217">
        <f t="shared" ref="AC55:AG55" si="222">AC56*4+AC57+AC58*3+AC59*6+AC60*2+AC61*7+AC62*2+AC63*4+AC64*8+AC65*8+AC66*3+AC67*2+AC68*7+AC69*9</f>
        <v>13554</v>
      </c>
      <c r="AD55" s="117">
        <f t="shared" si="35"/>
        <v>102.57302860602391</v>
      </c>
      <c r="AE55" s="217">
        <f t="shared" si="221"/>
        <v>4548</v>
      </c>
      <c r="AF55" s="217">
        <f t="shared" si="221"/>
        <v>4548</v>
      </c>
      <c r="AG55" s="217">
        <f t="shared" si="222"/>
        <v>14282</v>
      </c>
      <c r="AH55" s="117">
        <f t="shared" si="36"/>
        <v>314.02814423922604</v>
      </c>
      <c r="AI55" s="217">
        <f t="shared" ref="AI55" si="223">AI56*4+AI57+AI58*3+AI59*6+AI60*2+AI61*7+AI62*2+AI63*4+AI64*8+AI65*8+AI66*3+AI67*2+AI68*7+AI69*9</f>
        <v>0</v>
      </c>
      <c r="AJ55" s="115">
        <f t="shared" si="10"/>
        <v>0</v>
      </c>
      <c r="AK55" s="217">
        <f t="shared" ref="AK55" si="224">AK56*4+AK57+AK58*3+AK59*6+AK60*2+AK61*7+AK62*2+AK63*4+AK64*8+AK65*8+AK66*3+AK67*2+AK68*7+AK69*9</f>
        <v>0</v>
      </c>
      <c r="AL55" s="117">
        <f t="shared" si="37"/>
        <v>0</v>
      </c>
      <c r="AM55" s="235">
        <f t="shared" si="38"/>
        <v>4548</v>
      </c>
      <c r="AN55" s="235">
        <f t="shared" si="39"/>
        <v>4548</v>
      </c>
      <c r="AO55" s="235">
        <f t="shared" si="40"/>
        <v>14282</v>
      </c>
      <c r="AP55" s="235">
        <f t="shared" si="41"/>
        <v>314.02814423922604</v>
      </c>
      <c r="AQ55" s="217">
        <f t="shared" ref="AQ55" si="225">AQ56*4+AQ57+AQ58*3+AQ59*6+AQ60*2+AQ61*7+AQ62*2+AQ63*4+AQ64*8+AQ65*8+AQ66*3+AQ67*2+AQ68*7+AQ69*9</f>
        <v>873</v>
      </c>
      <c r="AR55" s="162">
        <f t="shared" si="94"/>
        <v>873</v>
      </c>
      <c r="AS55" s="264">
        <f t="shared" ref="AS55" si="226">AS56*4+AS57+AS58*3+AS59*6+AS60*2+AS61*7+AS62*2+AS63*4+AS64*8+AS65*8+AS66*3+AS67*2+AS68*7+AS69*9</f>
        <v>873</v>
      </c>
      <c r="AT55" s="117">
        <f t="shared" si="43"/>
        <v>100</v>
      </c>
      <c r="AU55" s="217">
        <f t="shared" ref="AU55" si="227">AU56*4+AU57+AU58*3+AU59*6+AU60*2+AU61*7+AU62*2+AU63*4+AU64*8+AU65*8+AU66*3+AU67*2+AU68*7+AU69*9</f>
        <v>0</v>
      </c>
      <c r="AV55" s="115">
        <f t="shared" si="44"/>
        <v>0</v>
      </c>
      <c r="AW55" s="264">
        <f t="shared" ref="AW55" si="228">AW56*4+AW57+AW58*3+AW59*6+AW60*2+AW61*7+AW62*2+AW63*4+AW64*8+AW65*8+AW66*3+AW67*2+AW68*7+AW69*9</f>
        <v>0</v>
      </c>
      <c r="AX55" s="117">
        <f t="shared" si="45"/>
        <v>0</v>
      </c>
      <c r="AY55" s="217">
        <f t="shared" ref="AY55:AZ55" si="229">AY56*4+AY57+AY58*3+AY59*6+AY60*2+AY61*7+AY62*2+AY63*4+AY64*8+AY65*8+AY66*3+AY67*2+AY68*7+AY69*9</f>
        <v>10921</v>
      </c>
      <c r="AZ55" s="217">
        <f t="shared" si="229"/>
        <v>10921</v>
      </c>
      <c r="BA55" s="217">
        <f t="shared" ref="BA55" si="230">BA56*4+BA57+BA58*3+BA59*6+BA60*2+BA61*7+BA62*2+BA63*4+BA64*8+BA65*8+BA66*3+BA67*2+BA68*7+BA69*9</f>
        <v>13557</v>
      </c>
      <c r="BB55" s="117">
        <f t="shared" si="46"/>
        <v>124.13698379269297</v>
      </c>
      <c r="BC55" s="210">
        <f t="shared" si="47"/>
        <v>11794</v>
      </c>
      <c r="BD55" s="210">
        <f t="shared" si="48"/>
        <v>11794</v>
      </c>
      <c r="BE55" s="210">
        <f t="shared" si="49"/>
        <v>14430</v>
      </c>
      <c r="BF55" s="210">
        <f t="shared" si="50"/>
        <v>122.35034763439036</v>
      </c>
      <c r="BG55" s="217">
        <f t="shared" ref="BG55:BH55" si="231">BG56*4+BG57+BG58*3+BG59*6+BG60*2+BG61*7+BG62*2+BG63*4+BG64*8+BG65*8+BG66*3+BG67*2+BG68*7+BG69*9</f>
        <v>2377</v>
      </c>
      <c r="BH55" s="217">
        <f t="shared" si="231"/>
        <v>2377</v>
      </c>
      <c r="BI55" s="217">
        <f t="shared" ref="BI55" si="232">BI56*4+BI57+BI58*3+BI59*6+BI60*2+BI61*7+BI62*2+BI63*4+BI64*8+BI65*8+BI66*3+BI67*2+BI68*7+BI69*9</f>
        <v>2006</v>
      </c>
      <c r="BJ55" s="117">
        <f t="shared" si="52"/>
        <v>84.392090870845607</v>
      </c>
      <c r="BK55" s="210">
        <f t="shared" si="53"/>
        <v>69286</v>
      </c>
      <c r="BL55" s="210">
        <f t="shared" si="54"/>
        <v>69286</v>
      </c>
      <c r="BM55" s="210">
        <f t="shared" si="55"/>
        <v>92466</v>
      </c>
      <c r="BN55" s="210">
        <f t="shared" si="56"/>
        <v>133.4555321421355</v>
      </c>
    </row>
    <row r="56" spans="1:66" ht="31.5" x14ac:dyDescent="0.2">
      <c r="A56" s="183" t="s">
        <v>157</v>
      </c>
      <c r="B56" s="201" t="s">
        <v>339</v>
      </c>
      <c r="C56" s="214">
        <v>335</v>
      </c>
      <c r="D56" s="97">
        <f t="shared" si="20"/>
        <v>335</v>
      </c>
      <c r="E56" s="214">
        <v>405</v>
      </c>
      <c r="F56" s="99">
        <f t="shared" si="21"/>
        <v>120.89552238805969</v>
      </c>
      <c r="G56" s="214"/>
      <c r="H56" s="97">
        <f t="shared" si="3"/>
        <v>0</v>
      </c>
      <c r="I56" s="214"/>
      <c r="J56" s="99">
        <f t="shared" si="22"/>
        <v>0</v>
      </c>
      <c r="K56" s="235">
        <f t="shared" si="23"/>
        <v>335</v>
      </c>
      <c r="L56" s="235">
        <f t="shared" si="24"/>
        <v>335</v>
      </c>
      <c r="M56" s="235">
        <f t="shared" si="25"/>
        <v>405</v>
      </c>
      <c r="N56" s="235">
        <f t="shared" si="26"/>
        <v>120.89552238805969</v>
      </c>
      <c r="O56" s="214">
        <v>99</v>
      </c>
      <c r="P56" s="97">
        <f t="shared" si="173"/>
        <v>99</v>
      </c>
      <c r="Q56" s="214">
        <v>26</v>
      </c>
      <c r="R56" s="99">
        <f t="shared" si="28"/>
        <v>26.262626262626267</v>
      </c>
      <c r="S56" s="214"/>
      <c r="T56" s="97">
        <f t="shared" si="173"/>
        <v>0</v>
      </c>
      <c r="U56" s="214"/>
      <c r="V56" s="99">
        <f t="shared" si="29"/>
        <v>0</v>
      </c>
      <c r="W56" s="210">
        <f t="shared" si="30"/>
        <v>99</v>
      </c>
      <c r="X56" s="210">
        <f t="shared" si="31"/>
        <v>99</v>
      </c>
      <c r="Y56" s="210">
        <f t="shared" si="32"/>
        <v>26</v>
      </c>
      <c r="Z56" s="210">
        <f t="shared" si="33"/>
        <v>26.262626262626267</v>
      </c>
      <c r="AA56" s="214">
        <v>12</v>
      </c>
      <c r="AB56" s="97">
        <f t="shared" si="192"/>
        <v>12</v>
      </c>
      <c r="AC56" s="214">
        <v>9</v>
      </c>
      <c r="AD56" s="99">
        <f t="shared" si="35"/>
        <v>75</v>
      </c>
      <c r="AE56" s="214"/>
      <c r="AF56" s="97">
        <f t="shared" si="192"/>
        <v>0</v>
      </c>
      <c r="AG56" s="214">
        <v>211</v>
      </c>
      <c r="AH56" s="99">
        <f t="shared" si="36"/>
        <v>0</v>
      </c>
      <c r="AI56" s="214"/>
      <c r="AJ56" s="97">
        <f t="shared" si="10"/>
        <v>0</v>
      </c>
      <c r="AK56" s="214"/>
      <c r="AL56" s="99">
        <f t="shared" si="37"/>
        <v>0</v>
      </c>
      <c r="AM56" s="235">
        <f t="shared" si="38"/>
        <v>0</v>
      </c>
      <c r="AN56" s="235">
        <f t="shared" si="39"/>
        <v>0</v>
      </c>
      <c r="AO56" s="235">
        <f t="shared" si="40"/>
        <v>211</v>
      </c>
      <c r="AP56" s="235">
        <f t="shared" si="41"/>
        <v>0</v>
      </c>
      <c r="AQ56" s="214">
        <v>3</v>
      </c>
      <c r="AR56" s="162">
        <f t="shared" si="94"/>
        <v>3</v>
      </c>
      <c r="AS56" s="264">
        <v>3</v>
      </c>
      <c r="AT56" s="99">
        <f t="shared" si="43"/>
        <v>100</v>
      </c>
      <c r="AU56" s="214"/>
      <c r="AV56" s="115">
        <f t="shared" si="44"/>
        <v>0</v>
      </c>
      <c r="AW56" s="264"/>
      <c r="AX56" s="99">
        <f t="shared" si="45"/>
        <v>0</v>
      </c>
      <c r="AY56" s="214">
        <v>177</v>
      </c>
      <c r="AZ56" s="331">
        <v>177</v>
      </c>
      <c r="BA56" s="497">
        <f>43-AS56</f>
        <v>40</v>
      </c>
      <c r="BB56" s="99">
        <f t="shared" si="46"/>
        <v>22.598870056497177</v>
      </c>
      <c r="BC56" s="210">
        <f t="shared" si="47"/>
        <v>180</v>
      </c>
      <c r="BD56" s="210">
        <f t="shared" si="48"/>
        <v>180</v>
      </c>
      <c r="BE56" s="210">
        <f t="shared" si="49"/>
        <v>43</v>
      </c>
      <c r="BF56" s="210">
        <f t="shared" si="50"/>
        <v>23.888888888888889</v>
      </c>
      <c r="BG56" s="214">
        <v>3</v>
      </c>
      <c r="BH56" s="97">
        <f t="shared" si="51"/>
        <v>3</v>
      </c>
      <c r="BI56" s="214">
        <v>0</v>
      </c>
      <c r="BJ56" s="99">
        <f t="shared" si="52"/>
        <v>0</v>
      </c>
      <c r="BK56" s="210">
        <f t="shared" si="53"/>
        <v>629</v>
      </c>
      <c r="BL56" s="210">
        <f t="shared" si="54"/>
        <v>629</v>
      </c>
      <c r="BM56" s="210">
        <f t="shared" si="55"/>
        <v>694</v>
      </c>
      <c r="BN56" s="210">
        <f t="shared" si="56"/>
        <v>110.33386327503976</v>
      </c>
    </row>
    <row r="57" spans="1:66" ht="63" x14ac:dyDescent="0.2">
      <c r="A57" s="183" t="s">
        <v>158</v>
      </c>
      <c r="B57" s="201" t="s">
        <v>339</v>
      </c>
      <c r="C57" s="214">
        <v>4327</v>
      </c>
      <c r="D57" s="97">
        <f t="shared" si="20"/>
        <v>4327</v>
      </c>
      <c r="E57" s="214">
        <v>4745</v>
      </c>
      <c r="F57" s="99">
        <f t="shared" si="21"/>
        <v>109.660272706263</v>
      </c>
      <c r="G57" s="214"/>
      <c r="H57" s="97">
        <f t="shared" si="3"/>
        <v>0</v>
      </c>
      <c r="I57" s="214"/>
      <c r="J57" s="99">
        <f t="shared" si="22"/>
        <v>0</v>
      </c>
      <c r="K57" s="235">
        <f t="shared" si="23"/>
        <v>4327</v>
      </c>
      <c r="L57" s="235">
        <f t="shared" si="24"/>
        <v>4327</v>
      </c>
      <c r="M57" s="235">
        <f t="shared" si="25"/>
        <v>4745</v>
      </c>
      <c r="N57" s="235">
        <f t="shared" si="26"/>
        <v>109.660272706263</v>
      </c>
      <c r="O57" s="214">
        <v>568</v>
      </c>
      <c r="P57" s="97">
        <f t="shared" si="173"/>
        <v>568</v>
      </c>
      <c r="Q57" s="214">
        <v>1236</v>
      </c>
      <c r="R57" s="99">
        <f t="shared" si="28"/>
        <v>217.6056338028169</v>
      </c>
      <c r="S57" s="214"/>
      <c r="T57" s="97">
        <f t="shared" si="173"/>
        <v>0</v>
      </c>
      <c r="U57" s="214"/>
      <c r="V57" s="99">
        <f t="shared" si="29"/>
        <v>0</v>
      </c>
      <c r="W57" s="210">
        <f t="shared" si="30"/>
        <v>568</v>
      </c>
      <c r="X57" s="210">
        <f t="shared" si="31"/>
        <v>568</v>
      </c>
      <c r="Y57" s="210">
        <f t="shared" si="32"/>
        <v>1236</v>
      </c>
      <c r="Z57" s="210">
        <f t="shared" si="33"/>
        <v>217.6056338028169</v>
      </c>
      <c r="AA57" s="214">
        <v>900</v>
      </c>
      <c r="AB57" s="97">
        <f t="shared" si="192"/>
        <v>900</v>
      </c>
      <c r="AC57" s="214">
        <v>809</v>
      </c>
      <c r="AD57" s="99">
        <f t="shared" si="35"/>
        <v>89.888888888888886</v>
      </c>
      <c r="AE57" s="214">
        <v>1848</v>
      </c>
      <c r="AF57" s="97">
        <f t="shared" si="192"/>
        <v>1848</v>
      </c>
      <c r="AG57" s="214">
        <v>3222</v>
      </c>
      <c r="AH57" s="99">
        <f t="shared" si="36"/>
        <v>174.35064935064935</v>
      </c>
      <c r="AI57" s="214"/>
      <c r="AJ57" s="97">
        <f t="shared" si="10"/>
        <v>0</v>
      </c>
      <c r="AK57" s="214"/>
      <c r="AL57" s="99">
        <f t="shared" si="37"/>
        <v>0</v>
      </c>
      <c r="AM57" s="235">
        <f t="shared" si="38"/>
        <v>1848</v>
      </c>
      <c r="AN57" s="235">
        <f t="shared" si="39"/>
        <v>1848</v>
      </c>
      <c r="AO57" s="235">
        <f t="shared" si="40"/>
        <v>3222</v>
      </c>
      <c r="AP57" s="235">
        <f t="shared" si="41"/>
        <v>174.35064935064935</v>
      </c>
      <c r="AQ57" s="214">
        <v>47</v>
      </c>
      <c r="AR57" s="162">
        <f t="shared" si="94"/>
        <v>47</v>
      </c>
      <c r="AS57" s="264">
        <v>47</v>
      </c>
      <c r="AT57" s="99">
        <f t="shared" si="43"/>
        <v>100</v>
      </c>
      <c r="AU57" s="214"/>
      <c r="AV57" s="115">
        <f t="shared" si="44"/>
        <v>0</v>
      </c>
      <c r="AW57" s="264"/>
      <c r="AX57" s="99">
        <f t="shared" si="45"/>
        <v>0</v>
      </c>
      <c r="AY57" s="214">
        <v>1064</v>
      </c>
      <c r="AZ57" s="331">
        <v>1064</v>
      </c>
      <c r="BA57" s="497">
        <f>743-AS57</f>
        <v>696</v>
      </c>
      <c r="BB57" s="99">
        <f t="shared" si="46"/>
        <v>65.413533834586474</v>
      </c>
      <c r="BC57" s="210">
        <f t="shared" si="47"/>
        <v>1111</v>
      </c>
      <c r="BD57" s="210">
        <f t="shared" si="48"/>
        <v>1111</v>
      </c>
      <c r="BE57" s="210">
        <f t="shared" si="49"/>
        <v>743</v>
      </c>
      <c r="BF57" s="210">
        <f t="shared" si="50"/>
        <v>66.876687668766877</v>
      </c>
      <c r="BG57" s="214">
        <v>127</v>
      </c>
      <c r="BH57" s="97">
        <f t="shared" si="51"/>
        <v>127</v>
      </c>
      <c r="BI57" s="214">
        <v>153</v>
      </c>
      <c r="BJ57" s="99">
        <f t="shared" si="52"/>
        <v>120.4724409448819</v>
      </c>
      <c r="BK57" s="210">
        <f t="shared" si="53"/>
        <v>8881</v>
      </c>
      <c r="BL57" s="210">
        <f t="shared" si="54"/>
        <v>8881</v>
      </c>
      <c r="BM57" s="210">
        <f t="shared" si="55"/>
        <v>10908</v>
      </c>
      <c r="BN57" s="210">
        <f t="shared" si="56"/>
        <v>122.82400630559623</v>
      </c>
    </row>
    <row r="58" spans="1:66" ht="31.5" x14ac:dyDescent="0.2">
      <c r="A58" s="183" t="s">
        <v>198</v>
      </c>
      <c r="B58" s="201" t="s">
        <v>339</v>
      </c>
      <c r="C58" s="214">
        <v>664</v>
      </c>
      <c r="D58" s="97">
        <f t="shared" si="20"/>
        <v>664</v>
      </c>
      <c r="E58" s="214">
        <v>734</v>
      </c>
      <c r="F58" s="99">
        <f t="shared" si="21"/>
        <v>110.54216867469879</v>
      </c>
      <c r="G58" s="214"/>
      <c r="H58" s="97">
        <f t="shared" si="3"/>
        <v>0</v>
      </c>
      <c r="I58" s="214"/>
      <c r="J58" s="99">
        <f t="shared" si="22"/>
        <v>0</v>
      </c>
      <c r="K58" s="235">
        <f t="shared" si="23"/>
        <v>664</v>
      </c>
      <c r="L58" s="235">
        <f t="shared" si="24"/>
        <v>664</v>
      </c>
      <c r="M58" s="235">
        <f t="shared" si="25"/>
        <v>734</v>
      </c>
      <c r="N58" s="235">
        <f t="shared" si="26"/>
        <v>110.54216867469879</v>
      </c>
      <c r="O58" s="214">
        <v>198</v>
      </c>
      <c r="P58" s="97">
        <f t="shared" si="173"/>
        <v>198</v>
      </c>
      <c r="Q58" s="214">
        <v>84</v>
      </c>
      <c r="R58" s="99">
        <f t="shared" si="28"/>
        <v>42.424242424242422</v>
      </c>
      <c r="S58" s="214"/>
      <c r="T58" s="97">
        <f t="shared" si="173"/>
        <v>0</v>
      </c>
      <c r="U58" s="214"/>
      <c r="V58" s="99">
        <f t="shared" si="29"/>
        <v>0</v>
      </c>
      <c r="W58" s="210">
        <f t="shared" si="30"/>
        <v>198</v>
      </c>
      <c r="X58" s="210">
        <f t="shared" si="31"/>
        <v>198</v>
      </c>
      <c r="Y58" s="210">
        <f t="shared" si="32"/>
        <v>84</v>
      </c>
      <c r="Z58" s="210">
        <f t="shared" si="33"/>
        <v>42.424242424242422</v>
      </c>
      <c r="AA58" s="214">
        <v>34</v>
      </c>
      <c r="AB58" s="97">
        <f t="shared" si="192"/>
        <v>34</v>
      </c>
      <c r="AC58" s="214">
        <v>29</v>
      </c>
      <c r="AD58" s="99">
        <f t="shared" si="35"/>
        <v>85.294117647058826</v>
      </c>
      <c r="AE58" s="214">
        <v>230</v>
      </c>
      <c r="AF58" s="97">
        <f t="shared" si="192"/>
        <v>230</v>
      </c>
      <c r="AG58" s="214">
        <v>449</v>
      </c>
      <c r="AH58" s="99">
        <f t="shared" si="36"/>
        <v>195.21739130434784</v>
      </c>
      <c r="AI58" s="214"/>
      <c r="AJ58" s="97">
        <f t="shared" si="10"/>
        <v>0</v>
      </c>
      <c r="AK58" s="214"/>
      <c r="AL58" s="99">
        <f t="shared" si="37"/>
        <v>0</v>
      </c>
      <c r="AM58" s="235">
        <f t="shared" si="38"/>
        <v>230</v>
      </c>
      <c r="AN58" s="235">
        <f t="shared" si="39"/>
        <v>230</v>
      </c>
      <c r="AO58" s="235">
        <f t="shared" si="40"/>
        <v>449</v>
      </c>
      <c r="AP58" s="235">
        <f t="shared" si="41"/>
        <v>195.21739130434784</v>
      </c>
      <c r="AQ58" s="214">
        <v>5</v>
      </c>
      <c r="AR58" s="162">
        <f t="shared" si="94"/>
        <v>5</v>
      </c>
      <c r="AS58" s="264">
        <v>5</v>
      </c>
      <c r="AT58" s="99">
        <f t="shared" si="43"/>
        <v>100</v>
      </c>
      <c r="AU58" s="214"/>
      <c r="AV58" s="115">
        <f t="shared" si="44"/>
        <v>0</v>
      </c>
      <c r="AW58" s="264"/>
      <c r="AX58" s="99">
        <f t="shared" si="45"/>
        <v>0</v>
      </c>
      <c r="AY58" s="214">
        <v>353</v>
      </c>
      <c r="AZ58" s="331">
        <v>353</v>
      </c>
      <c r="BA58" s="497">
        <f>95-AS58</f>
        <v>90</v>
      </c>
      <c r="BB58" s="99">
        <f t="shared" si="46"/>
        <v>25.495750708215297</v>
      </c>
      <c r="BC58" s="210">
        <f t="shared" si="47"/>
        <v>358</v>
      </c>
      <c r="BD58" s="210">
        <f t="shared" si="48"/>
        <v>358</v>
      </c>
      <c r="BE58" s="210">
        <f t="shared" si="49"/>
        <v>95</v>
      </c>
      <c r="BF58" s="210">
        <f t="shared" si="50"/>
        <v>26.536312849162012</v>
      </c>
      <c r="BG58" s="214">
        <v>5</v>
      </c>
      <c r="BH58" s="97">
        <f t="shared" si="51"/>
        <v>5</v>
      </c>
      <c r="BI58" s="214">
        <v>3</v>
      </c>
      <c r="BJ58" s="99">
        <f t="shared" si="52"/>
        <v>60</v>
      </c>
      <c r="BK58" s="210">
        <f t="shared" si="53"/>
        <v>1489</v>
      </c>
      <c r="BL58" s="210">
        <f t="shared" si="54"/>
        <v>1489</v>
      </c>
      <c r="BM58" s="210">
        <f t="shared" si="55"/>
        <v>1394</v>
      </c>
      <c r="BN58" s="210">
        <f t="shared" si="56"/>
        <v>93.619879113498996</v>
      </c>
    </row>
    <row r="59" spans="1:66" ht="31.5" x14ac:dyDescent="0.2">
      <c r="A59" s="183" t="s">
        <v>159</v>
      </c>
      <c r="B59" s="201" t="s">
        <v>339</v>
      </c>
      <c r="C59" s="214">
        <v>351</v>
      </c>
      <c r="D59" s="97">
        <f t="shared" si="20"/>
        <v>351</v>
      </c>
      <c r="E59" s="214">
        <v>359</v>
      </c>
      <c r="F59" s="99">
        <f t="shared" si="21"/>
        <v>102.27920227920228</v>
      </c>
      <c r="G59" s="214"/>
      <c r="H59" s="97">
        <f t="shared" si="3"/>
        <v>0</v>
      </c>
      <c r="I59" s="214"/>
      <c r="J59" s="99">
        <f t="shared" si="22"/>
        <v>0</v>
      </c>
      <c r="K59" s="235">
        <f t="shared" si="23"/>
        <v>351</v>
      </c>
      <c r="L59" s="235">
        <f t="shared" si="24"/>
        <v>351</v>
      </c>
      <c r="M59" s="235">
        <f t="shared" si="25"/>
        <v>359</v>
      </c>
      <c r="N59" s="235">
        <f t="shared" si="26"/>
        <v>102.27920227920228</v>
      </c>
      <c r="O59" s="214">
        <v>99</v>
      </c>
      <c r="P59" s="97">
        <f t="shared" si="173"/>
        <v>99</v>
      </c>
      <c r="Q59" s="214">
        <v>96</v>
      </c>
      <c r="R59" s="99">
        <f t="shared" si="28"/>
        <v>96.969696969696969</v>
      </c>
      <c r="S59" s="214"/>
      <c r="T59" s="97">
        <f t="shared" si="173"/>
        <v>0</v>
      </c>
      <c r="U59" s="214"/>
      <c r="V59" s="99">
        <f t="shared" si="29"/>
        <v>0</v>
      </c>
      <c r="W59" s="210">
        <f t="shared" si="30"/>
        <v>99</v>
      </c>
      <c r="X59" s="210">
        <f t="shared" si="31"/>
        <v>99</v>
      </c>
      <c r="Y59" s="210">
        <f t="shared" si="32"/>
        <v>96</v>
      </c>
      <c r="Z59" s="210">
        <f t="shared" si="33"/>
        <v>96.969696969696969</v>
      </c>
      <c r="AA59" s="214">
        <v>74</v>
      </c>
      <c r="AB59" s="97">
        <f t="shared" si="192"/>
        <v>74</v>
      </c>
      <c r="AC59" s="214">
        <v>63</v>
      </c>
      <c r="AD59" s="99">
        <f t="shared" si="35"/>
        <v>85.13513513513513</v>
      </c>
      <c r="AE59" s="214">
        <v>115</v>
      </c>
      <c r="AF59" s="97">
        <f t="shared" si="192"/>
        <v>115</v>
      </c>
      <c r="AG59" s="214">
        <v>148</v>
      </c>
      <c r="AH59" s="99">
        <f t="shared" si="36"/>
        <v>128.69565217391303</v>
      </c>
      <c r="AI59" s="214"/>
      <c r="AJ59" s="97">
        <f t="shared" si="10"/>
        <v>0</v>
      </c>
      <c r="AK59" s="214"/>
      <c r="AL59" s="99">
        <f t="shared" si="37"/>
        <v>0</v>
      </c>
      <c r="AM59" s="235">
        <f t="shared" si="38"/>
        <v>115</v>
      </c>
      <c r="AN59" s="235">
        <f t="shared" si="39"/>
        <v>115</v>
      </c>
      <c r="AO59" s="235">
        <f t="shared" si="40"/>
        <v>148</v>
      </c>
      <c r="AP59" s="235">
        <f t="shared" si="41"/>
        <v>128.69565217391303</v>
      </c>
      <c r="AQ59" s="214">
        <v>2</v>
      </c>
      <c r="AR59" s="162">
        <f t="shared" si="94"/>
        <v>2</v>
      </c>
      <c r="AS59" s="264">
        <v>2</v>
      </c>
      <c r="AT59" s="99">
        <f t="shared" si="43"/>
        <v>100</v>
      </c>
      <c r="AU59" s="214"/>
      <c r="AV59" s="115">
        <f t="shared" si="44"/>
        <v>0</v>
      </c>
      <c r="AW59" s="264"/>
      <c r="AX59" s="99">
        <f t="shared" si="45"/>
        <v>0</v>
      </c>
      <c r="AY59" s="214">
        <v>173</v>
      </c>
      <c r="AZ59" s="331">
        <v>173</v>
      </c>
      <c r="BA59" s="497">
        <f>46-AS59</f>
        <v>44</v>
      </c>
      <c r="BB59" s="99">
        <f t="shared" si="46"/>
        <v>25.433526011560691</v>
      </c>
      <c r="BC59" s="210">
        <f t="shared" si="47"/>
        <v>175</v>
      </c>
      <c r="BD59" s="210">
        <f t="shared" si="48"/>
        <v>175</v>
      </c>
      <c r="BE59" s="210">
        <f t="shared" si="49"/>
        <v>46</v>
      </c>
      <c r="BF59" s="210">
        <f t="shared" si="50"/>
        <v>26.285714285714285</v>
      </c>
      <c r="BG59" s="214">
        <v>38</v>
      </c>
      <c r="BH59" s="97">
        <f t="shared" si="51"/>
        <v>38</v>
      </c>
      <c r="BI59" s="214">
        <v>1</v>
      </c>
      <c r="BJ59" s="99">
        <f t="shared" si="52"/>
        <v>2.6315789473684208</v>
      </c>
      <c r="BK59" s="210">
        <f t="shared" si="53"/>
        <v>852</v>
      </c>
      <c r="BL59" s="210">
        <f t="shared" si="54"/>
        <v>852</v>
      </c>
      <c r="BM59" s="210">
        <f t="shared" si="55"/>
        <v>713</v>
      </c>
      <c r="BN59" s="210">
        <f t="shared" si="56"/>
        <v>83.685446009389679</v>
      </c>
    </row>
    <row r="60" spans="1:66" ht="31.5" x14ac:dyDescent="0.2">
      <c r="A60" s="183" t="s">
        <v>160</v>
      </c>
      <c r="B60" s="201" t="s">
        <v>339</v>
      </c>
      <c r="C60" s="214">
        <v>362</v>
      </c>
      <c r="D60" s="97">
        <f t="shared" si="20"/>
        <v>362</v>
      </c>
      <c r="E60" s="214">
        <v>110</v>
      </c>
      <c r="F60" s="99">
        <f t="shared" si="21"/>
        <v>30.386740331491712</v>
      </c>
      <c r="G60" s="214"/>
      <c r="H60" s="97">
        <f t="shared" si="3"/>
        <v>0</v>
      </c>
      <c r="I60" s="214"/>
      <c r="J60" s="99">
        <f t="shared" si="22"/>
        <v>0</v>
      </c>
      <c r="K60" s="235">
        <f t="shared" si="23"/>
        <v>362</v>
      </c>
      <c r="L60" s="235">
        <f t="shared" si="24"/>
        <v>362</v>
      </c>
      <c r="M60" s="235">
        <f t="shared" si="25"/>
        <v>110</v>
      </c>
      <c r="N60" s="235">
        <f t="shared" si="26"/>
        <v>30.386740331491712</v>
      </c>
      <c r="O60" s="214">
        <v>110</v>
      </c>
      <c r="P60" s="97">
        <f t="shared" si="173"/>
        <v>110</v>
      </c>
      <c r="Q60" s="214">
        <v>169</v>
      </c>
      <c r="R60" s="99">
        <f t="shared" si="28"/>
        <v>153.63636363636363</v>
      </c>
      <c r="S60" s="214"/>
      <c r="T60" s="97">
        <f t="shared" si="173"/>
        <v>0</v>
      </c>
      <c r="U60" s="214"/>
      <c r="V60" s="99">
        <f t="shared" si="29"/>
        <v>0</v>
      </c>
      <c r="W60" s="210">
        <f t="shared" si="30"/>
        <v>110</v>
      </c>
      <c r="X60" s="210">
        <f t="shared" si="31"/>
        <v>110</v>
      </c>
      <c r="Y60" s="210">
        <f t="shared" si="32"/>
        <v>169</v>
      </c>
      <c r="Z60" s="210">
        <f t="shared" si="33"/>
        <v>153.63636363636363</v>
      </c>
      <c r="AA60" s="214">
        <v>100</v>
      </c>
      <c r="AB60" s="97">
        <f t="shared" si="192"/>
        <v>100</v>
      </c>
      <c r="AC60" s="214">
        <v>95</v>
      </c>
      <c r="AD60" s="99">
        <f t="shared" si="35"/>
        <v>95</v>
      </c>
      <c r="AE60" s="214">
        <v>110</v>
      </c>
      <c r="AF60" s="97">
        <f t="shared" si="192"/>
        <v>110</v>
      </c>
      <c r="AG60" s="214">
        <v>92</v>
      </c>
      <c r="AH60" s="99">
        <f t="shared" si="36"/>
        <v>83.636363636363626</v>
      </c>
      <c r="AI60" s="214"/>
      <c r="AJ60" s="97">
        <f t="shared" si="10"/>
        <v>0</v>
      </c>
      <c r="AK60" s="214"/>
      <c r="AL60" s="99">
        <f t="shared" si="37"/>
        <v>0</v>
      </c>
      <c r="AM60" s="235">
        <f t="shared" si="38"/>
        <v>110</v>
      </c>
      <c r="AN60" s="235">
        <f t="shared" si="39"/>
        <v>110</v>
      </c>
      <c r="AO60" s="235">
        <f t="shared" si="40"/>
        <v>92</v>
      </c>
      <c r="AP60" s="235">
        <f t="shared" si="41"/>
        <v>83.636363636363626</v>
      </c>
      <c r="AQ60" s="214">
        <v>0</v>
      </c>
      <c r="AR60" s="162">
        <f t="shared" si="94"/>
        <v>0</v>
      </c>
      <c r="AS60" s="264">
        <v>0</v>
      </c>
      <c r="AT60" s="99">
        <f t="shared" si="43"/>
        <v>0</v>
      </c>
      <c r="AU60" s="214"/>
      <c r="AV60" s="115">
        <f t="shared" si="44"/>
        <v>0</v>
      </c>
      <c r="AW60" s="264"/>
      <c r="AX60" s="99">
        <f t="shared" si="45"/>
        <v>0</v>
      </c>
      <c r="AY60" s="214">
        <v>120</v>
      </c>
      <c r="AZ60" s="331">
        <v>120</v>
      </c>
      <c r="BA60" s="497">
        <f>61-AS60</f>
        <v>61</v>
      </c>
      <c r="BB60" s="99">
        <f t="shared" si="46"/>
        <v>50.833333333333329</v>
      </c>
      <c r="BC60" s="210">
        <f t="shared" si="47"/>
        <v>120</v>
      </c>
      <c r="BD60" s="210">
        <f t="shared" si="48"/>
        <v>120</v>
      </c>
      <c r="BE60" s="210">
        <f t="shared" si="49"/>
        <v>61</v>
      </c>
      <c r="BF60" s="210">
        <f t="shared" si="50"/>
        <v>50.833333333333329</v>
      </c>
      <c r="BG60" s="214">
        <v>5</v>
      </c>
      <c r="BH60" s="97">
        <f t="shared" si="51"/>
        <v>5</v>
      </c>
      <c r="BI60" s="214">
        <v>3</v>
      </c>
      <c r="BJ60" s="99">
        <f t="shared" si="52"/>
        <v>60</v>
      </c>
      <c r="BK60" s="210">
        <f t="shared" si="53"/>
        <v>807</v>
      </c>
      <c r="BL60" s="210">
        <f t="shared" si="54"/>
        <v>807</v>
      </c>
      <c r="BM60" s="210">
        <f t="shared" si="55"/>
        <v>530</v>
      </c>
      <c r="BN60" s="210">
        <f t="shared" si="56"/>
        <v>65.675340768277565</v>
      </c>
    </row>
    <row r="61" spans="1:66" ht="31.5" x14ac:dyDescent="0.2">
      <c r="A61" s="183" t="s">
        <v>161</v>
      </c>
      <c r="B61" s="201" t="s">
        <v>339</v>
      </c>
      <c r="C61" s="214">
        <v>330</v>
      </c>
      <c r="D61" s="97">
        <f t="shared" si="20"/>
        <v>330</v>
      </c>
      <c r="E61" s="214">
        <v>447</v>
      </c>
      <c r="F61" s="99">
        <f t="shared" si="21"/>
        <v>135.45454545454544</v>
      </c>
      <c r="G61" s="214"/>
      <c r="H61" s="97">
        <f t="shared" si="3"/>
        <v>0</v>
      </c>
      <c r="I61" s="214"/>
      <c r="J61" s="99">
        <f t="shared" si="22"/>
        <v>0</v>
      </c>
      <c r="K61" s="235">
        <f t="shared" si="23"/>
        <v>330</v>
      </c>
      <c r="L61" s="235">
        <f t="shared" si="24"/>
        <v>330</v>
      </c>
      <c r="M61" s="235">
        <f t="shared" si="25"/>
        <v>447</v>
      </c>
      <c r="N61" s="235">
        <f t="shared" si="26"/>
        <v>135.45454545454544</v>
      </c>
      <c r="O61" s="214">
        <v>110</v>
      </c>
      <c r="P61" s="97">
        <f t="shared" si="173"/>
        <v>110</v>
      </c>
      <c r="Q61" s="214">
        <v>197</v>
      </c>
      <c r="R61" s="99">
        <f t="shared" si="28"/>
        <v>179.09090909090909</v>
      </c>
      <c r="S61" s="214"/>
      <c r="T61" s="97">
        <f t="shared" si="173"/>
        <v>0</v>
      </c>
      <c r="U61" s="214"/>
      <c r="V61" s="99">
        <f t="shared" si="29"/>
        <v>0</v>
      </c>
      <c r="W61" s="210">
        <f t="shared" si="30"/>
        <v>110</v>
      </c>
      <c r="X61" s="210">
        <f t="shared" si="31"/>
        <v>110</v>
      </c>
      <c r="Y61" s="210">
        <f t="shared" si="32"/>
        <v>197</v>
      </c>
      <c r="Z61" s="210">
        <f t="shared" si="33"/>
        <v>179.09090909090909</v>
      </c>
      <c r="AA61" s="214">
        <v>150</v>
      </c>
      <c r="AB61" s="97">
        <f t="shared" si="192"/>
        <v>150</v>
      </c>
      <c r="AC61" s="214">
        <v>185</v>
      </c>
      <c r="AD61" s="99">
        <f t="shared" si="35"/>
        <v>123.33333333333334</v>
      </c>
      <c r="AE61" s="214">
        <v>0</v>
      </c>
      <c r="AF61" s="97">
        <f t="shared" si="192"/>
        <v>0</v>
      </c>
      <c r="AG61" s="214">
        <v>8</v>
      </c>
      <c r="AH61" s="99">
        <f t="shared" si="36"/>
        <v>0</v>
      </c>
      <c r="AI61" s="214"/>
      <c r="AJ61" s="97">
        <f t="shared" si="10"/>
        <v>0</v>
      </c>
      <c r="AK61" s="214"/>
      <c r="AL61" s="99">
        <f t="shared" si="37"/>
        <v>0</v>
      </c>
      <c r="AM61" s="235">
        <f t="shared" si="38"/>
        <v>0</v>
      </c>
      <c r="AN61" s="235">
        <f t="shared" si="39"/>
        <v>0</v>
      </c>
      <c r="AO61" s="235">
        <f t="shared" si="40"/>
        <v>8</v>
      </c>
      <c r="AP61" s="235">
        <f t="shared" si="41"/>
        <v>0</v>
      </c>
      <c r="AQ61" s="214">
        <v>2</v>
      </c>
      <c r="AR61" s="162">
        <f t="shared" si="94"/>
        <v>2</v>
      </c>
      <c r="AS61" s="264">
        <v>2</v>
      </c>
      <c r="AT61" s="99">
        <f t="shared" si="43"/>
        <v>100</v>
      </c>
      <c r="AU61" s="214"/>
      <c r="AV61" s="115">
        <f t="shared" si="44"/>
        <v>0</v>
      </c>
      <c r="AW61" s="264"/>
      <c r="AX61" s="99">
        <f t="shared" si="45"/>
        <v>0</v>
      </c>
      <c r="AY61" s="214">
        <v>183</v>
      </c>
      <c r="AZ61" s="331">
        <v>183</v>
      </c>
      <c r="BA61" s="497">
        <f>156-AS61</f>
        <v>154</v>
      </c>
      <c r="BB61" s="99">
        <f t="shared" si="46"/>
        <v>84.153005464480884</v>
      </c>
      <c r="BC61" s="210">
        <f t="shared" si="47"/>
        <v>185</v>
      </c>
      <c r="BD61" s="210">
        <f t="shared" si="48"/>
        <v>185</v>
      </c>
      <c r="BE61" s="210">
        <f t="shared" si="49"/>
        <v>156</v>
      </c>
      <c r="BF61" s="210">
        <f t="shared" si="50"/>
        <v>84.324324324324323</v>
      </c>
      <c r="BG61" s="214">
        <v>31</v>
      </c>
      <c r="BH61" s="97">
        <f t="shared" si="51"/>
        <v>31</v>
      </c>
      <c r="BI61" s="214">
        <v>26</v>
      </c>
      <c r="BJ61" s="99">
        <f t="shared" si="52"/>
        <v>83.870967741935488</v>
      </c>
      <c r="BK61" s="210">
        <f t="shared" si="53"/>
        <v>806</v>
      </c>
      <c r="BL61" s="210">
        <f t="shared" si="54"/>
        <v>806</v>
      </c>
      <c r="BM61" s="210">
        <f t="shared" si="55"/>
        <v>1019</v>
      </c>
      <c r="BN61" s="210">
        <f t="shared" si="56"/>
        <v>126.42679900744417</v>
      </c>
    </row>
    <row r="62" spans="1:66" ht="31.5" x14ac:dyDescent="0.2">
      <c r="A62" s="183" t="s">
        <v>162</v>
      </c>
      <c r="B62" s="201" t="s">
        <v>339</v>
      </c>
      <c r="C62" s="214">
        <v>687</v>
      </c>
      <c r="D62" s="97">
        <f t="shared" si="20"/>
        <v>687</v>
      </c>
      <c r="E62" s="214">
        <v>827</v>
      </c>
      <c r="F62" s="99">
        <f t="shared" si="21"/>
        <v>120.37845705967977</v>
      </c>
      <c r="G62" s="214"/>
      <c r="H62" s="97">
        <f t="shared" si="3"/>
        <v>0</v>
      </c>
      <c r="I62" s="214"/>
      <c r="J62" s="99">
        <f t="shared" si="22"/>
        <v>0</v>
      </c>
      <c r="K62" s="235">
        <f t="shared" si="23"/>
        <v>687</v>
      </c>
      <c r="L62" s="235">
        <f t="shared" si="24"/>
        <v>687</v>
      </c>
      <c r="M62" s="235">
        <f t="shared" si="25"/>
        <v>827</v>
      </c>
      <c r="N62" s="235">
        <f t="shared" si="26"/>
        <v>120.37845705967977</v>
      </c>
      <c r="O62" s="214">
        <v>154</v>
      </c>
      <c r="P62" s="97">
        <f t="shared" ref="P62:T77" si="233">ROUND(O62/12*$A$7,0)</f>
        <v>154</v>
      </c>
      <c r="Q62" s="214">
        <v>411</v>
      </c>
      <c r="R62" s="99">
        <f t="shared" si="28"/>
        <v>266.88311688311688</v>
      </c>
      <c r="S62" s="214"/>
      <c r="T62" s="97">
        <f t="shared" si="233"/>
        <v>0</v>
      </c>
      <c r="U62" s="214"/>
      <c r="V62" s="99">
        <f t="shared" si="29"/>
        <v>0</v>
      </c>
      <c r="W62" s="210">
        <f t="shared" si="30"/>
        <v>154</v>
      </c>
      <c r="X62" s="210">
        <f t="shared" si="31"/>
        <v>154</v>
      </c>
      <c r="Y62" s="210">
        <f t="shared" si="32"/>
        <v>411</v>
      </c>
      <c r="Z62" s="210">
        <f t="shared" si="33"/>
        <v>266.88311688311688</v>
      </c>
      <c r="AA62" s="214">
        <v>500</v>
      </c>
      <c r="AB62" s="97">
        <f t="shared" ref="AB62:AF77" si="234">ROUND(AA62/12*$A$7,0)</f>
        <v>500</v>
      </c>
      <c r="AC62" s="214">
        <v>384</v>
      </c>
      <c r="AD62" s="99">
        <f t="shared" si="35"/>
        <v>76.8</v>
      </c>
      <c r="AE62" s="214">
        <v>165</v>
      </c>
      <c r="AF62" s="97">
        <f t="shared" si="234"/>
        <v>165</v>
      </c>
      <c r="AG62" s="214">
        <v>457</v>
      </c>
      <c r="AH62" s="99">
        <f t="shared" si="36"/>
        <v>276.96969696969694</v>
      </c>
      <c r="AI62" s="214"/>
      <c r="AJ62" s="97">
        <f t="shared" si="10"/>
        <v>0</v>
      </c>
      <c r="AK62" s="214"/>
      <c r="AL62" s="99">
        <f t="shared" si="37"/>
        <v>0</v>
      </c>
      <c r="AM62" s="235">
        <f t="shared" si="38"/>
        <v>165</v>
      </c>
      <c r="AN62" s="235">
        <f t="shared" si="39"/>
        <v>165</v>
      </c>
      <c r="AO62" s="235">
        <f t="shared" si="40"/>
        <v>457</v>
      </c>
      <c r="AP62" s="235">
        <f t="shared" si="41"/>
        <v>276.96969696969694</v>
      </c>
      <c r="AQ62" s="214">
        <v>5</v>
      </c>
      <c r="AR62" s="162">
        <f t="shared" si="94"/>
        <v>5</v>
      </c>
      <c r="AS62" s="264">
        <v>5</v>
      </c>
      <c r="AT62" s="99">
        <f t="shared" si="43"/>
        <v>100</v>
      </c>
      <c r="AU62" s="214"/>
      <c r="AV62" s="115">
        <f t="shared" si="44"/>
        <v>0</v>
      </c>
      <c r="AW62" s="264"/>
      <c r="AX62" s="99">
        <f t="shared" si="45"/>
        <v>0</v>
      </c>
      <c r="AY62" s="214">
        <v>281</v>
      </c>
      <c r="AZ62" s="331">
        <v>281</v>
      </c>
      <c r="BA62" s="497">
        <f>363-AS62</f>
        <v>358</v>
      </c>
      <c r="BB62" s="99">
        <f t="shared" si="46"/>
        <v>127.40213523131672</v>
      </c>
      <c r="BC62" s="210">
        <f t="shared" si="47"/>
        <v>286</v>
      </c>
      <c r="BD62" s="210">
        <f t="shared" si="48"/>
        <v>286</v>
      </c>
      <c r="BE62" s="210">
        <f t="shared" si="49"/>
        <v>363</v>
      </c>
      <c r="BF62" s="210">
        <f t="shared" si="50"/>
        <v>126.92307692307692</v>
      </c>
      <c r="BG62" s="214">
        <v>16</v>
      </c>
      <c r="BH62" s="97">
        <f t="shared" si="51"/>
        <v>16</v>
      </c>
      <c r="BI62" s="214">
        <v>65</v>
      </c>
      <c r="BJ62" s="99">
        <f t="shared" si="52"/>
        <v>406.25</v>
      </c>
      <c r="BK62" s="210">
        <f t="shared" si="53"/>
        <v>1808</v>
      </c>
      <c r="BL62" s="210">
        <f t="shared" si="54"/>
        <v>1808</v>
      </c>
      <c r="BM62" s="210">
        <f t="shared" si="55"/>
        <v>2507</v>
      </c>
      <c r="BN62" s="210">
        <f t="shared" si="56"/>
        <v>138.66150442477877</v>
      </c>
    </row>
    <row r="63" spans="1:66" ht="31.5" x14ac:dyDescent="0.2">
      <c r="A63" s="183" t="s">
        <v>163</v>
      </c>
      <c r="B63" s="201" t="s">
        <v>339</v>
      </c>
      <c r="C63" s="214">
        <v>340</v>
      </c>
      <c r="D63" s="97">
        <f t="shared" si="20"/>
        <v>340</v>
      </c>
      <c r="E63" s="214">
        <v>378</v>
      </c>
      <c r="F63" s="99">
        <f t="shared" si="21"/>
        <v>111.1764705882353</v>
      </c>
      <c r="G63" s="214"/>
      <c r="H63" s="97">
        <f t="shared" si="3"/>
        <v>0</v>
      </c>
      <c r="I63" s="214"/>
      <c r="J63" s="99">
        <f t="shared" si="22"/>
        <v>0</v>
      </c>
      <c r="K63" s="235">
        <f t="shared" si="23"/>
        <v>340</v>
      </c>
      <c r="L63" s="235">
        <f t="shared" si="24"/>
        <v>340</v>
      </c>
      <c r="M63" s="235">
        <f t="shared" si="25"/>
        <v>378</v>
      </c>
      <c r="N63" s="235">
        <f t="shared" si="26"/>
        <v>111.1764705882353</v>
      </c>
      <c r="O63" s="214">
        <v>121</v>
      </c>
      <c r="P63" s="97">
        <f t="shared" si="233"/>
        <v>121</v>
      </c>
      <c r="Q63" s="214">
        <v>229</v>
      </c>
      <c r="R63" s="99">
        <f t="shared" si="28"/>
        <v>189.25619834710744</v>
      </c>
      <c r="S63" s="214"/>
      <c r="T63" s="97">
        <f t="shared" si="233"/>
        <v>0</v>
      </c>
      <c r="U63" s="214"/>
      <c r="V63" s="99">
        <f t="shared" si="29"/>
        <v>0</v>
      </c>
      <c r="W63" s="210">
        <f t="shared" si="30"/>
        <v>121</v>
      </c>
      <c r="X63" s="210">
        <f t="shared" si="31"/>
        <v>121</v>
      </c>
      <c r="Y63" s="210">
        <f t="shared" si="32"/>
        <v>229</v>
      </c>
      <c r="Z63" s="210">
        <f t="shared" si="33"/>
        <v>189.25619834710744</v>
      </c>
      <c r="AA63" s="214">
        <v>200</v>
      </c>
      <c r="AB63" s="97">
        <f t="shared" si="234"/>
        <v>200</v>
      </c>
      <c r="AC63" s="214">
        <v>210</v>
      </c>
      <c r="AD63" s="99">
        <f t="shared" si="35"/>
        <v>105</v>
      </c>
      <c r="AE63" s="214">
        <v>0</v>
      </c>
      <c r="AF63" s="97">
        <f t="shared" si="234"/>
        <v>0</v>
      </c>
      <c r="AG63" s="214">
        <v>254</v>
      </c>
      <c r="AH63" s="99">
        <f t="shared" si="36"/>
        <v>0</v>
      </c>
      <c r="AI63" s="214"/>
      <c r="AJ63" s="97">
        <f t="shared" si="10"/>
        <v>0</v>
      </c>
      <c r="AK63" s="214"/>
      <c r="AL63" s="99">
        <f t="shared" si="37"/>
        <v>0</v>
      </c>
      <c r="AM63" s="235">
        <f t="shared" si="38"/>
        <v>0</v>
      </c>
      <c r="AN63" s="235">
        <f t="shared" si="39"/>
        <v>0</v>
      </c>
      <c r="AO63" s="235">
        <f t="shared" si="40"/>
        <v>254</v>
      </c>
      <c r="AP63" s="235">
        <f t="shared" si="41"/>
        <v>0</v>
      </c>
      <c r="AQ63" s="214">
        <v>1</v>
      </c>
      <c r="AR63" s="162">
        <f t="shared" si="94"/>
        <v>1</v>
      </c>
      <c r="AS63" s="264">
        <v>1</v>
      </c>
      <c r="AT63" s="99">
        <f t="shared" si="43"/>
        <v>100</v>
      </c>
      <c r="AU63" s="214"/>
      <c r="AV63" s="115">
        <f t="shared" si="44"/>
        <v>0</v>
      </c>
      <c r="AW63" s="264"/>
      <c r="AX63" s="99">
        <f t="shared" si="45"/>
        <v>0</v>
      </c>
      <c r="AY63" s="214">
        <v>105</v>
      </c>
      <c r="AZ63" s="331">
        <v>105</v>
      </c>
      <c r="BA63" s="497">
        <f>168-AS63</f>
        <v>167</v>
      </c>
      <c r="BB63" s="99">
        <f t="shared" si="46"/>
        <v>159.04761904761904</v>
      </c>
      <c r="BC63" s="210">
        <f t="shared" si="47"/>
        <v>106</v>
      </c>
      <c r="BD63" s="210">
        <f t="shared" si="48"/>
        <v>106</v>
      </c>
      <c r="BE63" s="210">
        <f t="shared" si="49"/>
        <v>168</v>
      </c>
      <c r="BF63" s="210">
        <f t="shared" si="50"/>
        <v>158.49056603773585</v>
      </c>
      <c r="BG63" s="214">
        <v>33</v>
      </c>
      <c r="BH63" s="97">
        <f t="shared" si="51"/>
        <v>33</v>
      </c>
      <c r="BI63" s="214">
        <v>44</v>
      </c>
      <c r="BJ63" s="99">
        <f t="shared" si="52"/>
        <v>133.33333333333331</v>
      </c>
      <c r="BK63" s="210">
        <f t="shared" si="53"/>
        <v>800</v>
      </c>
      <c r="BL63" s="210">
        <f t="shared" si="54"/>
        <v>800</v>
      </c>
      <c r="BM63" s="210">
        <f t="shared" si="55"/>
        <v>1283</v>
      </c>
      <c r="BN63" s="210">
        <f t="shared" si="56"/>
        <v>160.375</v>
      </c>
    </row>
    <row r="64" spans="1:66" ht="31.5" x14ac:dyDescent="0.2">
      <c r="A64" s="183" t="s">
        <v>164</v>
      </c>
      <c r="B64" s="201" t="s">
        <v>339</v>
      </c>
      <c r="C64" s="214">
        <v>101</v>
      </c>
      <c r="D64" s="97">
        <f t="shared" si="20"/>
        <v>101</v>
      </c>
      <c r="E64" s="214">
        <v>7</v>
      </c>
      <c r="F64" s="99">
        <f t="shared" si="21"/>
        <v>6.9306930693069315</v>
      </c>
      <c r="G64" s="214"/>
      <c r="H64" s="97">
        <f t="shared" si="3"/>
        <v>0</v>
      </c>
      <c r="I64" s="214"/>
      <c r="J64" s="99">
        <f t="shared" si="22"/>
        <v>0</v>
      </c>
      <c r="K64" s="235">
        <f t="shared" si="23"/>
        <v>101</v>
      </c>
      <c r="L64" s="235">
        <f t="shared" si="24"/>
        <v>101</v>
      </c>
      <c r="M64" s="235">
        <f t="shared" si="25"/>
        <v>7</v>
      </c>
      <c r="N64" s="235">
        <f t="shared" si="26"/>
        <v>6.9306930693069315</v>
      </c>
      <c r="O64" s="214">
        <v>123</v>
      </c>
      <c r="P64" s="97">
        <f t="shared" si="233"/>
        <v>123</v>
      </c>
      <c r="Q64" s="214">
        <v>36</v>
      </c>
      <c r="R64" s="99">
        <f t="shared" si="28"/>
        <v>29.268292682926827</v>
      </c>
      <c r="S64" s="214"/>
      <c r="T64" s="97">
        <f t="shared" si="233"/>
        <v>0</v>
      </c>
      <c r="U64" s="214"/>
      <c r="V64" s="99">
        <f t="shared" si="29"/>
        <v>0</v>
      </c>
      <c r="W64" s="210">
        <f t="shared" si="30"/>
        <v>123</v>
      </c>
      <c r="X64" s="210">
        <f t="shared" si="31"/>
        <v>123</v>
      </c>
      <c r="Y64" s="210">
        <f t="shared" si="32"/>
        <v>36</v>
      </c>
      <c r="Z64" s="210">
        <f t="shared" si="33"/>
        <v>29.268292682926827</v>
      </c>
      <c r="AA64" s="214">
        <v>200</v>
      </c>
      <c r="AB64" s="97">
        <f t="shared" si="234"/>
        <v>200</v>
      </c>
      <c r="AC64" s="214">
        <v>170</v>
      </c>
      <c r="AD64" s="99">
        <f t="shared" si="35"/>
        <v>85</v>
      </c>
      <c r="AE64" s="214">
        <v>55</v>
      </c>
      <c r="AF64" s="97">
        <f t="shared" si="234"/>
        <v>55</v>
      </c>
      <c r="AG64" s="214">
        <v>7</v>
      </c>
      <c r="AH64" s="99">
        <f t="shared" si="36"/>
        <v>12.727272727272727</v>
      </c>
      <c r="AI64" s="214"/>
      <c r="AJ64" s="97">
        <f t="shared" si="10"/>
        <v>0</v>
      </c>
      <c r="AK64" s="214"/>
      <c r="AL64" s="99">
        <f t="shared" si="37"/>
        <v>0</v>
      </c>
      <c r="AM64" s="235">
        <f t="shared" si="38"/>
        <v>55</v>
      </c>
      <c r="AN64" s="235">
        <f t="shared" si="39"/>
        <v>55</v>
      </c>
      <c r="AO64" s="235">
        <f t="shared" si="40"/>
        <v>7</v>
      </c>
      <c r="AP64" s="235">
        <f t="shared" si="41"/>
        <v>12.727272727272727</v>
      </c>
      <c r="AQ64" s="214">
        <v>2</v>
      </c>
      <c r="AR64" s="162">
        <f t="shared" si="94"/>
        <v>2</v>
      </c>
      <c r="AS64" s="264">
        <v>2</v>
      </c>
      <c r="AT64" s="99">
        <f t="shared" si="43"/>
        <v>100</v>
      </c>
      <c r="AU64" s="214"/>
      <c r="AV64" s="115">
        <f t="shared" si="44"/>
        <v>0</v>
      </c>
      <c r="AW64" s="264"/>
      <c r="AX64" s="99">
        <f t="shared" si="45"/>
        <v>0</v>
      </c>
      <c r="AY64" s="214">
        <v>62</v>
      </c>
      <c r="AZ64" s="331">
        <v>62</v>
      </c>
      <c r="BA64" s="497">
        <f>247-AS64</f>
        <v>245</v>
      </c>
      <c r="BB64" s="99">
        <f t="shared" si="46"/>
        <v>395.16129032258067</v>
      </c>
      <c r="BC64" s="210">
        <f t="shared" si="47"/>
        <v>64</v>
      </c>
      <c r="BD64" s="210">
        <f t="shared" si="48"/>
        <v>64</v>
      </c>
      <c r="BE64" s="210">
        <f t="shared" si="49"/>
        <v>247</v>
      </c>
      <c r="BF64" s="210">
        <f t="shared" si="50"/>
        <v>385.9375</v>
      </c>
      <c r="BG64" s="214">
        <v>34</v>
      </c>
      <c r="BH64" s="97">
        <f t="shared" si="51"/>
        <v>34</v>
      </c>
      <c r="BI64" s="214">
        <v>22</v>
      </c>
      <c r="BJ64" s="99">
        <f t="shared" si="52"/>
        <v>64.705882352941174</v>
      </c>
      <c r="BK64" s="210">
        <f t="shared" si="53"/>
        <v>577</v>
      </c>
      <c r="BL64" s="210">
        <f t="shared" si="54"/>
        <v>577</v>
      </c>
      <c r="BM64" s="210">
        <f t="shared" si="55"/>
        <v>489</v>
      </c>
      <c r="BN64" s="210">
        <f t="shared" si="56"/>
        <v>84.748700173310226</v>
      </c>
    </row>
    <row r="65" spans="1:66" ht="31.5" x14ac:dyDescent="0.2">
      <c r="A65" s="183" t="s">
        <v>165</v>
      </c>
      <c r="B65" s="201" t="s">
        <v>339</v>
      </c>
      <c r="C65" s="214">
        <v>299</v>
      </c>
      <c r="D65" s="97">
        <f t="shared" si="20"/>
        <v>299</v>
      </c>
      <c r="E65" s="214">
        <v>418</v>
      </c>
      <c r="F65" s="99">
        <f t="shared" si="21"/>
        <v>139.79933110367892</v>
      </c>
      <c r="G65" s="214"/>
      <c r="H65" s="97">
        <f t="shared" si="3"/>
        <v>0</v>
      </c>
      <c r="I65" s="214"/>
      <c r="J65" s="99">
        <f t="shared" si="22"/>
        <v>0</v>
      </c>
      <c r="K65" s="235">
        <f t="shared" si="23"/>
        <v>299</v>
      </c>
      <c r="L65" s="235">
        <f t="shared" si="24"/>
        <v>299</v>
      </c>
      <c r="M65" s="235">
        <f t="shared" si="25"/>
        <v>418</v>
      </c>
      <c r="N65" s="235">
        <f t="shared" si="26"/>
        <v>139.79933110367892</v>
      </c>
      <c r="O65" s="214">
        <v>99</v>
      </c>
      <c r="P65" s="97">
        <f t="shared" si="233"/>
        <v>99</v>
      </c>
      <c r="Q65" s="214">
        <v>206</v>
      </c>
      <c r="R65" s="99">
        <f t="shared" si="28"/>
        <v>208.08080808080808</v>
      </c>
      <c r="S65" s="214"/>
      <c r="T65" s="97">
        <f t="shared" si="233"/>
        <v>0</v>
      </c>
      <c r="U65" s="214"/>
      <c r="V65" s="99">
        <f t="shared" si="29"/>
        <v>0</v>
      </c>
      <c r="W65" s="210">
        <f t="shared" si="30"/>
        <v>99</v>
      </c>
      <c r="X65" s="210">
        <f t="shared" si="31"/>
        <v>99</v>
      </c>
      <c r="Y65" s="210">
        <f t="shared" si="32"/>
        <v>206</v>
      </c>
      <c r="Z65" s="210">
        <f t="shared" si="33"/>
        <v>208.08080808080808</v>
      </c>
      <c r="AA65" s="214">
        <v>200</v>
      </c>
      <c r="AB65" s="97">
        <f t="shared" si="234"/>
        <v>200</v>
      </c>
      <c r="AC65" s="214">
        <v>225</v>
      </c>
      <c r="AD65" s="99">
        <f t="shared" si="35"/>
        <v>112.5</v>
      </c>
      <c r="AE65" s="214">
        <v>0</v>
      </c>
      <c r="AF65" s="97">
        <f t="shared" si="234"/>
        <v>0</v>
      </c>
      <c r="AG65" s="214">
        <v>1</v>
      </c>
      <c r="AH65" s="99">
        <f t="shared" si="36"/>
        <v>0</v>
      </c>
      <c r="AI65" s="214"/>
      <c r="AJ65" s="97">
        <f t="shared" si="10"/>
        <v>0</v>
      </c>
      <c r="AK65" s="214"/>
      <c r="AL65" s="99">
        <f t="shared" si="37"/>
        <v>0</v>
      </c>
      <c r="AM65" s="235">
        <f t="shared" si="38"/>
        <v>0</v>
      </c>
      <c r="AN65" s="235">
        <f t="shared" si="39"/>
        <v>0</v>
      </c>
      <c r="AO65" s="235">
        <f t="shared" si="40"/>
        <v>1</v>
      </c>
      <c r="AP65" s="235">
        <f t="shared" si="41"/>
        <v>0</v>
      </c>
      <c r="AQ65" s="214">
        <v>38</v>
      </c>
      <c r="AR65" s="162">
        <f t="shared" si="94"/>
        <v>38</v>
      </c>
      <c r="AS65" s="264">
        <v>38</v>
      </c>
      <c r="AT65" s="99">
        <f t="shared" si="43"/>
        <v>100</v>
      </c>
      <c r="AU65" s="214"/>
      <c r="AV65" s="115">
        <f t="shared" si="44"/>
        <v>0</v>
      </c>
      <c r="AW65" s="264"/>
      <c r="AX65" s="99">
        <f t="shared" si="45"/>
        <v>0</v>
      </c>
      <c r="AY65" s="214">
        <v>113</v>
      </c>
      <c r="AZ65" s="331">
        <v>113</v>
      </c>
      <c r="BA65" s="497">
        <f>305-AS65</f>
        <v>267</v>
      </c>
      <c r="BB65" s="99">
        <f t="shared" si="46"/>
        <v>236.28318584070794</v>
      </c>
      <c r="BC65" s="210">
        <f t="shared" si="47"/>
        <v>151</v>
      </c>
      <c r="BD65" s="210">
        <f t="shared" si="48"/>
        <v>151</v>
      </c>
      <c r="BE65" s="210">
        <f t="shared" si="49"/>
        <v>305</v>
      </c>
      <c r="BF65" s="210">
        <f t="shared" si="50"/>
        <v>201.98675496688742</v>
      </c>
      <c r="BG65" s="214">
        <v>26</v>
      </c>
      <c r="BH65" s="97">
        <f t="shared" si="51"/>
        <v>26</v>
      </c>
      <c r="BI65" s="214">
        <v>25</v>
      </c>
      <c r="BJ65" s="99">
        <f t="shared" si="52"/>
        <v>96.15384615384616</v>
      </c>
      <c r="BK65" s="210">
        <f t="shared" si="53"/>
        <v>775</v>
      </c>
      <c r="BL65" s="210">
        <f t="shared" si="54"/>
        <v>775</v>
      </c>
      <c r="BM65" s="210">
        <f t="shared" si="55"/>
        <v>1180</v>
      </c>
      <c r="BN65" s="210">
        <f t="shared" si="56"/>
        <v>152.25806451612902</v>
      </c>
    </row>
    <row r="66" spans="1:66" ht="31.5" x14ac:dyDescent="0.2">
      <c r="A66" s="183" t="s">
        <v>166</v>
      </c>
      <c r="B66" s="201" t="s">
        <v>339</v>
      </c>
      <c r="C66" s="214">
        <v>324</v>
      </c>
      <c r="D66" s="97">
        <f t="shared" si="20"/>
        <v>324</v>
      </c>
      <c r="E66" s="214">
        <v>517</v>
      </c>
      <c r="F66" s="99">
        <f t="shared" si="21"/>
        <v>159.5679012345679</v>
      </c>
      <c r="G66" s="214"/>
      <c r="H66" s="97">
        <f t="shared" si="3"/>
        <v>0</v>
      </c>
      <c r="I66" s="214"/>
      <c r="J66" s="99">
        <f t="shared" si="22"/>
        <v>0</v>
      </c>
      <c r="K66" s="235">
        <f t="shared" si="23"/>
        <v>324</v>
      </c>
      <c r="L66" s="235">
        <f t="shared" si="24"/>
        <v>324</v>
      </c>
      <c r="M66" s="235">
        <f t="shared" si="25"/>
        <v>517</v>
      </c>
      <c r="N66" s="235">
        <f t="shared" si="26"/>
        <v>159.5679012345679</v>
      </c>
      <c r="O66" s="214">
        <v>93</v>
      </c>
      <c r="P66" s="97">
        <f t="shared" si="233"/>
        <v>93</v>
      </c>
      <c r="Q66" s="214">
        <v>107</v>
      </c>
      <c r="R66" s="99">
        <f t="shared" si="28"/>
        <v>115.05376344086022</v>
      </c>
      <c r="S66" s="214"/>
      <c r="T66" s="97">
        <f t="shared" si="233"/>
        <v>0</v>
      </c>
      <c r="U66" s="214"/>
      <c r="V66" s="99">
        <f t="shared" si="29"/>
        <v>0</v>
      </c>
      <c r="W66" s="210">
        <f t="shared" si="30"/>
        <v>93</v>
      </c>
      <c r="X66" s="210">
        <f t="shared" si="31"/>
        <v>93</v>
      </c>
      <c r="Y66" s="210">
        <f t="shared" si="32"/>
        <v>107</v>
      </c>
      <c r="Z66" s="210">
        <f t="shared" si="33"/>
        <v>115.05376344086022</v>
      </c>
      <c r="AA66" s="214">
        <v>200</v>
      </c>
      <c r="AB66" s="97">
        <f t="shared" si="234"/>
        <v>200</v>
      </c>
      <c r="AC66" s="214">
        <v>239</v>
      </c>
      <c r="AD66" s="99">
        <f t="shared" si="35"/>
        <v>119.5</v>
      </c>
      <c r="AE66" s="214">
        <v>110</v>
      </c>
      <c r="AF66" s="97">
        <f t="shared" si="234"/>
        <v>110</v>
      </c>
      <c r="AG66" s="214">
        <v>292</v>
      </c>
      <c r="AH66" s="99">
        <f t="shared" si="36"/>
        <v>265.4545454545455</v>
      </c>
      <c r="AI66" s="214"/>
      <c r="AJ66" s="97">
        <f t="shared" si="10"/>
        <v>0</v>
      </c>
      <c r="AK66" s="214"/>
      <c r="AL66" s="99">
        <f t="shared" si="37"/>
        <v>0</v>
      </c>
      <c r="AM66" s="235">
        <f t="shared" si="38"/>
        <v>110</v>
      </c>
      <c r="AN66" s="235">
        <f t="shared" si="39"/>
        <v>110</v>
      </c>
      <c r="AO66" s="235">
        <f t="shared" si="40"/>
        <v>292</v>
      </c>
      <c r="AP66" s="235">
        <f t="shared" si="41"/>
        <v>265.4545454545455</v>
      </c>
      <c r="AQ66" s="214">
        <v>2</v>
      </c>
      <c r="AR66" s="162">
        <f t="shared" si="94"/>
        <v>2</v>
      </c>
      <c r="AS66" s="264">
        <v>2</v>
      </c>
      <c r="AT66" s="99">
        <f t="shared" si="43"/>
        <v>100</v>
      </c>
      <c r="AU66" s="214"/>
      <c r="AV66" s="115">
        <f t="shared" si="44"/>
        <v>0</v>
      </c>
      <c r="AW66" s="264"/>
      <c r="AX66" s="99">
        <f t="shared" si="45"/>
        <v>0</v>
      </c>
      <c r="AY66" s="214">
        <v>159</v>
      </c>
      <c r="AZ66" s="331">
        <v>159</v>
      </c>
      <c r="BA66" s="497">
        <f>107-AS66</f>
        <v>105</v>
      </c>
      <c r="BB66" s="99">
        <f t="shared" si="46"/>
        <v>66.037735849056602</v>
      </c>
      <c r="BC66" s="210">
        <f t="shared" si="47"/>
        <v>161</v>
      </c>
      <c r="BD66" s="210">
        <f t="shared" si="48"/>
        <v>161</v>
      </c>
      <c r="BE66" s="210">
        <f t="shared" si="49"/>
        <v>107</v>
      </c>
      <c r="BF66" s="210">
        <f t="shared" si="50"/>
        <v>66.459627329192557</v>
      </c>
      <c r="BG66" s="214">
        <v>28</v>
      </c>
      <c r="BH66" s="97">
        <f t="shared" si="51"/>
        <v>28</v>
      </c>
      <c r="BI66" s="214">
        <v>44</v>
      </c>
      <c r="BJ66" s="99">
        <f t="shared" si="52"/>
        <v>157.14285714285714</v>
      </c>
      <c r="BK66" s="210">
        <f t="shared" si="53"/>
        <v>916</v>
      </c>
      <c r="BL66" s="210">
        <f t="shared" si="54"/>
        <v>916</v>
      </c>
      <c r="BM66" s="210">
        <f t="shared" si="55"/>
        <v>1306</v>
      </c>
      <c r="BN66" s="210">
        <f t="shared" si="56"/>
        <v>142.57641921397379</v>
      </c>
    </row>
    <row r="67" spans="1:66" ht="31.5" x14ac:dyDescent="0.2">
      <c r="A67" s="183" t="s">
        <v>167</v>
      </c>
      <c r="B67" s="201" t="s">
        <v>339</v>
      </c>
      <c r="C67" s="214">
        <v>289</v>
      </c>
      <c r="D67" s="97">
        <f t="shared" si="20"/>
        <v>289</v>
      </c>
      <c r="E67" s="214">
        <v>451</v>
      </c>
      <c r="F67" s="99">
        <f t="shared" si="21"/>
        <v>156.05536332179929</v>
      </c>
      <c r="G67" s="214"/>
      <c r="H67" s="97">
        <f t="shared" si="3"/>
        <v>0</v>
      </c>
      <c r="I67" s="214"/>
      <c r="J67" s="99">
        <f t="shared" si="22"/>
        <v>0</v>
      </c>
      <c r="K67" s="235">
        <f t="shared" si="23"/>
        <v>289</v>
      </c>
      <c r="L67" s="235">
        <f t="shared" si="24"/>
        <v>289</v>
      </c>
      <c r="M67" s="235">
        <f t="shared" si="25"/>
        <v>451</v>
      </c>
      <c r="N67" s="235">
        <f t="shared" si="26"/>
        <v>156.05536332179929</v>
      </c>
      <c r="O67" s="214">
        <v>93</v>
      </c>
      <c r="P67" s="97">
        <f t="shared" si="233"/>
        <v>93</v>
      </c>
      <c r="Q67" s="214">
        <v>73</v>
      </c>
      <c r="R67" s="99">
        <f t="shared" si="28"/>
        <v>78.494623655913969</v>
      </c>
      <c r="S67" s="214"/>
      <c r="T67" s="97">
        <f t="shared" si="233"/>
        <v>0</v>
      </c>
      <c r="U67" s="214"/>
      <c r="V67" s="99">
        <f t="shared" si="29"/>
        <v>0</v>
      </c>
      <c r="W67" s="210">
        <f t="shared" si="30"/>
        <v>93</v>
      </c>
      <c r="X67" s="210">
        <f t="shared" si="31"/>
        <v>93</v>
      </c>
      <c r="Y67" s="210">
        <f t="shared" si="32"/>
        <v>73</v>
      </c>
      <c r="Z67" s="210">
        <f t="shared" si="33"/>
        <v>78.494623655913969</v>
      </c>
      <c r="AA67" s="214">
        <v>200</v>
      </c>
      <c r="AB67" s="97">
        <f t="shared" si="234"/>
        <v>200</v>
      </c>
      <c r="AC67" s="214">
        <v>238</v>
      </c>
      <c r="AD67" s="99">
        <f t="shared" si="35"/>
        <v>119</v>
      </c>
      <c r="AE67" s="214"/>
      <c r="AF67" s="97">
        <f t="shared" si="234"/>
        <v>0</v>
      </c>
      <c r="AG67" s="214">
        <v>121</v>
      </c>
      <c r="AH67" s="99">
        <f t="shared" si="36"/>
        <v>0</v>
      </c>
      <c r="AI67" s="214"/>
      <c r="AJ67" s="97">
        <f t="shared" si="10"/>
        <v>0</v>
      </c>
      <c r="AK67" s="214"/>
      <c r="AL67" s="99">
        <f t="shared" si="37"/>
        <v>0</v>
      </c>
      <c r="AM67" s="235">
        <f t="shared" si="38"/>
        <v>0</v>
      </c>
      <c r="AN67" s="235">
        <f t="shared" si="39"/>
        <v>0</v>
      </c>
      <c r="AO67" s="235">
        <f t="shared" si="40"/>
        <v>121</v>
      </c>
      <c r="AP67" s="235">
        <f t="shared" si="41"/>
        <v>0</v>
      </c>
      <c r="AQ67" s="214">
        <v>0</v>
      </c>
      <c r="AR67" s="162">
        <f t="shared" si="94"/>
        <v>0</v>
      </c>
      <c r="AS67" s="264">
        <v>0</v>
      </c>
      <c r="AT67" s="99">
        <f t="shared" si="43"/>
        <v>0</v>
      </c>
      <c r="AU67" s="214"/>
      <c r="AV67" s="115">
        <f t="shared" si="44"/>
        <v>0</v>
      </c>
      <c r="AW67" s="264"/>
      <c r="AX67" s="99">
        <f t="shared" si="45"/>
        <v>0</v>
      </c>
      <c r="AY67" s="214">
        <v>149</v>
      </c>
      <c r="AZ67" s="331">
        <v>149</v>
      </c>
      <c r="BA67" s="497">
        <v>233</v>
      </c>
      <c r="BB67" s="99">
        <f t="shared" si="46"/>
        <v>156.37583892617451</v>
      </c>
      <c r="BC67" s="210">
        <f t="shared" si="47"/>
        <v>149</v>
      </c>
      <c r="BD67" s="210">
        <f t="shared" si="48"/>
        <v>149</v>
      </c>
      <c r="BE67" s="210">
        <f t="shared" si="49"/>
        <v>233</v>
      </c>
      <c r="BF67" s="210">
        <f t="shared" si="50"/>
        <v>156.37583892617451</v>
      </c>
      <c r="BG67" s="214">
        <v>33</v>
      </c>
      <c r="BH67" s="97">
        <f t="shared" si="51"/>
        <v>33</v>
      </c>
      <c r="BI67" s="214">
        <v>50</v>
      </c>
      <c r="BJ67" s="99">
        <f t="shared" si="52"/>
        <v>151.5151515151515</v>
      </c>
      <c r="BK67" s="210">
        <f t="shared" si="53"/>
        <v>764</v>
      </c>
      <c r="BL67" s="210">
        <f t="shared" si="54"/>
        <v>764</v>
      </c>
      <c r="BM67" s="210">
        <f t="shared" si="55"/>
        <v>1166</v>
      </c>
      <c r="BN67" s="210">
        <f t="shared" si="56"/>
        <v>152.61780104712042</v>
      </c>
    </row>
    <row r="68" spans="1:66" ht="31.5" x14ac:dyDescent="0.2">
      <c r="A68" s="183" t="s">
        <v>168</v>
      </c>
      <c r="B68" s="201" t="s">
        <v>339</v>
      </c>
      <c r="C68" s="214">
        <v>268</v>
      </c>
      <c r="D68" s="97">
        <f t="shared" si="20"/>
        <v>268</v>
      </c>
      <c r="E68" s="214">
        <v>306</v>
      </c>
      <c r="F68" s="99">
        <f t="shared" si="21"/>
        <v>114.17910447761194</v>
      </c>
      <c r="G68" s="214"/>
      <c r="H68" s="97">
        <f t="shared" si="3"/>
        <v>0</v>
      </c>
      <c r="I68" s="214"/>
      <c r="J68" s="99">
        <f t="shared" si="22"/>
        <v>0</v>
      </c>
      <c r="K68" s="235">
        <f t="shared" si="23"/>
        <v>268</v>
      </c>
      <c r="L68" s="235">
        <f t="shared" si="24"/>
        <v>268</v>
      </c>
      <c r="M68" s="235">
        <f t="shared" si="25"/>
        <v>306</v>
      </c>
      <c r="N68" s="235">
        <f t="shared" si="26"/>
        <v>114.17910447761194</v>
      </c>
      <c r="O68" s="214">
        <v>103</v>
      </c>
      <c r="P68" s="97">
        <f t="shared" si="233"/>
        <v>103</v>
      </c>
      <c r="Q68" s="214">
        <v>249</v>
      </c>
      <c r="R68" s="99">
        <f t="shared" si="28"/>
        <v>241.74757281553397</v>
      </c>
      <c r="S68" s="214"/>
      <c r="T68" s="97">
        <f t="shared" si="233"/>
        <v>0</v>
      </c>
      <c r="U68" s="214"/>
      <c r="V68" s="99">
        <f t="shared" si="29"/>
        <v>0</v>
      </c>
      <c r="W68" s="210">
        <f t="shared" si="30"/>
        <v>103</v>
      </c>
      <c r="X68" s="210">
        <f t="shared" si="31"/>
        <v>103</v>
      </c>
      <c r="Y68" s="210">
        <f t="shared" si="32"/>
        <v>249</v>
      </c>
      <c r="Z68" s="210">
        <f t="shared" si="33"/>
        <v>241.74757281553397</v>
      </c>
      <c r="AA68" s="214">
        <v>150</v>
      </c>
      <c r="AB68" s="97">
        <f t="shared" si="234"/>
        <v>150</v>
      </c>
      <c r="AC68" s="214">
        <v>193</v>
      </c>
      <c r="AD68" s="99">
        <f t="shared" si="35"/>
        <v>128.66666666666666</v>
      </c>
      <c r="AE68" s="214"/>
      <c r="AF68" s="97">
        <f t="shared" si="234"/>
        <v>0</v>
      </c>
      <c r="AG68" s="214">
        <v>12</v>
      </c>
      <c r="AH68" s="99">
        <f t="shared" si="36"/>
        <v>0</v>
      </c>
      <c r="AI68" s="214"/>
      <c r="AJ68" s="97">
        <f t="shared" si="10"/>
        <v>0</v>
      </c>
      <c r="AK68" s="214"/>
      <c r="AL68" s="99">
        <f t="shared" si="37"/>
        <v>0</v>
      </c>
      <c r="AM68" s="235">
        <f t="shared" si="38"/>
        <v>0</v>
      </c>
      <c r="AN68" s="235">
        <f t="shared" si="39"/>
        <v>0</v>
      </c>
      <c r="AO68" s="235">
        <f t="shared" si="40"/>
        <v>12</v>
      </c>
      <c r="AP68" s="235">
        <f t="shared" si="41"/>
        <v>0</v>
      </c>
      <c r="AQ68" s="214">
        <v>4</v>
      </c>
      <c r="AR68" s="162">
        <f t="shared" si="94"/>
        <v>4</v>
      </c>
      <c r="AS68" s="264">
        <v>4</v>
      </c>
      <c r="AT68" s="99">
        <f t="shared" si="43"/>
        <v>100</v>
      </c>
      <c r="AU68" s="214"/>
      <c r="AV68" s="115">
        <f t="shared" si="44"/>
        <v>0</v>
      </c>
      <c r="AW68" s="264"/>
      <c r="AX68" s="99">
        <f t="shared" si="45"/>
        <v>0</v>
      </c>
      <c r="AY68" s="214">
        <v>145</v>
      </c>
      <c r="AZ68" s="331">
        <v>145</v>
      </c>
      <c r="BA68" s="497">
        <f>288-AS68</f>
        <v>284</v>
      </c>
      <c r="BB68" s="99">
        <f t="shared" si="46"/>
        <v>195.86206896551724</v>
      </c>
      <c r="BC68" s="210">
        <f t="shared" si="47"/>
        <v>149</v>
      </c>
      <c r="BD68" s="210">
        <f t="shared" si="48"/>
        <v>149</v>
      </c>
      <c r="BE68" s="210">
        <f t="shared" si="49"/>
        <v>288</v>
      </c>
      <c r="BF68" s="210">
        <f t="shared" si="50"/>
        <v>193.28859060402687</v>
      </c>
      <c r="BG68" s="214">
        <v>17</v>
      </c>
      <c r="BH68" s="97">
        <f t="shared" si="51"/>
        <v>17</v>
      </c>
      <c r="BI68" s="214">
        <v>10</v>
      </c>
      <c r="BJ68" s="99">
        <f t="shared" si="52"/>
        <v>58.82352941176471</v>
      </c>
      <c r="BK68" s="210">
        <f t="shared" si="53"/>
        <v>687</v>
      </c>
      <c r="BL68" s="210">
        <f t="shared" si="54"/>
        <v>687</v>
      </c>
      <c r="BM68" s="210">
        <f t="shared" si="55"/>
        <v>1058</v>
      </c>
      <c r="BN68" s="210">
        <f t="shared" si="56"/>
        <v>154.00291120815137</v>
      </c>
    </row>
    <row r="69" spans="1:66" ht="31.5" x14ac:dyDescent="0.2">
      <c r="A69" s="183" t="s">
        <v>169</v>
      </c>
      <c r="B69" s="201" t="s">
        <v>339</v>
      </c>
      <c r="C69" s="214">
        <v>675</v>
      </c>
      <c r="D69" s="97">
        <f t="shared" si="20"/>
        <v>675</v>
      </c>
      <c r="E69" s="214">
        <v>1037</v>
      </c>
      <c r="F69" s="99">
        <f t="shared" si="21"/>
        <v>153.62962962962962</v>
      </c>
      <c r="G69" s="214"/>
      <c r="H69" s="97">
        <f t="shared" si="3"/>
        <v>0</v>
      </c>
      <c r="I69" s="214"/>
      <c r="J69" s="99">
        <f t="shared" si="22"/>
        <v>0</v>
      </c>
      <c r="K69" s="235">
        <f t="shared" si="23"/>
        <v>675</v>
      </c>
      <c r="L69" s="235">
        <f t="shared" si="24"/>
        <v>675</v>
      </c>
      <c r="M69" s="235">
        <f t="shared" si="25"/>
        <v>1037</v>
      </c>
      <c r="N69" s="235">
        <f t="shared" si="26"/>
        <v>153.62962962962962</v>
      </c>
      <c r="O69" s="214">
        <v>247</v>
      </c>
      <c r="P69" s="97">
        <f t="shared" si="233"/>
        <v>247</v>
      </c>
      <c r="Q69" s="214">
        <v>429</v>
      </c>
      <c r="R69" s="99">
        <f t="shared" si="28"/>
        <v>173.68421052631581</v>
      </c>
      <c r="S69" s="214"/>
      <c r="T69" s="97">
        <f t="shared" si="233"/>
        <v>0</v>
      </c>
      <c r="U69" s="214"/>
      <c r="V69" s="99">
        <f t="shared" si="29"/>
        <v>0</v>
      </c>
      <c r="W69" s="210">
        <f t="shared" si="30"/>
        <v>247</v>
      </c>
      <c r="X69" s="210">
        <f t="shared" si="31"/>
        <v>247</v>
      </c>
      <c r="Y69" s="210">
        <f t="shared" si="32"/>
        <v>429</v>
      </c>
      <c r="Z69" s="210">
        <f t="shared" si="33"/>
        <v>173.68421052631581</v>
      </c>
      <c r="AA69" s="214">
        <v>380</v>
      </c>
      <c r="AB69" s="97">
        <f t="shared" si="234"/>
        <v>380</v>
      </c>
      <c r="AC69" s="214">
        <v>383</v>
      </c>
      <c r="AD69" s="99">
        <f t="shared" si="35"/>
        <v>100.78947368421052</v>
      </c>
      <c r="AE69" s="214"/>
      <c r="AF69" s="97">
        <f t="shared" si="234"/>
        <v>0</v>
      </c>
      <c r="AG69" s="214">
        <v>505</v>
      </c>
      <c r="AH69" s="99">
        <f t="shared" si="36"/>
        <v>0</v>
      </c>
      <c r="AI69" s="214"/>
      <c r="AJ69" s="97">
        <f t="shared" si="10"/>
        <v>0</v>
      </c>
      <c r="AK69" s="214"/>
      <c r="AL69" s="99">
        <f t="shared" si="37"/>
        <v>0</v>
      </c>
      <c r="AM69" s="235">
        <f t="shared" si="38"/>
        <v>0</v>
      </c>
      <c r="AN69" s="235">
        <f t="shared" si="39"/>
        <v>0</v>
      </c>
      <c r="AO69" s="235">
        <f t="shared" si="40"/>
        <v>505</v>
      </c>
      <c r="AP69" s="235">
        <f t="shared" si="41"/>
        <v>0</v>
      </c>
      <c r="AQ69" s="214">
        <v>45</v>
      </c>
      <c r="AR69" s="162">
        <f t="shared" si="94"/>
        <v>45</v>
      </c>
      <c r="AS69" s="264">
        <v>45</v>
      </c>
      <c r="AT69" s="99">
        <f t="shared" si="43"/>
        <v>100</v>
      </c>
      <c r="AU69" s="214"/>
      <c r="AV69" s="115">
        <f t="shared" si="44"/>
        <v>0</v>
      </c>
      <c r="AW69" s="264"/>
      <c r="AX69" s="99">
        <f t="shared" si="45"/>
        <v>0</v>
      </c>
      <c r="AY69" s="214">
        <v>151</v>
      </c>
      <c r="AZ69" s="331">
        <v>151</v>
      </c>
      <c r="BA69" s="497">
        <f>347-AS69</f>
        <v>302</v>
      </c>
      <c r="BB69" s="99">
        <f t="shared" si="46"/>
        <v>200</v>
      </c>
      <c r="BC69" s="210">
        <f t="shared" si="47"/>
        <v>196</v>
      </c>
      <c r="BD69" s="210">
        <f t="shared" si="48"/>
        <v>196</v>
      </c>
      <c r="BE69" s="210">
        <f t="shared" si="49"/>
        <v>347</v>
      </c>
      <c r="BF69" s="210">
        <f t="shared" si="50"/>
        <v>177.0408163265306</v>
      </c>
      <c r="BG69" s="214">
        <v>95</v>
      </c>
      <c r="BH69" s="97">
        <f t="shared" si="51"/>
        <v>95</v>
      </c>
      <c r="BI69" s="214">
        <v>74</v>
      </c>
      <c r="BJ69" s="99">
        <f t="shared" si="52"/>
        <v>77.89473684210526</v>
      </c>
      <c r="BK69" s="210">
        <f t="shared" si="53"/>
        <v>1593</v>
      </c>
      <c r="BL69" s="210">
        <f t="shared" si="54"/>
        <v>1593</v>
      </c>
      <c r="BM69" s="210">
        <f t="shared" si="55"/>
        <v>2775</v>
      </c>
      <c r="BN69" s="210">
        <f t="shared" si="56"/>
        <v>174.19962335216573</v>
      </c>
    </row>
    <row r="70" spans="1:66" ht="31.5" x14ac:dyDescent="0.2">
      <c r="A70" s="176" t="s">
        <v>170</v>
      </c>
      <c r="B70" s="197" t="s">
        <v>3</v>
      </c>
      <c r="C70" s="218">
        <f t="shared" ref="C70:D70" si="235">C71*7+C72*8+C73*8</f>
        <v>11503</v>
      </c>
      <c r="D70" s="218">
        <f t="shared" si="235"/>
        <v>11503</v>
      </c>
      <c r="E70" s="218">
        <f t="shared" ref="E70" si="236">E71*7+E72*8+E73*8</f>
        <v>9961</v>
      </c>
      <c r="F70" s="179">
        <f t="shared" si="21"/>
        <v>86.594801356167963</v>
      </c>
      <c r="G70" s="218">
        <f t="shared" ref="G70" si="237">G71*7+G72*8+G73*8</f>
        <v>0</v>
      </c>
      <c r="H70" s="184">
        <f t="shared" si="3"/>
        <v>0</v>
      </c>
      <c r="I70" s="218">
        <f t="shared" ref="I70" si="238">I71*7+I72*8+I73*8</f>
        <v>0</v>
      </c>
      <c r="J70" s="179">
        <f t="shared" si="22"/>
        <v>0</v>
      </c>
      <c r="K70" s="235">
        <f t="shared" si="23"/>
        <v>11503</v>
      </c>
      <c r="L70" s="235">
        <f t="shared" si="24"/>
        <v>11503</v>
      </c>
      <c r="M70" s="235">
        <f t="shared" si="25"/>
        <v>9961</v>
      </c>
      <c r="N70" s="235">
        <f t="shared" si="26"/>
        <v>86.594801356167963</v>
      </c>
      <c r="O70" s="218">
        <f t="shared" ref="O70:S70" si="239">O71*7+O72*8+O73*8</f>
        <v>3130</v>
      </c>
      <c r="P70" s="218">
        <f t="shared" si="239"/>
        <v>3130</v>
      </c>
      <c r="Q70" s="218">
        <f t="shared" ref="Q70:U70" si="240">Q71*7+Q72*8+Q73*8</f>
        <v>2341</v>
      </c>
      <c r="R70" s="179">
        <f t="shared" si="28"/>
        <v>74.792332268370615</v>
      </c>
      <c r="S70" s="218">
        <f t="shared" si="239"/>
        <v>0</v>
      </c>
      <c r="T70" s="184">
        <f t="shared" si="233"/>
        <v>0</v>
      </c>
      <c r="U70" s="218">
        <f t="shared" si="240"/>
        <v>0</v>
      </c>
      <c r="V70" s="179">
        <f t="shared" si="29"/>
        <v>0</v>
      </c>
      <c r="W70" s="210">
        <f t="shared" si="30"/>
        <v>3130</v>
      </c>
      <c r="X70" s="210">
        <f t="shared" si="31"/>
        <v>3130</v>
      </c>
      <c r="Y70" s="210">
        <f t="shared" si="32"/>
        <v>2341</v>
      </c>
      <c r="Z70" s="210">
        <f t="shared" si="33"/>
        <v>74.792332268370615</v>
      </c>
      <c r="AA70" s="218">
        <f t="shared" ref="AA70:AF70" si="241">AA71*7+AA72*8+AA73*8</f>
        <v>1675</v>
      </c>
      <c r="AB70" s="218">
        <f t="shared" si="241"/>
        <v>1675</v>
      </c>
      <c r="AC70" s="218">
        <f t="shared" ref="AC70:AG70" si="242">AC71*7+AC72*8+AC73*8</f>
        <v>6471</v>
      </c>
      <c r="AD70" s="179">
        <f t="shared" si="35"/>
        <v>386.32835820895519</v>
      </c>
      <c r="AE70" s="218">
        <f t="shared" si="241"/>
        <v>12956</v>
      </c>
      <c r="AF70" s="218">
        <f t="shared" si="241"/>
        <v>12956</v>
      </c>
      <c r="AG70" s="218">
        <f t="shared" si="242"/>
        <v>5142</v>
      </c>
      <c r="AH70" s="179">
        <f t="shared" si="36"/>
        <v>39.688175362766287</v>
      </c>
      <c r="AI70" s="218">
        <f t="shared" ref="AI70" si="243">AI71*7+AI72*8+AI73*8</f>
        <v>0</v>
      </c>
      <c r="AJ70" s="184">
        <f t="shared" si="10"/>
        <v>0</v>
      </c>
      <c r="AK70" s="218">
        <f t="shared" ref="AK70" si="244">AK71*7+AK72*8+AK73*8</f>
        <v>0</v>
      </c>
      <c r="AL70" s="179">
        <f t="shared" si="37"/>
        <v>0</v>
      </c>
      <c r="AM70" s="235">
        <f t="shared" si="38"/>
        <v>12956</v>
      </c>
      <c r="AN70" s="235">
        <f t="shared" si="39"/>
        <v>12956</v>
      </c>
      <c r="AO70" s="235">
        <f t="shared" si="40"/>
        <v>5142</v>
      </c>
      <c r="AP70" s="235">
        <f t="shared" si="41"/>
        <v>39.688175362766287</v>
      </c>
      <c r="AQ70" s="218">
        <f t="shared" ref="AQ70" si="245">AQ71*7+AQ72*8+AQ73*8</f>
        <v>0</v>
      </c>
      <c r="AR70" s="162">
        <f t="shared" si="94"/>
        <v>0</v>
      </c>
      <c r="AS70" s="264">
        <f t="shared" ref="AS70" si="246">AS71*7+AS72*8+AS73*8</f>
        <v>0</v>
      </c>
      <c r="AT70" s="179">
        <f t="shared" si="43"/>
        <v>0</v>
      </c>
      <c r="AU70" s="218">
        <f t="shared" ref="AU70" si="247">AU71*7+AU72*8+AU73*8</f>
        <v>0</v>
      </c>
      <c r="AV70" s="115">
        <f t="shared" si="44"/>
        <v>0</v>
      </c>
      <c r="AW70" s="264">
        <f t="shared" ref="AW70" si="248">AW71*7+AW72*8+AW73*8</f>
        <v>0</v>
      </c>
      <c r="AX70" s="179">
        <f t="shared" si="45"/>
        <v>0</v>
      </c>
      <c r="AY70" s="218">
        <f t="shared" ref="AY70:AZ70" si="249">AY71*7+AY72*8+AY73*8</f>
        <v>8287</v>
      </c>
      <c r="AZ70" s="218">
        <f t="shared" si="249"/>
        <v>8287</v>
      </c>
      <c r="BA70" s="218">
        <f t="shared" ref="BA70" si="250">BA71*7+BA72*8+BA73*8</f>
        <v>2810</v>
      </c>
      <c r="BB70" s="179">
        <f t="shared" si="46"/>
        <v>33.908531434777359</v>
      </c>
      <c r="BC70" s="210">
        <f t="shared" si="47"/>
        <v>8287</v>
      </c>
      <c r="BD70" s="210">
        <f t="shared" si="48"/>
        <v>8287</v>
      </c>
      <c r="BE70" s="210">
        <f t="shared" si="49"/>
        <v>2810</v>
      </c>
      <c r="BF70" s="210">
        <f t="shared" si="50"/>
        <v>33.908531434777359</v>
      </c>
      <c r="BG70" s="218">
        <f t="shared" ref="BG70:BH70" si="251">BG71*7+BG72*8+BG73*8</f>
        <v>396</v>
      </c>
      <c r="BH70" s="218">
        <f t="shared" si="251"/>
        <v>396</v>
      </c>
      <c r="BI70" s="218">
        <f t="shared" ref="BI70" si="252">BI71*7+BI72*8+BI73*8</f>
        <v>206</v>
      </c>
      <c r="BJ70" s="179">
        <f t="shared" si="52"/>
        <v>52.020202020202021</v>
      </c>
      <c r="BK70" s="210">
        <f t="shared" si="53"/>
        <v>37947</v>
      </c>
      <c r="BL70" s="210">
        <f t="shared" si="54"/>
        <v>37947</v>
      </c>
      <c r="BM70" s="210">
        <f t="shared" si="55"/>
        <v>26931</v>
      </c>
      <c r="BN70" s="210">
        <f t="shared" si="56"/>
        <v>70.970037157087518</v>
      </c>
    </row>
    <row r="71" spans="1:66" ht="31.5" x14ac:dyDescent="0.2">
      <c r="A71" s="185" t="s">
        <v>171</v>
      </c>
      <c r="B71" s="201" t="s">
        <v>339</v>
      </c>
      <c r="C71" s="214">
        <v>489</v>
      </c>
      <c r="D71" s="97">
        <f t="shared" si="20"/>
        <v>489</v>
      </c>
      <c r="E71" s="214">
        <v>591</v>
      </c>
      <c r="F71" s="99">
        <f t="shared" si="21"/>
        <v>120.85889570552146</v>
      </c>
      <c r="G71" s="214"/>
      <c r="H71" s="97">
        <f t="shared" si="3"/>
        <v>0</v>
      </c>
      <c r="I71" s="214"/>
      <c r="J71" s="99">
        <f t="shared" si="22"/>
        <v>0</v>
      </c>
      <c r="K71" s="235">
        <f t="shared" si="23"/>
        <v>489</v>
      </c>
      <c r="L71" s="235">
        <f t="shared" si="24"/>
        <v>489</v>
      </c>
      <c r="M71" s="235">
        <f t="shared" si="25"/>
        <v>591</v>
      </c>
      <c r="N71" s="235">
        <f t="shared" si="26"/>
        <v>120.85889570552146</v>
      </c>
      <c r="O71" s="214">
        <v>150</v>
      </c>
      <c r="P71" s="97">
        <f t="shared" si="233"/>
        <v>150</v>
      </c>
      <c r="Q71" s="214">
        <v>147</v>
      </c>
      <c r="R71" s="99">
        <f t="shared" si="28"/>
        <v>98</v>
      </c>
      <c r="S71" s="214"/>
      <c r="T71" s="97">
        <f t="shared" si="233"/>
        <v>0</v>
      </c>
      <c r="U71" s="214"/>
      <c r="V71" s="99">
        <f t="shared" si="29"/>
        <v>0</v>
      </c>
      <c r="W71" s="210">
        <f t="shared" si="30"/>
        <v>150</v>
      </c>
      <c r="X71" s="210">
        <f t="shared" si="31"/>
        <v>150</v>
      </c>
      <c r="Y71" s="210">
        <f t="shared" si="32"/>
        <v>147</v>
      </c>
      <c r="Z71" s="210">
        <f t="shared" si="33"/>
        <v>98</v>
      </c>
      <c r="AA71" s="214">
        <v>45</v>
      </c>
      <c r="AB71" s="97">
        <f t="shared" si="234"/>
        <v>45</v>
      </c>
      <c r="AC71" s="214">
        <v>313</v>
      </c>
      <c r="AD71" s="99">
        <f t="shared" si="35"/>
        <v>695.55555555555554</v>
      </c>
      <c r="AE71" s="214">
        <v>700</v>
      </c>
      <c r="AF71" s="97">
        <f t="shared" si="234"/>
        <v>700</v>
      </c>
      <c r="AG71" s="214">
        <v>290</v>
      </c>
      <c r="AH71" s="99">
        <f t="shared" si="36"/>
        <v>41.428571428571431</v>
      </c>
      <c r="AI71" s="214"/>
      <c r="AJ71" s="97">
        <f t="shared" si="10"/>
        <v>0</v>
      </c>
      <c r="AK71" s="214"/>
      <c r="AL71" s="99">
        <f t="shared" si="37"/>
        <v>0</v>
      </c>
      <c r="AM71" s="235">
        <f t="shared" si="38"/>
        <v>700</v>
      </c>
      <c r="AN71" s="235">
        <f t="shared" si="39"/>
        <v>700</v>
      </c>
      <c r="AO71" s="235">
        <f t="shared" si="40"/>
        <v>290</v>
      </c>
      <c r="AP71" s="235">
        <f t="shared" si="41"/>
        <v>41.428571428571431</v>
      </c>
      <c r="AQ71" s="214"/>
      <c r="AR71" s="162">
        <f t="shared" si="94"/>
        <v>0</v>
      </c>
      <c r="AS71" s="264"/>
      <c r="AT71" s="99">
        <f t="shared" si="43"/>
        <v>0</v>
      </c>
      <c r="AU71" s="214"/>
      <c r="AV71" s="115">
        <f t="shared" si="44"/>
        <v>0</v>
      </c>
      <c r="AW71" s="264"/>
      <c r="AX71" s="99">
        <f t="shared" si="45"/>
        <v>0</v>
      </c>
      <c r="AY71" s="214">
        <v>257</v>
      </c>
      <c r="AZ71" s="331">
        <v>257</v>
      </c>
      <c r="BA71" s="214">
        <v>134</v>
      </c>
      <c r="BB71" s="99">
        <f t="shared" si="46"/>
        <v>52.14007782101168</v>
      </c>
      <c r="BC71" s="210">
        <f t="shared" si="47"/>
        <v>257</v>
      </c>
      <c r="BD71" s="210">
        <f t="shared" si="48"/>
        <v>257</v>
      </c>
      <c r="BE71" s="210">
        <f t="shared" si="49"/>
        <v>134</v>
      </c>
      <c r="BF71" s="210">
        <f t="shared" si="50"/>
        <v>52.14007782101168</v>
      </c>
      <c r="BG71" s="214">
        <v>20</v>
      </c>
      <c r="BH71" s="97">
        <f t="shared" si="51"/>
        <v>20</v>
      </c>
      <c r="BI71" s="214">
        <v>10</v>
      </c>
      <c r="BJ71" s="99">
        <f t="shared" si="52"/>
        <v>50</v>
      </c>
      <c r="BK71" s="210">
        <f t="shared" si="53"/>
        <v>1661</v>
      </c>
      <c r="BL71" s="210">
        <f t="shared" si="54"/>
        <v>1661</v>
      </c>
      <c r="BM71" s="210">
        <f t="shared" si="55"/>
        <v>1485</v>
      </c>
      <c r="BN71" s="210">
        <f t="shared" si="56"/>
        <v>89.403973509933778</v>
      </c>
    </row>
    <row r="72" spans="1:66" ht="47.25" x14ac:dyDescent="0.2">
      <c r="A72" s="185" t="s">
        <v>172</v>
      </c>
      <c r="B72" s="201" t="s">
        <v>339</v>
      </c>
      <c r="C72" s="214">
        <v>632</v>
      </c>
      <c r="D72" s="97">
        <f t="shared" si="20"/>
        <v>632</v>
      </c>
      <c r="E72" s="214">
        <v>728</v>
      </c>
      <c r="F72" s="99">
        <f t="shared" si="21"/>
        <v>115.18987341772151</v>
      </c>
      <c r="G72" s="214"/>
      <c r="H72" s="97">
        <f t="shared" si="3"/>
        <v>0</v>
      </c>
      <c r="I72" s="214"/>
      <c r="J72" s="99">
        <f t="shared" si="22"/>
        <v>0</v>
      </c>
      <c r="K72" s="235">
        <f t="shared" si="23"/>
        <v>632</v>
      </c>
      <c r="L72" s="235">
        <f t="shared" si="24"/>
        <v>632</v>
      </c>
      <c r="M72" s="235">
        <f t="shared" si="25"/>
        <v>728</v>
      </c>
      <c r="N72" s="235">
        <f t="shared" si="26"/>
        <v>115.18987341772151</v>
      </c>
      <c r="O72" s="214">
        <v>160</v>
      </c>
      <c r="P72" s="97">
        <f t="shared" si="233"/>
        <v>160</v>
      </c>
      <c r="Q72" s="214">
        <v>163</v>
      </c>
      <c r="R72" s="99">
        <f t="shared" si="28"/>
        <v>101.875</v>
      </c>
      <c r="S72" s="214"/>
      <c r="T72" s="97">
        <f t="shared" si="233"/>
        <v>0</v>
      </c>
      <c r="U72" s="214"/>
      <c r="V72" s="99">
        <f t="shared" si="29"/>
        <v>0</v>
      </c>
      <c r="W72" s="210">
        <f t="shared" si="30"/>
        <v>160</v>
      </c>
      <c r="X72" s="210">
        <f t="shared" si="31"/>
        <v>160</v>
      </c>
      <c r="Y72" s="210">
        <f t="shared" si="32"/>
        <v>163</v>
      </c>
      <c r="Z72" s="210">
        <f t="shared" si="33"/>
        <v>101.875</v>
      </c>
      <c r="AA72" s="214">
        <v>60</v>
      </c>
      <c r="AB72" s="97">
        <f t="shared" si="234"/>
        <v>60</v>
      </c>
      <c r="AC72" s="214">
        <v>504</v>
      </c>
      <c r="AD72" s="99">
        <f t="shared" si="35"/>
        <v>840</v>
      </c>
      <c r="AE72" s="214">
        <v>737</v>
      </c>
      <c r="AF72" s="97">
        <f t="shared" si="234"/>
        <v>737</v>
      </c>
      <c r="AG72" s="214">
        <v>389</v>
      </c>
      <c r="AH72" s="99">
        <f t="shared" si="36"/>
        <v>52.781546811397561</v>
      </c>
      <c r="AI72" s="214"/>
      <c r="AJ72" s="97">
        <f t="shared" si="10"/>
        <v>0</v>
      </c>
      <c r="AK72" s="214"/>
      <c r="AL72" s="99">
        <f t="shared" si="37"/>
        <v>0</v>
      </c>
      <c r="AM72" s="235">
        <f t="shared" si="38"/>
        <v>737</v>
      </c>
      <c r="AN72" s="235">
        <f t="shared" si="39"/>
        <v>737</v>
      </c>
      <c r="AO72" s="235">
        <f t="shared" si="40"/>
        <v>389</v>
      </c>
      <c r="AP72" s="235">
        <f t="shared" si="41"/>
        <v>52.781546811397561</v>
      </c>
      <c r="AQ72" s="214"/>
      <c r="AR72" s="162">
        <f t="shared" si="94"/>
        <v>0</v>
      </c>
      <c r="AS72" s="264"/>
      <c r="AT72" s="99">
        <f t="shared" si="43"/>
        <v>0</v>
      </c>
      <c r="AU72" s="214"/>
      <c r="AV72" s="115">
        <f t="shared" si="44"/>
        <v>0</v>
      </c>
      <c r="AW72" s="264"/>
      <c r="AX72" s="99">
        <f t="shared" si="45"/>
        <v>0</v>
      </c>
      <c r="AY72" s="214">
        <v>811</v>
      </c>
      <c r="AZ72" s="331">
        <v>811</v>
      </c>
      <c r="BA72" s="214">
        <v>234</v>
      </c>
      <c r="BB72" s="99">
        <f t="shared" si="46"/>
        <v>28.853267570900123</v>
      </c>
      <c r="BC72" s="210">
        <f t="shared" si="47"/>
        <v>811</v>
      </c>
      <c r="BD72" s="210">
        <f t="shared" si="48"/>
        <v>811</v>
      </c>
      <c r="BE72" s="210">
        <f t="shared" si="49"/>
        <v>234</v>
      </c>
      <c r="BF72" s="210">
        <f t="shared" si="50"/>
        <v>28.853267570900123</v>
      </c>
      <c r="BG72" s="214">
        <v>17</v>
      </c>
      <c r="BH72" s="97">
        <f t="shared" si="51"/>
        <v>17</v>
      </c>
      <c r="BI72" s="214">
        <v>17</v>
      </c>
      <c r="BJ72" s="99">
        <f t="shared" si="52"/>
        <v>100</v>
      </c>
      <c r="BK72" s="210">
        <f t="shared" si="53"/>
        <v>2417</v>
      </c>
      <c r="BL72" s="210">
        <f t="shared" si="54"/>
        <v>2417</v>
      </c>
      <c r="BM72" s="210">
        <f t="shared" si="55"/>
        <v>2035</v>
      </c>
      <c r="BN72" s="210">
        <f t="shared" si="56"/>
        <v>84.195283409184938</v>
      </c>
    </row>
    <row r="73" spans="1:66" ht="94.5" x14ac:dyDescent="0.2">
      <c r="A73" s="185" t="s">
        <v>173</v>
      </c>
      <c r="B73" s="201" t="s">
        <v>339</v>
      </c>
      <c r="C73" s="214">
        <v>378</v>
      </c>
      <c r="D73" s="97">
        <f t="shared" si="20"/>
        <v>378</v>
      </c>
      <c r="E73" s="214">
        <v>0</v>
      </c>
      <c r="F73" s="99">
        <f t="shared" si="21"/>
        <v>0</v>
      </c>
      <c r="G73" s="214"/>
      <c r="H73" s="97">
        <f t="shared" si="3"/>
        <v>0</v>
      </c>
      <c r="I73" s="214"/>
      <c r="J73" s="99">
        <f t="shared" si="22"/>
        <v>0</v>
      </c>
      <c r="K73" s="235">
        <f t="shared" si="23"/>
        <v>378</v>
      </c>
      <c r="L73" s="235">
        <f t="shared" si="24"/>
        <v>378</v>
      </c>
      <c r="M73" s="235">
        <f t="shared" si="25"/>
        <v>0</v>
      </c>
      <c r="N73" s="235">
        <f t="shared" si="26"/>
        <v>0</v>
      </c>
      <c r="O73" s="214">
        <v>100</v>
      </c>
      <c r="P73" s="97">
        <f t="shared" si="233"/>
        <v>100</v>
      </c>
      <c r="Q73" s="214">
        <v>1</v>
      </c>
      <c r="R73" s="99">
        <f t="shared" si="28"/>
        <v>1</v>
      </c>
      <c r="S73" s="214"/>
      <c r="T73" s="97">
        <f t="shared" si="233"/>
        <v>0</v>
      </c>
      <c r="U73" s="214"/>
      <c r="V73" s="99">
        <f t="shared" si="29"/>
        <v>0</v>
      </c>
      <c r="W73" s="210">
        <f t="shared" si="30"/>
        <v>100</v>
      </c>
      <c r="X73" s="210">
        <f t="shared" si="31"/>
        <v>100</v>
      </c>
      <c r="Y73" s="210">
        <f t="shared" si="32"/>
        <v>1</v>
      </c>
      <c r="Z73" s="210">
        <f t="shared" si="33"/>
        <v>1</v>
      </c>
      <c r="AA73" s="214">
        <v>110</v>
      </c>
      <c r="AB73" s="97">
        <f t="shared" si="234"/>
        <v>110</v>
      </c>
      <c r="AC73" s="214">
        <v>31</v>
      </c>
      <c r="AD73" s="99">
        <f t="shared" si="35"/>
        <v>28.18181818181818</v>
      </c>
      <c r="AE73" s="214">
        <v>270</v>
      </c>
      <c r="AF73" s="97">
        <f t="shared" si="234"/>
        <v>270</v>
      </c>
      <c r="AG73" s="214">
        <v>0</v>
      </c>
      <c r="AH73" s="99">
        <f t="shared" si="36"/>
        <v>0</v>
      </c>
      <c r="AI73" s="214"/>
      <c r="AJ73" s="97">
        <f t="shared" si="10"/>
        <v>0</v>
      </c>
      <c r="AK73" s="214"/>
      <c r="AL73" s="99">
        <f t="shared" si="37"/>
        <v>0</v>
      </c>
      <c r="AM73" s="235">
        <f t="shared" si="38"/>
        <v>270</v>
      </c>
      <c r="AN73" s="235">
        <f t="shared" si="39"/>
        <v>270</v>
      </c>
      <c r="AO73" s="235">
        <f t="shared" si="40"/>
        <v>0</v>
      </c>
      <c r="AP73" s="235">
        <f t="shared" si="41"/>
        <v>0</v>
      </c>
      <c r="AQ73" s="214"/>
      <c r="AR73" s="162">
        <f t="shared" si="94"/>
        <v>0</v>
      </c>
      <c r="AS73" s="264"/>
      <c r="AT73" s="99">
        <f t="shared" si="43"/>
        <v>0</v>
      </c>
      <c r="AU73" s="214"/>
      <c r="AV73" s="115">
        <f t="shared" si="44"/>
        <v>0</v>
      </c>
      <c r="AW73" s="264"/>
      <c r="AX73" s="99">
        <f t="shared" si="45"/>
        <v>0</v>
      </c>
      <c r="AY73" s="214"/>
      <c r="AZ73" s="331"/>
      <c r="BA73" s="214">
        <v>0</v>
      </c>
      <c r="BB73" s="99">
        <f t="shared" si="46"/>
        <v>0</v>
      </c>
      <c r="BC73" s="210">
        <f t="shared" si="47"/>
        <v>0</v>
      </c>
      <c r="BD73" s="210">
        <f t="shared" si="48"/>
        <v>0</v>
      </c>
      <c r="BE73" s="210">
        <f t="shared" si="49"/>
        <v>0</v>
      </c>
      <c r="BF73" s="210">
        <f t="shared" si="50"/>
        <v>0</v>
      </c>
      <c r="BG73" s="214">
        <v>15</v>
      </c>
      <c r="BH73" s="97">
        <f t="shared" si="51"/>
        <v>15</v>
      </c>
      <c r="BI73" s="214">
        <v>0</v>
      </c>
      <c r="BJ73" s="99">
        <f t="shared" si="52"/>
        <v>0</v>
      </c>
      <c r="BK73" s="210">
        <f t="shared" si="53"/>
        <v>873</v>
      </c>
      <c r="BL73" s="210">
        <f t="shared" si="54"/>
        <v>873</v>
      </c>
      <c r="BM73" s="210">
        <f t="shared" si="55"/>
        <v>32</v>
      </c>
      <c r="BN73" s="210">
        <f t="shared" si="56"/>
        <v>3.6655211912943875</v>
      </c>
    </row>
    <row r="74" spans="1:66" ht="31.5" x14ac:dyDescent="0.2">
      <c r="A74" s="176" t="s">
        <v>174</v>
      </c>
      <c r="B74" s="197" t="s">
        <v>3</v>
      </c>
      <c r="C74" s="218">
        <f t="shared" ref="C74:D74" si="253">C75+C76+C77</f>
        <v>2476</v>
      </c>
      <c r="D74" s="218">
        <f t="shared" si="253"/>
        <v>2476</v>
      </c>
      <c r="E74" s="218">
        <f t="shared" ref="E74" si="254">E75+E76+E77</f>
        <v>391</v>
      </c>
      <c r="F74" s="179">
        <f t="shared" si="21"/>
        <v>15.791599353796446</v>
      </c>
      <c r="G74" s="218">
        <f t="shared" ref="G74" si="255">G75+G76+G77</f>
        <v>0</v>
      </c>
      <c r="H74" s="184">
        <f t="shared" si="3"/>
        <v>0</v>
      </c>
      <c r="I74" s="218">
        <f t="shared" ref="I74" si="256">I75+I76+I77</f>
        <v>0</v>
      </c>
      <c r="J74" s="179">
        <f t="shared" si="22"/>
        <v>0</v>
      </c>
      <c r="K74" s="235">
        <f t="shared" si="23"/>
        <v>2476</v>
      </c>
      <c r="L74" s="235">
        <f t="shared" si="24"/>
        <v>2476</v>
      </c>
      <c r="M74" s="235">
        <f t="shared" si="25"/>
        <v>391</v>
      </c>
      <c r="N74" s="235">
        <f t="shared" si="26"/>
        <v>15.791599353796446</v>
      </c>
      <c r="O74" s="218">
        <f t="shared" ref="O74:S74" si="257">O75+O76+O77</f>
        <v>373</v>
      </c>
      <c r="P74" s="218">
        <f t="shared" si="257"/>
        <v>373</v>
      </c>
      <c r="Q74" s="218">
        <f t="shared" ref="Q74:U74" si="258">Q75+Q76+Q77</f>
        <v>180</v>
      </c>
      <c r="R74" s="179">
        <f t="shared" si="28"/>
        <v>48.257372654155496</v>
      </c>
      <c r="S74" s="218">
        <f t="shared" si="257"/>
        <v>0</v>
      </c>
      <c r="T74" s="184">
        <f t="shared" si="233"/>
        <v>0</v>
      </c>
      <c r="U74" s="218">
        <f t="shared" si="258"/>
        <v>0</v>
      </c>
      <c r="V74" s="179">
        <f t="shared" si="29"/>
        <v>0</v>
      </c>
      <c r="W74" s="210">
        <f t="shared" si="30"/>
        <v>373</v>
      </c>
      <c r="X74" s="210">
        <f t="shared" si="31"/>
        <v>373</v>
      </c>
      <c r="Y74" s="210">
        <f t="shared" si="32"/>
        <v>180</v>
      </c>
      <c r="Z74" s="210">
        <f t="shared" si="33"/>
        <v>48.257372654155496</v>
      </c>
      <c r="AA74" s="218">
        <f t="shared" ref="AA74:AF74" si="259">AA75+AA76+AA77</f>
        <v>70</v>
      </c>
      <c r="AB74" s="218">
        <f t="shared" si="259"/>
        <v>70</v>
      </c>
      <c r="AC74" s="218">
        <f t="shared" ref="AC74:AG74" si="260">AC75+AC76+AC77</f>
        <v>1655</v>
      </c>
      <c r="AD74" s="179">
        <f t="shared" si="35"/>
        <v>2364.2857142857142</v>
      </c>
      <c r="AE74" s="218">
        <f t="shared" si="259"/>
        <v>1140</v>
      </c>
      <c r="AF74" s="218">
        <f t="shared" si="259"/>
        <v>1140</v>
      </c>
      <c r="AG74" s="218">
        <f t="shared" si="260"/>
        <v>1096</v>
      </c>
      <c r="AH74" s="179">
        <f t="shared" si="36"/>
        <v>96.140350877192986</v>
      </c>
      <c r="AI74" s="218">
        <f t="shared" ref="AI74" si="261">AI75+AI76+AI77</f>
        <v>0</v>
      </c>
      <c r="AJ74" s="184">
        <f t="shared" si="10"/>
        <v>0</v>
      </c>
      <c r="AK74" s="218">
        <f t="shared" ref="AK74" si="262">AK75+AK76+AK77</f>
        <v>0</v>
      </c>
      <c r="AL74" s="179">
        <f t="shared" si="37"/>
        <v>0</v>
      </c>
      <c r="AM74" s="235">
        <f t="shared" si="38"/>
        <v>1140</v>
      </c>
      <c r="AN74" s="235">
        <f t="shared" si="39"/>
        <v>1140</v>
      </c>
      <c r="AO74" s="235">
        <f t="shared" si="40"/>
        <v>1096</v>
      </c>
      <c r="AP74" s="235">
        <f t="shared" si="41"/>
        <v>96.140350877192986</v>
      </c>
      <c r="AQ74" s="218">
        <f t="shared" ref="AQ74" si="263">AQ75+AQ76+AQ77</f>
        <v>0</v>
      </c>
      <c r="AR74" s="162">
        <f t="shared" si="94"/>
        <v>0</v>
      </c>
      <c r="AS74" s="264">
        <f t="shared" ref="AS74" si="264">AS75+AS76+AS77</f>
        <v>0</v>
      </c>
      <c r="AT74" s="179">
        <f t="shared" si="43"/>
        <v>0</v>
      </c>
      <c r="AU74" s="218">
        <f t="shared" ref="AU74" si="265">AU75+AU76+AU77</f>
        <v>0</v>
      </c>
      <c r="AV74" s="115">
        <f t="shared" si="44"/>
        <v>0</v>
      </c>
      <c r="AW74" s="264">
        <f t="shared" ref="AW74" si="266">AW75+AW76+AW77</f>
        <v>0</v>
      </c>
      <c r="AX74" s="179">
        <f t="shared" si="45"/>
        <v>0</v>
      </c>
      <c r="AY74" s="218">
        <f t="shared" ref="AY74:AZ74" si="267">AY75+AY76+AY77</f>
        <v>196</v>
      </c>
      <c r="AZ74" s="218">
        <f t="shared" si="267"/>
        <v>196</v>
      </c>
      <c r="BA74" s="218">
        <f t="shared" ref="BA74" si="268">BA75+BA76+BA77</f>
        <v>318</v>
      </c>
      <c r="BB74" s="179">
        <f t="shared" si="46"/>
        <v>162.24489795918367</v>
      </c>
      <c r="BC74" s="210">
        <f t="shared" si="47"/>
        <v>196</v>
      </c>
      <c r="BD74" s="210">
        <f t="shared" si="48"/>
        <v>196</v>
      </c>
      <c r="BE74" s="210">
        <f t="shared" si="49"/>
        <v>318</v>
      </c>
      <c r="BF74" s="210">
        <f t="shared" si="50"/>
        <v>162.24489795918367</v>
      </c>
      <c r="BG74" s="218">
        <f t="shared" ref="BG74:BH74" si="269">BG75+BG76+BG77</f>
        <v>787</v>
      </c>
      <c r="BH74" s="218">
        <f t="shared" si="269"/>
        <v>787</v>
      </c>
      <c r="BI74" s="218">
        <f t="shared" ref="BI74" si="270">BI75+BI76+BI77</f>
        <v>0</v>
      </c>
      <c r="BJ74" s="179">
        <f t="shared" si="52"/>
        <v>0</v>
      </c>
      <c r="BK74" s="210">
        <f t="shared" si="53"/>
        <v>5042</v>
      </c>
      <c r="BL74" s="210">
        <f t="shared" si="54"/>
        <v>5042</v>
      </c>
      <c r="BM74" s="210">
        <f t="shared" si="55"/>
        <v>3640</v>
      </c>
      <c r="BN74" s="210">
        <f t="shared" si="56"/>
        <v>72.193573978579934</v>
      </c>
    </row>
    <row r="75" spans="1:66" ht="31.5" x14ac:dyDescent="0.2">
      <c r="A75" s="185" t="s">
        <v>175</v>
      </c>
      <c r="B75" s="201" t="s">
        <v>339</v>
      </c>
      <c r="C75" s="214">
        <v>761</v>
      </c>
      <c r="D75" s="97">
        <f t="shared" si="20"/>
        <v>761</v>
      </c>
      <c r="E75" s="214">
        <v>155</v>
      </c>
      <c r="F75" s="99">
        <f t="shared" si="21"/>
        <v>20.367936925098554</v>
      </c>
      <c r="G75" s="214"/>
      <c r="H75" s="97">
        <f t="shared" si="3"/>
        <v>0</v>
      </c>
      <c r="I75" s="214"/>
      <c r="J75" s="99">
        <f t="shared" si="22"/>
        <v>0</v>
      </c>
      <c r="K75" s="235">
        <f t="shared" si="23"/>
        <v>761</v>
      </c>
      <c r="L75" s="235">
        <f t="shared" si="24"/>
        <v>761</v>
      </c>
      <c r="M75" s="235">
        <f t="shared" si="25"/>
        <v>155</v>
      </c>
      <c r="N75" s="235">
        <f t="shared" si="26"/>
        <v>20.367936925098554</v>
      </c>
      <c r="O75" s="214">
        <v>150</v>
      </c>
      <c r="P75" s="97">
        <f t="shared" si="233"/>
        <v>150</v>
      </c>
      <c r="Q75" s="214">
        <v>95</v>
      </c>
      <c r="R75" s="99">
        <f t="shared" si="28"/>
        <v>63.333333333333329</v>
      </c>
      <c r="S75" s="214"/>
      <c r="T75" s="97">
        <f t="shared" si="233"/>
        <v>0</v>
      </c>
      <c r="U75" s="214"/>
      <c r="V75" s="99">
        <f t="shared" si="29"/>
        <v>0</v>
      </c>
      <c r="W75" s="210">
        <f t="shared" si="30"/>
        <v>150</v>
      </c>
      <c r="X75" s="210">
        <f t="shared" si="31"/>
        <v>150</v>
      </c>
      <c r="Y75" s="210">
        <f t="shared" si="32"/>
        <v>95</v>
      </c>
      <c r="Z75" s="210">
        <f t="shared" si="33"/>
        <v>63.333333333333329</v>
      </c>
      <c r="AA75" s="214">
        <v>25</v>
      </c>
      <c r="AB75" s="97">
        <f t="shared" si="234"/>
        <v>25</v>
      </c>
      <c r="AC75" s="214">
        <v>510</v>
      </c>
      <c r="AD75" s="99">
        <f t="shared" si="35"/>
        <v>2039.9999999999998</v>
      </c>
      <c r="AE75" s="214">
        <v>390</v>
      </c>
      <c r="AF75" s="97">
        <f t="shared" si="234"/>
        <v>390</v>
      </c>
      <c r="AG75" s="214">
        <v>300</v>
      </c>
      <c r="AH75" s="99">
        <f t="shared" si="36"/>
        <v>76.923076923076934</v>
      </c>
      <c r="AI75" s="214"/>
      <c r="AJ75" s="97">
        <f t="shared" si="10"/>
        <v>0</v>
      </c>
      <c r="AK75" s="214"/>
      <c r="AL75" s="99">
        <f t="shared" si="37"/>
        <v>0</v>
      </c>
      <c r="AM75" s="235">
        <f t="shared" si="38"/>
        <v>390</v>
      </c>
      <c r="AN75" s="235">
        <f t="shared" si="39"/>
        <v>390</v>
      </c>
      <c r="AO75" s="235">
        <f t="shared" si="40"/>
        <v>300</v>
      </c>
      <c r="AP75" s="235">
        <f t="shared" si="41"/>
        <v>76.923076923076934</v>
      </c>
      <c r="AQ75" s="214"/>
      <c r="AR75" s="162">
        <f t="shared" si="94"/>
        <v>0</v>
      </c>
      <c r="AS75" s="264"/>
      <c r="AT75" s="99">
        <f t="shared" si="43"/>
        <v>0</v>
      </c>
      <c r="AU75" s="214"/>
      <c r="AV75" s="115">
        <f t="shared" si="44"/>
        <v>0</v>
      </c>
      <c r="AW75" s="264"/>
      <c r="AX75" s="99">
        <f t="shared" si="45"/>
        <v>0</v>
      </c>
      <c r="AY75" s="214">
        <v>60</v>
      </c>
      <c r="AZ75" s="331">
        <v>60</v>
      </c>
      <c r="BA75" s="214">
        <v>42</v>
      </c>
      <c r="BB75" s="99">
        <f t="shared" si="46"/>
        <v>70</v>
      </c>
      <c r="BC75" s="210">
        <f t="shared" si="47"/>
        <v>60</v>
      </c>
      <c r="BD75" s="210">
        <f t="shared" si="48"/>
        <v>60</v>
      </c>
      <c r="BE75" s="210">
        <f t="shared" si="49"/>
        <v>42</v>
      </c>
      <c r="BF75" s="210">
        <f t="shared" si="50"/>
        <v>70</v>
      </c>
      <c r="BG75" s="214">
        <v>233</v>
      </c>
      <c r="BH75" s="97">
        <f t="shared" si="51"/>
        <v>233</v>
      </c>
      <c r="BI75" s="214"/>
      <c r="BJ75" s="99">
        <f t="shared" si="52"/>
        <v>0</v>
      </c>
      <c r="BK75" s="210">
        <f t="shared" si="53"/>
        <v>1619</v>
      </c>
      <c r="BL75" s="210">
        <f t="shared" si="54"/>
        <v>1619</v>
      </c>
      <c r="BM75" s="210">
        <f t="shared" si="55"/>
        <v>1102</v>
      </c>
      <c r="BN75" s="210">
        <f t="shared" si="56"/>
        <v>68.066707844348358</v>
      </c>
    </row>
    <row r="76" spans="1:66" ht="47.25" x14ac:dyDescent="0.2">
      <c r="A76" s="185" t="s">
        <v>176</v>
      </c>
      <c r="B76" s="201" t="s">
        <v>339</v>
      </c>
      <c r="C76" s="214">
        <v>1715</v>
      </c>
      <c r="D76" s="97">
        <f t="shared" si="20"/>
        <v>1715</v>
      </c>
      <c r="E76" s="214">
        <v>236</v>
      </c>
      <c r="F76" s="99">
        <f t="shared" si="21"/>
        <v>13.760932944606413</v>
      </c>
      <c r="G76" s="214"/>
      <c r="H76" s="97">
        <f t="shared" si="3"/>
        <v>0</v>
      </c>
      <c r="I76" s="214"/>
      <c r="J76" s="99">
        <f t="shared" si="22"/>
        <v>0</v>
      </c>
      <c r="K76" s="235">
        <f t="shared" si="23"/>
        <v>1715</v>
      </c>
      <c r="L76" s="235">
        <f t="shared" si="24"/>
        <v>1715</v>
      </c>
      <c r="M76" s="235">
        <f t="shared" si="25"/>
        <v>236</v>
      </c>
      <c r="N76" s="235">
        <f t="shared" si="26"/>
        <v>13.760932944606413</v>
      </c>
      <c r="O76" s="214">
        <v>160</v>
      </c>
      <c r="P76" s="97">
        <f t="shared" si="233"/>
        <v>160</v>
      </c>
      <c r="Q76" s="214">
        <v>85</v>
      </c>
      <c r="R76" s="99">
        <f t="shared" si="28"/>
        <v>53.125</v>
      </c>
      <c r="S76" s="214"/>
      <c r="T76" s="97">
        <f t="shared" si="233"/>
        <v>0</v>
      </c>
      <c r="U76" s="214"/>
      <c r="V76" s="99">
        <f t="shared" si="29"/>
        <v>0</v>
      </c>
      <c r="W76" s="210">
        <f t="shared" si="30"/>
        <v>160</v>
      </c>
      <c r="X76" s="210">
        <f t="shared" si="31"/>
        <v>160</v>
      </c>
      <c r="Y76" s="210">
        <f t="shared" si="32"/>
        <v>85</v>
      </c>
      <c r="Z76" s="210">
        <f t="shared" si="33"/>
        <v>53.125</v>
      </c>
      <c r="AA76" s="214">
        <v>35</v>
      </c>
      <c r="AB76" s="97">
        <f t="shared" si="234"/>
        <v>35</v>
      </c>
      <c r="AC76" s="214">
        <v>1070</v>
      </c>
      <c r="AD76" s="99">
        <f t="shared" si="35"/>
        <v>3057.1428571428573</v>
      </c>
      <c r="AE76" s="214">
        <v>750</v>
      </c>
      <c r="AF76" s="97">
        <f t="shared" si="234"/>
        <v>750</v>
      </c>
      <c r="AG76" s="214">
        <v>796</v>
      </c>
      <c r="AH76" s="99">
        <f t="shared" si="36"/>
        <v>106.13333333333333</v>
      </c>
      <c r="AI76" s="214"/>
      <c r="AJ76" s="97">
        <f t="shared" si="10"/>
        <v>0</v>
      </c>
      <c r="AK76" s="214"/>
      <c r="AL76" s="99">
        <f t="shared" si="37"/>
        <v>0</v>
      </c>
      <c r="AM76" s="235">
        <f t="shared" si="38"/>
        <v>750</v>
      </c>
      <c r="AN76" s="235">
        <f t="shared" si="39"/>
        <v>750</v>
      </c>
      <c r="AO76" s="235">
        <f t="shared" si="40"/>
        <v>796</v>
      </c>
      <c r="AP76" s="235">
        <f t="shared" si="41"/>
        <v>106.13333333333333</v>
      </c>
      <c r="AQ76" s="214"/>
      <c r="AR76" s="162">
        <f t="shared" si="94"/>
        <v>0</v>
      </c>
      <c r="AS76" s="264"/>
      <c r="AT76" s="99">
        <f t="shared" si="43"/>
        <v>0</v>
      </c>
      <c r="AU76" s="214"/>
      <c r="AV76" s="115">
        <f t="shared" si="44"/>
        <v>0</v>
      </c>
      <c r="AW76" s="264"/>
      <c r="AX76" s="99">
        <f t="shared" si="45"/>
        <v>0</v>
      </c>
      <c r="AY76" s="214">
        <v>84</v>
      </c>
      <c r="AZ76" s="331">
        <v>84</v>
      </c>
      <c r="BA76" s="214">
        <v>274</v>
      </c>
      <c r="BB76" s="99">
        <f t="shared" si="46"/>
        <v>326.1904761904762</v>
      </c>
      <c r="BC76" s="210">
        <f t="shared" si="47"/>
        <v>84</v>
      </c>
      <c r="BD76" s="210">
        <f t="shared" si="48"/>
        <v>84</v>
      </c>
      <c r="BE76" s="210">
        <f t="shared" si="49"/>
        <v>274</v>
      </c>
      <c r="BF76" s="210">
        <f t="shared" si="50"/>
        <v>326.1904761904762</v>
      </c>
      <c r="BG76" s="214">
        <v>554</v>
      </c>
      <c r="BH76" s="97">
        <f t="shared" si="51"/>
        <v>554</v>
      </c>
      <c r="BI76" s="214"/>
      <c r="BJ76" s="99">
        <f t="shared" si="52"/>
        <v>0</v>
      </c>
      <c r="BK76" s="210">
        <f t="shared" si="53"/>
        <v>3298</v>
      </c>
      <c r="BL76" s="210">
        <f t="shared" si="54"/>
        <v>3298</v>
      </c>
      <c r="BM76" s="210">
        <f t="shared" si="55"/>
        <v>2461</v>
      </c>
      <c r="BN76" s="210">
        <f t="shared" si="56"/>
        <v>74.620982413583988</v>
      </c>
    </row>
    <row r="77" spans="1:66" ht="94.5" x14ac:dyDescent="0.2">
      <c r="A77" s="185" t="s">
        <v>177</v>
      </c>
      <c r="B77" s="201" t="s">
        <v>339</v>
      </c>
      <c r="C77" s="214"/>
      <c r="D77" s="97">
        <f t="shared" si="20"/>
        <v>0</v>
      </c>
      <c r="E77" s="214">
        <v>0</v>
      </c>
      <c r="F77" s="99">
        <f t="shared" si="21"/>
        <v>0</v>
      </c>
      <c r="G77" s="214"/>
      <c r="H77" s="97">
        <f t="shared" si="3"/>
        <v>0</v>
      </c>
      <c r="I77" s="214"/>
      <c r="J77" s="99">
        <f t="shared" si="22"/>
        <v>0</v>
      </c>
      <c r="K77" s="235">
        <f t="shared" si="23"/>
        <v>0</v>
      </c>
      <c r="L77" s="235">
        <f t="shared" si="24"/>
        <v>0</v>
      </c>
      <c r="M77" s="235">
        <f t="shared" si="25"/>
        <v>0</v>
      </c>
      <c r="N77" s="235">
        <f t="shared" si="26"/>
        <v>0</v>
      </c>
      <c r="O77" s="214">
        <v>63</v>
      </c>
      <c r="P77" s="97">
        <f t="shared" si="233"/>
        <v>63</v>
      </c>
      <c r="Q77" s="214">
        <v>0</v>
      </c>
      <c r="R77" s="99">
        <f t="shared" si="28"/>
        <v>0</v>
      </c>
      <c r="S77" s="214"/>
      <c r="T77" s="97">
        <f t="shared" si="233"/>
        <v>0</v>
      </c>
      <c r="U77" s="214"/>
      <c r="V77" s="99">
        <f t="shared" si="29"/>
        <v>0</v>
      </c>
      <c r="W77" s="210">
        <f t="shared" si="30"/>
        <v>63</v>
      </c>
      <c r="X77" s="210">
        <f t="shared" si="31"/>
        <v>63</v>
      </c>
      <c r="Y77" s="210">
        <f t="shared" si="32"/>
        <v>0</v>
      </c>
      <c r="Z77" s="210">
        <f t="shared" si="33"/>
        <v>0</v>
      </c>
      <c r="AA77" s="214">
        <v>10</v>
      </c>
      <c r="AB77" s="97">
        <f t="shared" si="234"/>
        <v>10</v>
      </c>
      <c r="AC77" s="214">
        <v>75</v>
      </c>
      <c r="AD77" s="99">
        <f t="shared" si="35"/>
        <v>750</v>
      </c>
      <c r="AE77" s="214">
        <v>0</v>
      </c>
      <c r="AF77" s="97">
        <f t="shared" si="234"/>
        <v>0</v>
      </c>
      <c r="AG77" s="214">
        <v>0</v>
      </c>
      <c r="AH77" s="99">
        <f t="shared" si="36"/>
        <v>0</v>
      </c>
      <c r="AI77" s="214"/>
      <c r="AJ77" s="97">
        <f t="shared" si="10"/>
        <v>0</v>
      </c>
      <c r="AK77" s="214"/>
      <c r="AL77" s="99">
        <f t="shared" si="37"/>
        <v>0</v>
      </c>
      <c r="AM77" s="235">
        <f t="shared" si="38"/>
        <v>0</v>
      </c>
      <c r="AN77" s="235">
        <f t="shared" si="39"/>
        <v>0</v>
      </c>
      <c r="AO77" s="235">
        <f t="shared" si="40"/>
        <v>0</v>
      </c>
      <c r="AP77" s="235">
        <f t="shared" si="41"/>
        <v>0</v>
      </c>
      <c r="AQ77" s="214"/>
      <c r="AR77" s="162">
        <f t="shared" si="94"/>
        <v>0</v>
      </c>
      <c r="AS77" s="264"/>
      <c r="AT77" s="99">
        <f t="shared" si="43"/>
        <v>0</v>
      </c>
      <c r="AU77" s="214"/>
      <c r="AV77" s="115">
        <f t="shared" si="44"/>
        <v>0</v>
      </c>
      <c r="AW77" s="264"/>
      <c r="AX77" s="99">
        <f t="shared" si="45"/>
        <v>0</v>
      </c>
      <c r="AY77" s="214">
        <v>52</v>
      </c>
      <c r="AZ77" s="331">
        <v>52</v>
      </c>
      <c r="BA77" s="214">
        <v>2</v>
      </c>
      <c r="BB77" s="99">
        <f t="shared" si="46"/>
        <v>3.8461538461538463</v>
      </c>
      <c r="BC77" s="210">
        <f t="shared" si="47"/>
        <v>52</v>
      </c>
      <c r="BD77" s="210">
        <f t="shared" si="48"/>
        <v>52</v>
      </c>
      <c r="BE77" s="210">
        <f t="shared" si="49"/>
        <v>2</v>
      </c>
      <c r="BF77" s="210">
        <f t="shared" si="50"/>
        <v>3.8461538461538463</v>
      </c>
      <c r="BG77" s="214">
        <v>0</v>
      </c>
      <c r="BH77" s="97">
        <f t="shared" si="51"/>
        <v>0</v>
      </c>
      <c r="BI77" s="214"/>
      <c r="BJ77" s="99">
        <f t="shared" si="52"/>
        <v>0</v>
      </c>
      <c r="BK77" s="210">
        <f t="shared" si="53"/>
        <v>125</v>
      </c>
      <c r="BL77" s="210">
        <f t="shared" si="54"/>
        <v>125</v>
      </c>
      <c r="BM77" s="210">
        <f t="shared" si="55"/>
        <v>77</v>
      </c>
      <c r="BN77" s="210">
        <f t="shared" si="56"/>
        <v>61.6</v>
      </c>
    </row>
    <row r="78" spans="1:66" ht="15.75" x14ac:dyDescent="0.25">
      <c r="A78" s="173" t="s">
        <v>178</v>
      </c>
      <c r="B78" s="201" t="s">
        <v>339</v>
      </c>
      <c r="C78" s="214"/>
      <c r="D78" s="97">
        <f t="shared" ref="D78:D88" si="271">ROUND(C78/12*$A$7,0)</f>
        <v>0</v>
      </c>
      <c r="E78" s="214"/>
      <c r="F78" s="99">
        <f t="shared" si="21"/>
        <v>0</v>
      </c>
      <c r="G78" s="214"/>
      <c r="H78" s="97">
        <f t="shared" ref="H78:H88" si="272">ROUND(G78/12*$A$7,0)</f>
        <v>0</v>
      </c>
      <c r="I78" s="214"/>
      <c r="J78" s="99">
        <f t="shared" si="22"/>
        <v>0</v>
      </c>
      <c r="K78" s="235">
        <f t="shared" si="23"/>
        <v>0</v>
      </c>
      <c r="L78" s="235">
        <f t="shared" si="24"/>
        <v>0</v>
      </c>
      <c r="M78" s="235">
        <f t="shared" si="25"/>
        <v>0</v>
      </c>
      <c r="N78" s="235">
        <f t="shared" si="26"/>
        <v>0</v>
      </c>
      <c r="O78" s="214"/>
      <c r="P78" s="97">
        <f t="shared" ref="P78:T88" si="273">ROUND(O78/12*$A$7,0)</f>
        <v>0</v>
      </c>
      <c r="Q78" s="214"/>
      <c r="R78" s="99">
        <f t="shared" si="28"/>
        <v>0</v>
      </c>
      <c r="S78" s="214"/>
      <c r="T78" s="97">
        <f t="shared" si="273"/>
        <v>0</v>
      </c>
      <c r="U78" s="214"/>
      <c r="V78" s="99">
        <f t="shared" si="29"/>
        <v>0</v>
      </c>
      <c r="W78" s="210">
        <f t="shared" si="30"/>
        <v>0</v>
      </c>
      <c r="X78" s="210">
        <f t="shared" si="31"/>
        <v>0</v>
      </c>
      <c r="Y78" s="210">
        <f t="shared" si="32"/>
        <v>0</v>
      </c>
      <c r="Z78" s="210">
        <f t="shared" si="33"/>
        <v>0</v>
      </c>
      <c r="AA78" s="214"/>
      <c r="AB78" s="97">
        <f t="shared" ref="AB78:AF88" si="274">ROUND(AA78/12*$A$7,0)</f>
        <v>0</v>
      </c>
      <c r="AC78" s="214"/>
      <c r="AD78" s="99">
        <f t="shared" si="35"/>
        <v>0</v>
      </c>
      <c r="AE78" s="214"/>
      <c r="AF78" s="97">
        <f t="shared" si="274"/>
        <v>0</v>
      </c>
      <c r="AG78" s="214"/>
      <c r="AH78" s="99">
        <f t="shared" si="36"/>
        <v>0</v>
      </c>
      <c r="AI78" s="214">
        <v>6000</v>
      </c>
      <c r="AJ78" s="97">
        <f t="shared" ref="AJ78:AJ88" si="275">ROUND(AI78/12*$A$7,0)</f>
        <v>6000</v>
      </c>
      <c r="AK78" s="214">
        <v>7355</v>
      </c>
      <c r="AL78" s="99">
        <f t="shared" si="37"/>
        <v>122.58333333333333</v>
      </c>
      <c r="AM78" s="235">
        <f t="shared" si="38"/>
        <v>6000</v>
      </c>
      <c r="AN78" s="235">
        <f t="shared" si="39"/>
        <v>6000</v>
      </c>
      <c r="AO78" s="235">
        <f t="shared" si="40"/>
        <v>7355</v>
      </c>
      <c r="AP78" s="235">
        <f t="shared" si="41"/>
        <v>122.58333333333333</v>
      </c>
      <c r="AQ78" s="214"/>
      <c r="AR78" s="162">
        <f t="shared" si="94"/>
        <v>0</v>
      </c>
      <c r="AS78" s="264"/>
      <c r="AT78" s="99">
        <f t="shared" si="43"/>
        <v>0</v>
      </c>
      <c r="AU78" s="214"/>
      <c r="AV78" s="115">
        <f t="shared" si="44"/>
        <v>0</v>
      </c>
      <c r="AW78" s="264"/>
      <c r="AX78" s="99">
        <f t="shared" si="45"/>
        <v>0</v>
      </c>
      <c r="AY78" s="214"/>
      <c r="AZ78" s="115">
        <f t="shared" ref="AZ78:AZ88" si="276">AY78/11*2</f>
        <v>0</v>
      </c>
      <c r="BA78" s="214"/>
      <c r="BB78" s="99">
        <f t="shared" si="46"/>
        <v>0</v>
      </c>
      <c r="BC78" s="210">
        <f t="shared" si="47"/>
        <v>0</v>
      </c>
      <c r="BD78" s="210">
        <f t="shared" si="48"/>
        <v>0</v>
      </c>
      <c r="BE78" s="210">
        <f t="shared" si="49"/>
        <v>0</v>
      </c>
      <c r="BF78" s="210">
        <f t="shared" si="50"/>
        <v>0</v>
      </c>
      <c r="BG78" s="214"/>
      <c r="BH78" s="97">
        <f t="shared" ref="BH78:BH88" si="277">ROUND(BG78/12*$A$7,0)</f>
        <v>0</v>
      </c>
      <c r="BI78" s="214"/>
      <c r="BJ78" s="99">
        <f t="shared" si="52"/>
        <v>0</v>
      </c>
      <c r="BK78" s="210">
        <f t="shared" si="53"/>
        <v>6000</v>
      </c>
      <c r="BL78" s="210">
        <f t="shared" si="54"/>
        <v>6000</v>
      </c>
      <c r="BM78" s="210">
        <f t="shared" si="55"/>
        <v>7355</v>
      </c>
      <c r="BN78" s="210">
        <f t="shared" si="56"/>
        <v>122.58333333333333</v>
      </c>
    </row>
    <row r="79" spans="1:66" ht="15.75" x14ac:dyDescent="0.25">
      <c r="A79" s="174" t="s">
        <v>131</v>
      </c>
      <c r="B79" s="202"/>
      <c r="C79" s="216"/>
      <c r="D79" s="162">
        <f t="shared" si="271"/>
        <v>0</v>
      </c>
      <c r="E79" s="216"/>
      <c r="F79" s="163">
        <f t="shared" ref="F79:F89" si="278">IF(D79=0,0,E79/D79*100)</f>
        <v>0</v>
      </c>
      <c r="G79" s="216"/>
      <c r="H79" s="162">
        <f t="shared" si="272"/>
        <v>0</v>
      </c>
      <c r="I79" s="216"/>
      <c r="J79" s="163">
        <f t="shared" ref="J79:J89" si="279">IF(H79=0,0,I79/H79*100)</f>
        <v>0</v>
      </c>
      <c r="K79" s="235">
        <f t="shared" ref="K79:K89" si="280">G79+C79</f>
        <v>0</v>
      </c>
      <c r="L79" s="235">
        <f t="shared" ref="L79:L89" si="281">H79+D79</f>
        <v>0</v>
      </c>
      <c r="M79" s="235">
        <f t="shared" ref="M79:M89" si="282">I79+E79</f>
        <v>0</v>
      </c>
      <c r="N79" s="235">
        <f t="shared" ref="N79:N89" si="283">IF(L79=0,0,M79/L79*100)</f>
        <v>0</v>
      </c>
      <c r="O79" s="216"/>
      <c r="P79" s="162">
        <f t="shared" si="273"/>
        <v>0</v>
      </c>
      <c r="Q79" s="216"/>
      <c r="R79" s="163">
        <f t="shared" ref="R79:R89" si="284">IF(P79=0,0,Q79/P79*100)</f>
        <v>0</v>
      </c>
      <c r="S79" s="216"/>
      <c r="T79" s="162">
        <f t="shared" si="273"/>
        <v>0</v>
      </c>
      <c r="U79" s="216"/>
      <c r="V79" s="163">
        <f t="shared" ref="V79:V89" si="285">IF(T79=0,0,U79/T79*100)</f>
        <v>0</v>
      </c>
      <c r="W79" s="210">
        <f t="shared" ref="W79:W89" si="286">S79+O79</f>
        <v>0</v>
      </c>
      <c r="X79" s="210">
        <f t="shared" ref="X79:X89" si="287">T79+P79</f>
        <v>0</v>
      </c>
      <c r="Y79" s="210">
        <f t="shared" ref="Y79:Y89" si="288">U79+Q79</f>
        <v>0</v>
      </c>
      <c r="Z79" s="210">
        <f t="shared" ref="Z79:Z89" si="289">IF(X79=0,0,Y79/X79*100)</f>
        <v>0</v>
      </c>
      <c r="AA79" s="216"/>
      <c r="AB79" s="162">
        <f t="shared" si="274"/>
        <v>0</v>
      </c>
      <c r="AC79" s="216"/>
      <c r="AD79" s="163">
        <f t="shared" ref="AD79:AD89" si="290">IF(AB79=0,0,AC79/AB79*100)</f>
        <v>0</v>
      </c>
      <c r="AE79" s="216"/>
      <c r="AF79" s="162">
        <f t="shared" si="274"/>
        <v>0</v>
      </c>
      <c r="AG79" s="216"/>
      <c r="AH79" s="163">
        <f t="shared" ref="AH79:AH89" si="291">IF(AF79=0,0,AG79/AF79*100)</f>
        <v>0</v>
      </c>
      <c r="AI79" s="216"/>
      <c r="AJ79" s="162">
        <f t="shared" si="275"/>
        <v>0</v>
      </c>
      <c r="AK79" s="216"/>
      <c r="AL79" s="163">
        <f t="shared" ref="AL79:AL89" si="292">IF(AJ79=0,0,AK79/AJ79*100)</f>
        <v>0</v>
      </c>
      <c r="AM79" s="235">
        <f t="shared" ref="AM79:AM89" si="293">SUM(AI79,AE79)</f>
        <v>0</v>
      </c>
      <c r="AN79" s="235">
        <f t="shared" ref="AN79:AN89" si="294">SUM(AJ79,AF79)</f>
        <v>0</v>
      </c>
      <c r="AO79" s="235">
        <f t="shared" ref="AO79:AO89" si="295">SUM(AK79,AG79)</f>
        <v>0</v>
      </c>
      <c r="AP79" s="235">
        <f t="shared" ref="AP79:AP89" si="296">IF(AN79=0,0,AO79/AN79*100)</f>
        <v>0</v>
      </c>
      <c r="AQ79" s="216"/>
      <c r="AR79" s="162">
        <f t="shared" si="94"/>
        <v>0</v>
      </c>
      <c r="AS79" s="264"/>
      <c r="AT79" s="163">
        <f t="shared" ref="AT79:AT89" si="297">IF(AR79=0,0,AS79/AR79*100)</f>
        <v>0</v>
      </c>
      <c r="AU79" s="216"/>
      <c r="AV79" s="115">
        <f t="shared" ref="AV79:AV88" si="298">AU79</f>
        <v>0</v>
      </c>
      <c r="AW79" s="264"/>
      <c r="AX79" s="163">
        <f t="shared" ref="AX79:AX89" si="299">IF(AV79=0,0,AW79/AV79*100)</f>
        <v>0</v>
      </c>
      <c r="AY79" s="216"/>
      <c r="AZ79" s="115">
        <f t="shared" si="276"/>
        <v>0</v>
      </c>
      <c r="BA79" s="216"/>
      <c r="BB79" s="163">
        <f t="shared" ref="BB79:BB89" si="300">IF(AZ79=0,0,BA79/AZ79*100)</f>
        <v>0</v>
      </c>
      <c r="BC79" s="210">
        <f t="shared" ref="BC79:BC89" si="301">AU79+AQ79+AY79</f>
        <v>0</v>
      </c>
      <c r="BD79" s="210">
        <f t="shared" ref="BD79:BD89" si="302">AV79+AR79+AZ79</f>
        <v>0</v>
      </c>
      <c r="BE79" s="210">
        <f t="shared" ref="BE79:BE89" si="303">AW79+AS79+BA79</f>
        <v>0</v>
      </c>
      <c r="BF79" s="210">
        <f t="shared" ref="BF79:BF89" si="304">IF(BD79=0,0,BE79/BD79*100)</f>
        <v>0</v>
      </c>
      <c r="BG79" s="216"/>
      <c r="BH79" s="162">
        <f t="shared" si="277"/>
        <v>0</v>
      </c>
      <c r="BI79" s="216"/>
      <c r="BJ79" s="163">
        <f t="shared" ref="BJ79:BJ89" si="305">IF(BH79=0,0,BI79/BH79*100)</f>
        <v>0</v>
      </c>
      <c r="BK79" s="210">
        <f t="shared" ref="BK79:BK89" si="306">SUM(BG79,BC79,AM79,AA79,W79,K79)</f>
        <v>0</v>
      </c>
      <c r="BL79" s="210">
        <f t="shared" ref="BL79:BL89" si="307">SUM(BH79,BD79,AN79,AB79,X79,L79)</f>
        <v>0</v>
      </c>
      <c r="BM79" s="210">
        <f t="shared" ref="BM79:BM89" si="308">SUM(BI79,BE79,AO79,AC79,Y79,M79)</f>
        <v>0</v>
      </c>
      <c r="BN79" s="210">
        <f t="shared" ref="BN79:BN89" si="309">IF(BL79=0,0,BM79/BL79*100)</f>
        <v>0</v>
      </c>
    </row>
    <row r="80" spans="1:66" ht="31.5" x14ac:dyDescent="0.25">
      <c r="A80" s="174" t="s">
        <v>134</v>
      </c>
      <c r="B80" s="197" t="s">
        <v>3</v>
      </c>
      <c r="C80" s="216"/>
      <c r="D80" s="162">
        <f t="shared" si="271"/>
        <v>0</v>
      </c>
      <c r="E80" s="216"/>
      <c r="F80" s="163">
        <f t="shared" si="278"/>
        <v>0</v>
      </c>
      <c r="G80" s="216"/>
      <c r="H80" s="162">
        <f t="shared" si="272"/>
        <v>0</v>
      </c>
      <c r="I80" s="216"/>
      <c r="J80" s="163">
        <f t="shared" si="279"/>
        <v>0</v>
      </c>
      <c r="K80" s="235">
        <f t="shared" si="280"/>
        <v>0</v>
      </c>
      <c r="L80" s="235">
        <f t="shared" si="281"/>
        <v>0</v>
      </c>
      <c r="M80" s="235">
        <f t="shared" si="282"/>
        <v>0</v>
      </c>
      <c r="N80" s="235">
        <f t="shared" si="283"/>
        <v>0</v>
      </c>
      <c r="O80" s="216"/>
      <c r="P80" s="162">
        <f t="shared" si="273"/>
        <v>0</v>
      </c>
      <c r="Q80" s="216"/>
      <c r="R80" s="163">
        <f t="shared" si="284"/>
        <v>0</v>
      </c>
      <c r="S80" s="216"/>
      <c r="T80" s="162">
        <f t="shared" si="273"/>
        <v>0</v>
      </c>
      <c r="U80" s="216"/>
      <c r="V80" s="163">
        <f t="shared" si="285"/>
        <v>0</v>
      </c>
      <c r="W80" s="210">
        <f t="shared" si="286"/>
        <v>0</v>
      </c>
      <c r="X80" s="210">
        <f t="shared" si="287"/>
        <v>0</v>
      </c>
      <c r="Y80" s="210">
        <f t="shared" si="288"/>
        <v>0</v>
      </c>
      <c r="Z80" s="210">
        <f t="shared" si="289"/>
        <v>0</v>
      </c>
      <c r="AA80" s="216"/>
      <c r="AB80" s="162">
        <f t="shared" si="274"/>
        <v>0</v>
      </c>
      <c r="AC80" s="216"/>
      <c r="AD80" s="163">
        <f t="shared" si="290"/>
        <v>0</v>
      </c>
      <c r="AE80" s="216"/>
      <c r="AF80" s="162">
        <f t="shared" si="274"/>
        <v>0</v>
      </c>
      <c r="AG80" s="216"/>
      <c r="AH80" s="163">
        <f t="shared" si="291"/>
        <v>0</v>
      </c>
      <c r="AI80" s="216">
        <v>1000</v>
      </c>
      <c r="AJ80" s="162">
        <f t="shared" si="275"/>
        <v>1000</v>
      </c>
      <c r="AK80" s="216">
        <v>154</v>
      </c>
      <c r="AL80" s="163">
        <f t="shared" si="292"/>
        <v>15.4</v>
      </c>
      <c r="AM80" s="235">
        <f t="shared" si="293"/>
        <v>1000</v>
      </c>
      <c r="AN80" s="235">
        <f t="shared" si="294"/>
        <v>1000</v>
      </c>
      <c r="AO80" s="235">
        <f t="shared" si="295"/>
        <v>154</v>
      </c>
      <c r="AP80" s="235">
        <f t="shared" si="296"/>
        <v>15.4</v>
      </c>
      <c r="AQ80" s="216"/>
      <c r="AR80" s="162">
        <f t="shared" si="94"/>
        <v>0</v>
      </c>
      <c r="AS80" s="264"/>
      <c r="AT80" s="163">
        <f t="shared" si="297"/>
        <v>0</v>
      </c>
      <c r="AU80" s="216"/>
      <c r="AV80" s="115">
        <f t="shared" si="298"/>
        <v>0</v>
      </c>
      <c r="AW80" s="264"/>
      <c r="AX80" s="163">
        <f t="shared" si="299"/>
        <v>0</v>
      </c>
      <c r="AY80" s="216"/>
      <c r="AZ80" s="115">
        <f t="shared" si="276"/>
        <v>0</v>
      </c>
      <c r="BA80" s="216"/>
      <c r="BB80" s="163">
        <f t="shared" si="300"/>
        <v>0</v>
      </c>
      <c r="BC80" s="210">
        <f t="shared" si="301"/>
        <v>0</v>
      </c>
      <c r="BD80" s="210">
        <f t="shared" si="302"/>
        <v>0</v>
      </c>
      <c r="BE80" s="210">
        <f t="shared" si="303"/>
        <v>0</v>
      </c>
      <c r="BF80" s="210">
        <f t="shared" si="304"/>
        <v>0</v>
      </c>
      <c r="BG80" s="216"/>
      <c r="BH80" s="162">
        <f t="shared" si="277"/>
        <v>0</v>
      </c>
      <c r="BI80" s="216"/>
      <c r="BJ80" s="163">
        <f t="shared" si="305"/>
        <v>0</v>
      </c>
      <c r="BK80" s="210">
        <f t="shared" si="306"/>
        <v>1000</v>
      </c>
      <c r="BL80" s="210">
        <f t="shared" si="307"/>
        <v>1000</v>
      </c>
      <c r="BM80" s="210">
        <f t="shared" si="308"/>
        <v>154</v>
      </c>
      <c r="BN80" s="210">
        <f t="shared" si="309"/>
        <v>15.4</v>
      </c>
    </row>
    <row r="81" spans="1:66" ht="15.75" x14ac:dyDescent="0.25">
      <c r="A81" s="188" t="s">
        <v>135</v>
      </c>
      <c r="B81" s="203"/>
      <c r="C81" s="214"/>
      <c r="D81" s="97">
        <f t="shared" si="271"/>
        <v>0</v>
      </c>
      <c r="E81" s="214"/>
      <c r="F81" s="99">
        <f t="shared" si="278"/>
        <v>0</v>
      </c>
      <c r="G81" s="214"/>
      <c r="H81" s="97">
        <f t="shared" si="272"/>
        <v>0</v>
      </c>
      <c r="I81" s="214"/>
      <c r="J81" s="99">
        <f t="shared" si="279"/>
        <v>0</v>
      </c>
      <c r="K81" s="235">
        <f t="shared" si="280"/>
        <v>0</v>
      </c>
      <c r="L81" s="235">
        <f t="shared" si="281"/>
        <v>0</v>
      </c>
      <c r="M81" s="235">
        <f t="shared" si="282"/>
        <v>0</v>
      </c>
      <c r="N81" s="235">
        <f t="shared" si="283"/>
        <v>0</v>
      </c>
      <c r="O81" s="214"/>
      <c r="P81" s="97">
        <f t="shared" si="273"/>
        <v>0</v>
      </c>
      <c r="Q81" s="214"/>
      <c r="R81" s="99">
        <f t="shared" si="284"/>
        <v>0</v>
      </c>
      <c r="S81" s="214"/>
      <c r="T81" s="97">
        <f t="shared" si="273"/>
        <v>0</v>
      </c>
      <c r="U81" s="214"/>
      <c r="V81" s="99">
        <f t="shared" si="285"/>
        <v>0</v>
      </c>
      <c r="W81" s="210">
        <f t="shared" si="286"/>
        <v>0</v>
      </c>
      <c r="X81" s="210">
        <f t="shared" si="287"/>
        <v>0</v>
      </c>
      <c r="Y81" s="210">
        <f t="shared" si="288"/>
        <v>0</v>
      </c>
      <c r="Z81" s="210">
        <f t="shared" si="289"/>
        <v>0</v>
      </c>
      <c r="AA81" s="214"/>
      <c r="AB81" s="97">
        <f t="shared" si="274"/>
        <v>0</v>
      </c>
      <c r="AC81" s="214"/>
      <c r="AD81" s="99">
        <f t="shared" si="290"/>
        <v>0</v>
      </c>
      <c r="AE81" s="214"/>
      <c r="AF81" s="97">
        <f t="shared" si="274"/>
        <v>0</v>
      </c>
      <c r="AG81" s="214"/>
      <c r="AH81" s="99">
        <f t="shared" si="291"/>
        <v>0</v>
      </c>
      <c r="AI81" s="214"/>
      <c r="AJ81" s="97">
        <f t="shared" si="275"/>
        <v>0</v>
      </c>
      <c r="AK81" s="214"/>
      <c r="AL81" s="99">
        <f t="shared" si="292"/>
        <v>0</v>
      </c>
      <c r="AM81" s="235">
        <f t="shared" si="293"/>
        <v>0</v>
      </c>
      <c r="AN81" s="235">
        <f t="shared" si="294"/>
        <v>0</v>
      </c>
      <c r="AO81" s="235">
        <f t="shared" si="295"/>
        <v>0</v>
      </c>
      <c r="AP81" s="235">
        <f t="shared" si="296"/>
        <v>0</v>
      </c>
      <c r="AQ81" s="214"/>
      <c r="AR81" s="162">
        <f t="shared" si="94"/>
        <v>0</v>
      </c>
      <c r="AS81" s="264"/>
      <c r="AT81" s="99">
        <f t="shared" si="297"/>
        <v>0</v>
      </c>
      <c r="AU81" s="214"/>
      <c r="AV81" s="115">
        <f t="shared" si="298"/>
        <v>0</v>
      </c>
      <c r="AW81" s="264"/>
      <c r="AX81" s="99">
        <f t="shared" si="299"/>
        <v>0</v>
      </c>
      <c r="AY81" s="214"/>
      <c r="AZ81" s="115">
        <f t="shared" si="276"/>
        <v>0</v>
      </c>
      <c r="BA81" s="214"/>
      <c r="BB81" s="99">
        <f t="shared" si="300"/>
        <v>0</v>
      </c>
      <c r="BC81" s="210">
        <f t="shared" si="301"/>
        <v>0</v>
      </c>
      <c r="BD81" s="210">
        <f t="shared" si="302"/>
        <v>0</v>
      </c>
      <c r="BE81" s="210">
        <f t="shared" si="303"/>
        <v>0</v>
      </c>
      <c r="BF81" s="210">
        <f t="shared" si="304"/>
        <v>0</v>
      </c>
      <c r="BG81" s="214"/>
      <c r="BH81" s="97">
        <f t="shared" si="277"/>
        <v>0</v>
      </c>
      <c r="BI81" s="214"/>
      <c r="BJ81" s="99">
        <f t="shared" si="305"/>
        <v>0</v>
      </c>
      <c r="BK81" s="210">
        <f t="shared" si="306"/>
        <v>0</v>
      </c>
      <c r="BL81" s="210">
        <f t="shared" si="307"/>
        <v>0</v>
      </c>
      <c r="BM81" s="210">
        <f t="shared" si="308"/>
        <v>0</v>
      </c>
      <c r="BN81" s="210">
        <f t="shared" si="309"/>
        <v>0</v>
      </c>
    </row>
    <row r="82" spans="1:66" ht="15.75" x14ac:dyDescent="0.25">
      <c r="A82" s="188"/>
      <c r="B82" s="203"/>
      <c r="C82" s="214"/>
      <c r="D82" s="97"/>
      <c r="E82" s="214"/>
      <c r="F82" s="99">
        <f t="shared" si="278"/>
        <v>0</v>
      </c>
      <c r="G82" s="214"/>
      <c r="H82" s="97"/>
      <c r="I82" s="214"/>
      <c r="J82" s="99">
        <f t="shared" si="279"/>
        <v>0</v>
      </c>
      <c r="K82" s="235"/>
      <c r="L82" s="235"/>
      <c r="M82" s="235"/>
      <c r="N82" s="235">
        <f t="shared" si="283"/>
        <v>0</v>
      </c>
      <c r="O82" s="214"/>
      <c r="P82" s="97"/>
      <c r="Q82" s="214"/>
      <c r="R82" s="99">
        <f t="shared" si="284"/>
        <v>0</v>
      </c>
      <c r="S82" s="214"/>
      <c r="T82" s="97"/>
      <c r="U82" s="214"/>
      <c r="V82" s="99">
        <f t="shared" si="285"/>
        <v>0</v>
      </c>
      <c r="W82" s="210"/>
      <c r="X82" s="210"/>
      <c r="Y82" s="210"/>
      <c r="Z82" s="210">
        <f t="shared" si="289"/>
        <v>0</v>
      </c>
      <c r="AA82" s="214"/>
      <c r="AB82" s="97"/>
      <c r="AC82" s="214"/>
      <c r="AD82" s="99">
        <f t="shared" si="290"/>
        <v>0</v>
      </c>
      <c r="AE82" s="214"/>
      <c r="AF82" s="97"/>
      <c r="AG82" s="214"/>
      <c r="AH82" s="99">
        <f t="shared" si="291"/>
        <v>0</v>
      </c>
      <c r="AI82" s="214"/>
      <c r="AJ82" s="97"/>
      <c r="AK82" s="214"/>
      <c r="AL82" s="99">
        <f t="shared" si="292"/>
        <v>0</v>
      </c>
      <c r="AM82" s="235"/>
      <c r="AN82" s="235"/>
      <c r="AO82" s="235"/>
      <c r="AP82" s="235">
        <f t="shared" si="296"/>
        <v>0</v>
      </c>
      <c r="AQ82" s="214"/>
      <c r="AR82" s="162"/>
      <c r="AS82" s="264"/>
      <c r="AT82" s="99">
        <f t="shared" si="297"/>
        <v>0</v>
      </c>
      <c r="AU82" s="214"/>
      <c r="AV82" s="115"/>
      <c r="AW82" s="264"/>
      <c r="AX82" s="99">
        <f t="shared" si="299"/>
        <v>0</v>
      </c>
      <c r="AY82" s="214"/>
      <c r="AZ82" s="115">
        <f t="shared" si="276"/>
        <v>0</v>
      </c>
      <c r="BA82" s="214"/>
      <c r="BB82" s="99">
        <f t="shared" si="300"/>
        <v>0</v>
      </c>
      <c r="BC82" s="210"/>
      <c r="BD82" s="210"/>
      <c r="BE82" s="210"/>
      <c r="BF82" s="210">
        <f t="shared" si="304"/>
        <v>0</v>
      </c>
      <c r="BG82" s="214"/>
      <c r="BH82" s="97"/>
      <c r="BI82" s="214"/>
      <c r="BJ82" s="99">
        <f t="shared" si="305"/>
        <v>0</v>
      </c>
      <c r="BK82" s="210"/>
      <c r="BL82" s="210"/>
      <c r="BM82" s="210"/>
      <c r="BN82" s="210">
        <f t="shared" si="309"/>
        <v>0</v>
      </c>
    </row>
    <row r="83" spans="1:66" ht="15.75" x14ac:dyDescent="0.25">
      <c r="A83" s="94" t="s">
        <v>187</v>
      </c>
      <c r="B83" s="203"/>
      <c r="C83" s="214">
        <f t="shared" ref="C83:D83" si="310">SUM(C25+C79*3.2+C80)</f>
        <v>56425</v>
      </c>
      <c r="D83" s="214">
        <f t="shared" si="310"/>
        <v>56425</v>
      </c>
      <c r="E83" s="214">
        <f t="shared" ref="E83" si="311">SUM(E25+E79*3.2+E80)</f>
        <v>57876</v>
      </c>
      <c r="F83" s="99">
        <f t="shared" si="278"/>
        <v>102.57155516171909</v>
      </c>
      <c r="G83" s="214">
        <f t="shared" ref="G83" si="312">SUM(G25+G79*3.2+G80)</f>
        <v>0</v>
      </c>
      <c r="H83" s="97">
        <f t="shared" si="272"/>
        <v>0</v>
      </c>
      <c r="I83" s="214">
        <f t="shared" ref="I83" si="313">SUM(I25+I79*3.2+I80)</f>
        <v>0</v>
      </c>
      <c r="J83" s="99">
        <f t="shared" si="279"/>
        <v>0</v>
      </c>
      <c r="K83" s="235">
        <f t="shared" si="280"/>
        <v>56425</v>
      </c>
      <c r="L83" s="235">
        <f t="shared" si="281"/>
        <v>56425</v>
      </c>
      <c r="M83" s="235">
        <f t="shared" si="282"/>
        <v>57876</v>
      </c>
      <c r="N83" s="235">
        <f t="shared" si="283"/>
        <v>102.57155516171909</v>
      </c>
      <c r="O83" s="214">
        <f t="shared" ref="O83:T83" si="314">SUM(O25+O79*3.2+O80)</f>
        <v>19845</v>
      </c>
      <c r="P83" s="214">
        <f t="shared" si="314"/>
        <v>19845</v>
      </c>
      <c r="Q83" s="214">
        <f t="shared" ref="Q83:U83" si="315">SUM(Q25+Q79*3.2+Q80)</f>
        <v>22003</v>
      </c>
      <c r="R83" s="99">
        <f t="shared" si="284"/>
        <v>110.8742756361804</v>
      </c>
      <c r="S83" s="214">
        <f t="shared" si="314"/>
        <v>1255</v>
      </c>
      <c r="T83" s="214">
        <f t="shared" si="314"/>
        <v>1255</v>
      </c>
      <c r="U83" s="214">
        <f t="shared" si="315"/>
        <v>1086</v>
      </c>
      <c r="V83" s="99">
        <f t="shared" si="285"/>
        <v>86.533864541832671</v>
      </c>
      <c r="W83" s="210">
        <f t="shared" si="286"/>
        <v>21100</v>
      </c>
      <c r="X83" s="210">
        <f t="shared" si="287"/>
        <v>21100</v>
      </c>
      <c r="Y83" s="210">
        <f t="shared" si="288"/>
        <v>23089</v>
      </c>
      <c r="Z83" s="210">
        <f t="shared" si="289"/>
        <v>109.42654028436019</v>
      </c>
      <c r="AA83" s="214">
        <f t="shared" ref="AA83:AF83" si="316">SUM(AA25+AA79*3.2+AA80)</f>
        <v>25273.4087</v>
      </c>
      <c r="AB83" s="214">
        <f t="shared" si="316"/>
        <v>25273.4087</v>
      </c>
      <c r="AC83" s="214">
        <f t="shared" ref="AC83:AG83" si="317">SUM(AC25+AC79*3.2+AC80)</f>
        <v>31805</v>
      </c>
      <c r="AD83" s="99">
        <f t="shared" si="290"/>
        <v>125.84372918402573</v>
      </c>
      <c r="AE83" s="214">
        <f t="shared" si="316"/>
        <v>36126</v>
      </c>
      <c r="AF83" s="214">
        <f t="shared" si="316"/>
        <v>36126</v>
      </c>
      <c r="AG83" s="214">
        <f t="shared" si="317"/>
        <v>30767</v>
      </c>
      <c r="AH83" s="99">
        <f t="shared" si="291"/>
        <v>85.165808558932625</v>
      </c>
      <c r="AI83" s="214">
        <f t="shared" ref="AI83:AJ83" si="318">SUM(AI25+AI79*3.2+AI80)</f>
        <v>7000</v>
      </c>
      <c r="AJ83" s="214">
        <f t="shared" si="318"/>
        <v>7000</v>
      </c>
      <c r="AK83" s="214">
        <f t="shared" ref="AK83" si="319">SUM(AK25+AK79*3.2+AK80)</f>
        <v>7509</v>
      </c>
      <c r="AL83" s="99">
        <f t="shared" si="292"/>
        <v>107.27142857142857</v>
      </c>
      <c r="AM83" s="235">
        <f t="shared" si="293"/>
        <v>43126</v>
      </c>
      <c r="AN83" s="235">
        <f t="shared" si="294"/>
        <v>43126</v>
      </c>
      <c r="AO83" s="235">
        <f t="shared" si="295"/>
        <v>38276</v>
      </c>
      <c r="AP83" s="235">
        <f t="shared" si="296"/>
        <v>88.753883967907981</v>
      </c>
      <c r="AQ83" s="214">
        <f t="shared" ref="AQ83" si="320">SUM(AQ25+AQ79*3.2+AQ80)</f>
        <v>994</v>
      </c>
      <c r="AR83" s="162">
        <f t="shared" si="94"/>
        <v>994</v>
      </c>
      <c r="AS83" s="264">
        <f t="shared" ref="AS83" si="321">SUM(AS25+AS79*3.2+AS80)</f>
        <v>994</v>
      </c>
      <c r="AT83" s="99">
        <f t="shared" si="297"/>
        <v>100</v>
      </c>
      <c r="AU83" s="214">
        <f t="shared" ref="AU83" si="322">SUM(AU25+AU79*3.2+AU80)</f>
        <v>126</v>
      </c>
      <c r="AV83" s="115">
        <f t="shared" si="298"/>
        <v>126</v>
      </c>
      <c r="AW83" s="264">
        <f t="shared" ref="AW83" si="323">SUM(AW25+AW79*3.2+AW80)</f>
        <v>126</v>
      </c>
      <c r="AX83" s="99">
        <f t="shared" si="299"/>
        <v>100</v>
      </c>
      <c r="AY83" s="214">
        <f t="shared" ref="AY83:AZ83" si="324">SUM(AY25+AY79*3.2+AY80)</f>
        <v>29436</v>
      </c>
      <c r="AZ83" s="214">
        <f t="shared" si="324"/>
        <v>29436</v>
      </c>
      <c r="BA83" s="214">
        <f t="shared" ref="BA83" si="325">SUM(BA25+BA79*3.2+BA80)</f>
        <v>23484</v>
      </c>
      <c r="BB83" s="99">
        <f t="shared" si="300"/>
        <v>79.779861394211167</v>
      </c>
      <c r="BC83" s="210">
        <f t="shared" si="301"/>
        <v>30556</v>
      </c>
      <c r="BD83" s="210">
        <f t="shared" si="302"/>
        <v>30556</v>
      </c>
      <c r="BE83" s="210">
        <f t="shared" si="303"/>
        <v>24604</v>
      </c>
      <c r="BF83" s="210">
        <f t="shared" si="304"/>
        <v>80.521010603482139</v>
      </c>
      <c r="BG83" s="214">
        <f t="shared" ref="BG83:BH83" si="326">SUM(BG25+BG79*3.2+BG80)</f>
        <v>4963</v>
      </c>
      <c r="BH83" s="214">
        <f t="shared" si="326"/>
        <v>4963</v>
      </c>
      <c r="BI83" s="214">
        <f t="shared" ref="BI83" si="327">SUM(BI25+BI79*3.2+BI80)</f>
        <v>2813</v>
      </c>
      <c r="BJ83" s="99">
        <f t="shared" si="305"/>
        <v>56.679427765464439</v>
      </c>
      <c r="BK83" s="210">
        <f t="shared" si="306"/>
        <v>181443.4087</v>
      </c>
      <c r="BL83" s="210">
        <f t="shared" si="307"/>
        <v>181443.4087</v>
      </c>
      <c r="BM83" s="210">
        <f t="shared" si="308"/>
        <v>178463</v>
      </c>
      <c r="BN83" s="210">
        <f t="shared" si="309"/>
        <v>98.357389380328584</v>
      </c>
    </row>
    <row r="84" spans="1:66" ht="15.75" x14ac:dyDescent="0.25">
      <c r="A84" s="94" t="s">
        <v>184</v>
      </c>
      <c r="B84" s="204"/>
      <c r="C84" s="214"/>
      <c r="D84" s="97">
        <f t="shared" si="271"/>
        <v>0</v>
      </c>
      <c r="E84" s="214"/>
      <c r="F84" s="99">
        <f t="shared" si="278"/>
        <v>0</v>
      </c>
      <c r="G84" s="214"/>
      <c r="H84" s="97">
        <f t="shared" si="272"/>
        <v>0</v>
      </c>
      <c r="I84" s="214"/>
      <c r="J84" s="99">
        <f t="shared" si="279"/>
        <v>0</v>
      </c>
      <c r="K84" s="235">
        <f t="shared" si="280"/>
        <v>0</v>
      </c>
      <c r="L84" s="235">
        <f t="shared" si="281"/>
        <v>0</v>
      </c>
      <c r="M84" s="235">
        <f t="shared" si="282"/>
        <v>0</v>
      </c>
      <c r="N84" s="235">
        <f t="shared" si="283"/>
        <v>0</v>
      </c>
      <c r="O84" s="214"/>
      <c r="P84" s="97">
        <f t="shared" si="273"/>
        <v>0</v>
      </c>
      <c r="Q84" s="214"/>
      <c r="R84" s="99">
        <f t="shared" si="284"/>
        <v>0</v>
      </c>
      <c r="S84" s="214"/>
      <c r="T84" s="97">
        <f t="shared" si="273"/>
        <v>0</v>
      </c>
      <c r="U84" s="214"/>
      <c r="V84" s="99">
        <f t="shared" si="285"/>
        <v>0</v>
      </c>
      <c r="W84" s="210">
        <f t="shared" si="286"/>
        <v>0</v>
      </c>
      <c r="X84" s="210">
        <f t="shared" si="287"/>
        <v>0</v>
      </c>
      <c r="Y84" s="210">
        <f t="shared" si="288"/>
        <v>0</v>
      </c>
      <c r="Z84" s="210">
        <f t="shared" si="289"/>
        <v>0</v>
      </c>
      <c r="AA84" s="214"/>
      <c r="AB84" s="97">
        <f t="shared" si="274"/>
        <v>0</v>
      </c>
      <c r="AC84" s="214"/>
      <c r="AD84" s="99">
        <f t="shared" si="290"/>
        <v>0</v>
      </c>
      <c r="AE84" s="214"/>
      <c r="AF84" s="97">
        <f t="shared" si="274"/>
        <v>0</v>
      </c>
      <c r="AG84" s="214"/>
      <c r="AH84" s="99">
        <f t="shared" si="291"/>
        <v>0</v>
      </c>
      <c r="AI84" s="214"/>
      <c r="AJ84" s="97">
        <f t="shared" si="275"/>
        <v>0</v>
      </c>
      <c r="AK84" s="214"/>
      <c r="AL84" s="99">
        <f t="shared" si="292"/>
        <v>0</v>
      </c>
      <c r="AM84" s="235">
        <f t="shared" si="293"/>
        <v>0</v>
      </c>
      <c r="AN84" s="235">
        <f t="shared" si="294"/>
        <v>0</v>
      </c>
      <c r="AO84" s="235">
        <f t="shared" si="295"/>
        <v>0</v>
      </c>
      <c r="AP84" s="235">
        <f t="shared" si="296"/>
        <v>0</v>
      </c>
      <c r="AQ84" s="214"/>
      <c r="AR84" s="162">
        <f t="shared" si="94"/>
        <v>0</v>
      </c>
      <c r="AS84" s="264"/>
      <c r="AT84" s="99">
        <f t="shared" si="297"/>
        <v>0</v>
      </c>
      <c r="AU84" s="214"/>
      <c r="AV84" s="115">
        <f t="shared" si="298"/>
        <v>0</v>
      </c>
      <c r="AW84" s="264"/>
      <c r="AX84" s="99">
        <f t="shared" si="299"/>
        <v>0</v>
      </c>
      <c r="AY84" s="214"/>
      <c r="AZ84" s="115">
        <f t="shared" si="276"/>
        <v>0</v>
      </c>
      <c r="BA84" s="214"/>
      <c r="BB84" s="99">
        <f t="shared" si="300"/>
        <v>0</v>
      </c>
      <c r="BC84" s="210">
        <f t="shared" si="301"/>
        <v>0</v>
      </c>
      <c r="BD84" s="210">
        <f t="shared" si="302"/>
        <v>0</v>
      </c>
      <c r="BE84" s="210">
        <f t="shared" si="303"/>
        <v>0</v>
      </c>
      <c r="BF84" s="210">
        <f t="shared" si="304"/>
        <v>0</v>
      </c>
      <c r="BG84" s="214"/>
      <c r="BH84" s="97">
        <f t="shared" si="277"/>
        <v>0</v>
      </c>
      <c r="BI84" s="214"/>
      <c r="BJ84" s="99">
        <f t="shared" si="305"/>
        <v>0</v>
      </c>
      <c r="BK84" s="210">
        <f t="shared" si="306"/>
        <v>0</v>
      </c>
      <c r="BL84" s="210">
        <f t="shared" si="307"/>
        <v>0</v>
      </c>
      <c r="BM84" s="210">
        <f t="shared" si="308"/>
        <v>0</v>
      </c>
      <c r="BN84" s="210">
        <f t="shared" si="309"/>
        <v>0</v>
      </c>
    </row>
    <row r="85" spans="1:66" s="17" customFormat="1" ht="15.75" x14ac:dyDescent="0.25">
      <c r="A85" s="306" t="s">
        <v>186</v>
      </c>
      <c r="B85" s="326"/>
      <c r="C85" s="310"/>
      <c r="D85" s="304">
        <f t="shared" si="271"/>
        <v>0</v>
      </c>
      <c r="E85" s="310"/>
      <c r="F85" s="213">
        <f t="shared" si="278"/>
        <v>0</v>
      </c>
      <c r="G85" s="310">
        <v>138265</v>
      </c>
      <c r="H85" s="304">
        <v>138265</v>
      </c>
      <c r="I85" s="310">
        <v>138415</v>
      </c>
      <c r="J85" s="213">
        <f t="shared" si="279"/>
        <v>100.10848732506419</v>
      </c>
      <c r="K85" s="305">
        <f t="shared" si="280"/>
        <v>138265</v>
      </c>
      <c r="L85" s="305">
        <f t="shared" si="281"/>
        <v>138265</v>
      </c>
      <c r="M85" s="305">
        <f t="shared" si="282"/>
        <v>138415</v>
      </c>
      <c r="N85" s="305">
        <f t="shared" si="283"/>
        <v>100.10848732506419</v>
      </c>
      <c r="O85" s="310"/>
      <c r="P85" s="304">
        <f t="shared" si="273"/>
        <v>0</v>
      </c>
      <c r="Q85" s="310"/>
      <c r="R85" s="213">
        <f t="shared" si="284"/>
        <v>0</v>
      </c>
      <c r="S85" s="310"/>
      <c r="T85" s="304">
        <f t="shared" si="273"/>
        <v>0</v>
      </c>
      <c r="U85" s="310"/>
      <c r="V85" s="213">
        <f t="shared" si="285"/>
        <v>0</v>
      </c>
      <c r="W85" s="309">
        <f t="shared" si="286"/>
        <v>0</v>
      </c>
      <c r="X85" s="309">
        <f t="shared" si="287"/>
        <v>0</v>
      </c>
      <c r="Y85" s="309">
        <f t="shared" si="288"/>
        <v>0</v>
      </c>
      <c r="Z85" s="309">
        <f t="shared" si="289"/>
        <v>0</v>
      </c>
      <c r="AA85" s="310"/>
      <c r="AB85" s="304">
        <f t="shared" si="274"/>
        <v>0</v>
      </c>
      <c r="AC85" s="310"/>
      <c r="AD85" s="213">
        <f t="shared" si="290"/>
        <v>0</v>
      </c>
      <c r="AE85" s="310"/>
      <c r="AF85" s="304">
        <f t="shared" si="274"/>
        <v>0</v>
      </c>
      <c r="AG85" s="310"/>
      <c r="AH85" s="213">
        <f t="shared" si="291"/>
        <v>0</v>
      </c>
      <c r="AI85" s="310"/>
      <c r="AJ85" s="304">
        <f t="shared" si="275"/>
        <v>0</v>
      </c>
      <c r="AK85" s="310"/>
      <c r="AL85" s="213">
        <f t="shared" si="292"/>
        <v>0</v>
      </c>
      <c r="AM85" s="305">
        <f t="shared" si="293"/>
        <v>0</v>
      </c>
      <c r="AN85" s="305">
        <f t="shared" si="294"/>
        <v>0</v>
      </c>
      <c r="AO85" s="305">
        <f t="shared" si="295"/>
        <v>0</v>
      </c>
      <c r="AP85" s="305">
        <f t="shared" si="296"/>
        <v>0</v>
      </c>
      <c r="AQ85" s="310"/>
      <c r="AR85" s="304">
        <f t="shared" si="94"/>
        <v>0</v>
      </c>
      <c r="AS85" s="310"/>
      <c r="AT85" s="213">
        <f t="shared" si="297"/>
        <v>0</v>
      </c>
      <c r="AU85" s="310"/>
      <c r="AV85" s="304">
        <f t="shared" si="298"/>
        <v>0</v>
      </c>
      <c r="AW85" s="310"/>
      <c r="AX85" s="213">
        <f t="shared" si="299"/>
        <v>0</v>
      </c>
      <c r="AY85" s="310"/>
      <c r="AZ85" s="304">
        <f t="shared" si="276"/>
        <v>0</v>
      </c>
      <c r="BA85" s="310"/>
      <c r="BB85" s="213">
        <f t="shared" si="300"/>
        <v>0</v>
      </c>
      <c r="BC85" s="309">
        <f t="shared" si="301"/>
        <v>0</v>
      </c>
      <c r="BD85" s="309">
        <f t="shared" si="302"/>
        <v>0</v>
      </c>
      <c r="BE85" s="309">
        <f t="shared" si="303"/>
        <v>0</v>
      </c>
      <c r="BF85" s="309">
        <f t="shared" si="304"/>
        <v>0</v>
      </c>
      <c r="BG85" s="310"/>
      <c r="BH85" s="304">
        <f t="shared" si="277"/>
        <v>0</v>
      </c>
      <c r="BI85" s="310"/>
      <c r="BJ85" s="213">
        <f t="shared" si="305"/>
        <v>0</v>
      </c>
      <c r="BK85" s="309">
        <f t="shared" si="306"/>
        <v>138265</v>
      </c>
      <c r="BL85" s="309">
        <f t="shared" si="307"/>
        <v>138265</v>
      </c>
      <c r="BM85" s="309">
        <f t="shared" si="308"/>
        <v>138415</v>
      </c>
      <c r="BN85" s="309">
        <f t="shared" si="309"/>
        <v>100.10848732506419</v>
      </c>
    </row>
    <row r="86" spans="1:66" ht="15.75" x14ac:dyDescent="0.25">
      <c r="A86" s="190" t="s">
        <v>185</v>
      </c>
      <c r="B86" s="204"/>
      <c r="C86" s="214">
        <f t="shared" ref="C86" si="328">C85/4</f>
        <v>0</v>
      </c>
      <c r="D86" s="97">
        <f t="shared" si="271"/>
        <v>0</v>
      </c>
      <c r="E86" s="214">
        <f t="shared" ref="E86" si="329">E85/4</f>
        <v>0</v>
      </c>
      <c r="F86" s="99">
        <f t="shared" si="278"/>
        <v>0</v>
      </c>
      <c r="G86" s="214">
        <f t="shared" ref="G86:H86" si="330">G85/4</f>
        <v>34566.25</v>
      </c>
      <c r="H86" s="97">
        <f t="shared" si="330"/>
        <v>34566.25</v>
      </c>
      <c r="I86" s="214">
        <f t="shared" ref="I86" si="331">I85/4</f>
        <v>34603.75</v>
      </c>
      <c r="J86" s="99">
        <f t="shared" si="279"/>
        <v>100.10848732506419</v>
      </c>
      <c r="K86" s="235">
        <f t="shared" si="280"/>
        <v>34566.25</v>
      </c>
      <c r="L86" s="235">
        <f t="shared" si="281"/>
        <v>34566.25</v>
      </c>
      <c r="M86" s="235">
        <f t="shared" si="282"/>
        <v>34603.75</v>
      </c>
      <c r="N86" s="235">
        <f t="shared" si="283"/>
        <v>100.10848732506419</v>
      </c>
      <c r="O86" s="214">
        <f t="shared" ref="O86:S86" si="332">O85/4</f>
        <v>0</v>
      </c>
      <c r="P86" s="97">
        <f t="shared" si="273"/>
        <v>0</v>
      </c>
      <c r="Q86" s="214">
        <f t="shared" ref="Q86:U86" si="333">Q85/4</f>
        <v>0</v>
      </c>
      <c r="R86" s="99">
        <f t="shared" si="284"/>
        <v>0</v>
      </c>
      <c r="S86" s="214">
        <f t="shared" si="332"/>
        <v>0</v>
      </c>
      <c r="T86" s="97">
        <f t="shared" si="273"/>
        <v>0</v>
      </c>
      <c r="U86" s="214">
        <f t="shared" si="333"/>
        <v>0</v>
      </c>
      <c r="V86" s="99">
        <f t="shared" si="285"/>
        <v>0</v>
      </c>
      <c r="W86" s="210">
        <f t="shared" si="286"/>
        <v>0</v>
      </c>
      <c r="X86" s="210">
        <f t="shared" si="287"/>
        <v>0</v>
      </c>
      <c r="Y86" s="210">
        <f t="shared" si="288"/>
        <v>0</v>
      </c>
      <c r="Z86" s="210">
        <f t="shared" si="289"/>
        <v>0</v>
      </c>
      <c r="AA86" s="214">
        <f t="shared" ref="AA86:AE86" si="334">AA85/4</f>
        <v>0</v>
      </c>
      <c r="AB86" s="97">
        <f t="shared" si="274"/>
        <v>0</v>
      </c>
      <c r="AC86" s="214">
        <f t="shared" ref="AC86:AG86" si="335">AC85/4</f>
        <v>0</v>
      </c>
      <c r="AD86" s="99">
        <f t="shared" si="290"/>
        <v>0</v>
      </c>
      <c r="AE86" s="214">
        <f t="shared" si="334"/>
        <v>0</v>
      </c>
      <c r="AF86" s="97">
        <f t="shared" si="274"/>
        <v>0</v>
      </c>
      <c r="AG86" s="214">
        <f t="shared" si="335"/>
        <v>0</v>
      </c>
      <c r="AH86" s="99">
        <f t="shared" si="291"/>
        <v>0</v>
      </c>
      <c r="AI86" s="214">
        <f t="shared" ref="AI86" si="336">AI85/4</f>
        <v>0</v>
      </c>
      <c r="AJ86" s="97">
        <f t="shared" si="275"/>
        <v>0</v>
      </c>
      <c r="AK86" s="214">
        <f t="shared" ref="AK86" si="337">AK85/4</f>
        <v>0</v>
      </c>
      <c r="AL86" s="99">
        <f t="shared" si="292"/>
        <v>0</v>
      </c>
      <c r="AM86" s="235">
        <f t="shared" si="293"/>
        <v>0</v>
      </c>
      <c r="AN86" s="235">
        <f t="shared" si="294"/>
        <v>0</v>
      </c>
      <c r="AO86" s="235">
        <f t="shared" si="295"/>
        <v>0</v>
      </c>
      <c r="AP86" s="235">
        <f t="shared" si="296"/>
        <v>0</v>
      </c>
      <c r="AQ86" s="214">
        <f t="shared" ref="AQ86" si="338">AQ85/4</f>
        <v>0</v>
      </c>
      <c r="AR86" s="162">
        <f t="shared" si="94"/>
        <v>0</v>
      </c>
      <c r="AS86" s="264">
        <f t="shared" ref="AS86" si="339">AS85/4</f>
        <v>0</v>
      </c>
      <c r="AT86" s="99">
        <f t="shared" si="297"/>
        <v>0</v>
      </c>
      <c r="AU86" s="214">
        <f t="shared" ref="AU86" si="340">AU85/4</f>
        <v>0</v>
      </c>
      <c r="AV86" s="115">
        <f t="shared" si="298"/>
        <v>0</v>
      </c>
      <c r="AW86" s="264">
        <f t="shared" ref="AW86" si="341">AW85/4</f>
        <v>0</v>
      </c>
      <c r="AX86" s="99">
        <f t="shared" si="299"/>
        <v>0</v>
      </c>
      <c r="AY86" s="214">
        <f t="shared" ref="AY86" si="342">AY85/4</f>
        <v>0</v>
      </c>
      <c r="AZ86" s="115">
        <f t="shared" si="276"/>
        <v>0</v>
      </c>
      <c r="BA86" s="214">
        <f t="shared" ref="BA86" si="343">BA85/4</f>
        <v>0</v>
      </c>
      <c r="BB86" s="99">
        <f t="shared" si="300"/>
        <v>0</v>
      </c>
      <c r="BC86" s="210">
        <f t="shared" si="301"/>
        <v>0</v>
      </c>
      <c r="BD86" s="210">
        <f t="shared" si="302"/>
        <v>0</v>
      </c>
      <c r="BE86" s="210">
        <f t="shared" si="303"/>
        <v>0</v>
      </c>
      <c r="BF86" s="210">
        <f t="shared" si="304"/>
        <v>0</v>
      </c>
      <c r="BG86" s="214">
        <f t="shared" ref="BG86" si="344">BG85/4</f>
        <v>0</v>
      </c>
      <c r="BH86" s="97">
        <f t="shared" si="277"/>
        <v>0</v>
      </c>
      <c r="BI86" s="214">
        <f t="shared" ref="BI86" si="345">BI85/4</f>
        <v>0</v>
      </c>
      <c r="BJ86" s="99">
        <f t="shared" si="305"/>
        <v>0</v>
      </c>
      <c r="BK86" s="210">
        <f t="shared" si="306"/>
        <v>34566.25</v>
      </c>
      <c r="BL86" s="210">
        <f t="shared" si="307"/>
        <v>34566.25</v>
      </c>
      <c r="BM86" s="210">
        <f t="shared" si="308"/>
        <v>34603.75</v>
      </c>
      <c r="BN86" s="210">
        <f t="shared" si="309"/>
        <v>100.10848732506419</v>
      </c>
    </row>
    <row r="87" spans="1:66" ht="15.75" x14ac:dyDescent="0.25">
      <c r="A87" s="94" t="s">
        <v>179</v>
      </c>
      <c r="B87" s="234"/>
      <c r="C87" s="214">
        <f t="shared" ref="C87:D87" si="346">SUM(C86,C83)</f>
        <v>56425</v>
      </c>
      <c r="D87" s="214">
        <f t="shared" si="346"/>
        <v>56425</v>
      </c>
      <c r="E87" s="214">
        <f t="shared" ref="E87" si="347">SUM(E86,E83)</f>
        <v>57876</v>
      </c>
      <c r="F87" s="99">
        <f t="shared" si="278"/>
        <v>102.57155516171909</v>
      </c>
      <c r="G87" s="214">
        <f t="shared" ref="G87:H87" si="348">SUM(G86,G83)</f>
        <v>34566.25</v>
      </c>
      <c r="H87" s="97">
        <f t="shared" si="348"/>
        <v>34566.25</v>
      </c>
      <c r="I87" s="214">
        <f t="shared" ref="I87" si="349">SUM(I86,I83)</f>
        <v>34603.75</v>
      </c>
      <c r="J87" s="99">
        <f t="shared" si="279"/>
        <v>100.10848732506419</v>
      </c>
      <c r="K87" s="235">
        <f t="shared" si="280"/>
        <v>90991.25</v>
      </c>
      <c r="L87" s="235">
        <f t="shared" si="281"/>
        <v>90991.25</v>
      </c>
      <c r="M87" s="235">
        <f t="shared" si="282"/>
        <v>92479.75</v>
      </c>
      <c r="N87" s="235">
        <f t="shared" si="283"/>
        <v>101.63587158105862</v>
      </c>
      <c r="O87" s="214">
        <f t="shared" ref="O87:T87" si="350">SUM(O86,O83)</f>
        <v>19845</v>
      </c>
      <c r="P87" s="214">
        <f t="shared" si="350"/>
        <v>19845</v>
      </c>
      <c r="Q87" s="214">
        <f t="shared" ref="Q87:U87" si="351">SUM(Q86,Q83)</f>
        <v>22003</v>
      </c>
      <c r="R87" s="99">
        <f t="shared" si="284"/>
        <v>110.8742756361804</v>
      </c>
      <c r="S87" s="214">
        <f t="shared" si="350"/>
        <v>1255</v>
      </c>
      <c r="T87" s="214">
        <f t="shared" si="350"/>
        <v>1255</v>
      </c>
      <c r="U87" s="214">
        <f t="shared" si="351"/>
        <v>1086</v>
      </c>
      <c r="V87" s="99">
        <f t="shared" si="285"/>
        <v>86.533864541832671</v>
      </c>
      <c r="W87" s="210">
        <f t="shared" si="286"/>
        <v>21100</v>
      </c>
      <c r="X87" s="210">
        <f t="shared" si="287"/>
        <v>21100</v>
      </c>
      <c r="Y87" s="210">
        <f t="shared" si="288"/>
        <v>23089</v>
      </c>
      <c r="Z87" s="210">
        <f t="shared" si="289"/>
        <v>109.42654028436019</v>
      </c>
      <c r="AA87" s="214">
        <f t="shared" ref="AA87:AF87" si="352">SUM(AA86,AA83)</f>
        <v>25273.4087</v>
      </c>
      <c r="AB87" s="214">
        <f t="shared" si="352"/>
        <v>25273.4087</v>
      </c>
      <c r="AC87" s="214">
        <f t="shared" ref="AC87:AG87" si="353">SUM(AC86,AC83)</f>
        <v>31805</v>
      </c>
      <c r="AD87" s="99">
        <f t="shared" si="290"/>
        <v>125.84372918402573</v>
      </c>
      <c r="AE87" s="214">
        <f t="shared" si="352"/>
        <v>36126</v>
      </c>
      <c r="AF87" s="214">
        <f t="shared" si="352"/>
        <v>36126</v>
      </c>
      <c r="AG87" s="214">
        <f t="shared" si="353"/>
        <v>30767</v>
      </c>
      <c r="AH87" s="99">
        <f t="shared" si="291"/>
        <v>85.165808558932625</v>
      </c>
      <c r="AI87" s="214">
        <f t="shared" ref="AI87:AJ87" si="354">SUM(AI86,AI83)</f>
        <v>7000</v>
      </c>
      <c r="AJ87" s="214">
        <f t="shared" si="354"/>
        <v>7000</v>
      </c>
      <c r="AK87" s="214">
        <f t="shared" ref="AK87" si="355">SUM(AK86,AK83)</f>
        <v>7509</v>
      </c>
      <c r="AL87" s="99">
        <f t="shared" si="292"/>
        <v>107.27142857142857</v>
      </c>
      <c r="AM87" s="235">
        <f t="shared" si="293"/>
        <v>43126</v>
      </c>
      <c r="AN87" s="235">
        <f t="shared" si="294"/>
        <v>43126</v>
      </c>
      <c r="AO87" s="235">
        <f t="shared" si="295"/>
        <v>38276</v>
      </c>
      <c r="AP87" s="235">
        <f t="shared" si="296"/>
        <v>88.753883967907981</v>
      </c>
      <c r="AQ87" s="214">
        <f t="shared" ref="AQ87" si="356">SUM(AQ86,AQ83)</f>
        <v>994</v>
      </c>
      <c r="AR87" s="162">
        <f t="shared" si="94"/>
        <v>994</v>
      </c>
      <c r="AS87" s="264">
        <f t="shared" ref="AS87" si="357">SUM(AS86,AS83)</f>
        <v>994</v>
      </c>
      <c r="AT87" s="99">
        <f t="shared" si="297"/>
        <v>100</v>
      </c>
      <c r="AU87" s="214">
        <f t="shared" ref="AU87" si="358">SUM(AU86,AU83)</f>
        <v>126</v>
      </c>
      <c r="AV87" s="115">
        <f t="shared" si="298"/>
        <v>126</v>
      </c>
      <c r="AW87" s="264">
        <f t="shared" ref="AW87" si="359">SUM(AW86,AW83)</f>
        <v>126</v>
      </c>
      <c r="AX87" s="99">
        <f t="shared" si="299"/>
        <v>100</v>
      </c>
      <c r="AY87" s="214">
        <f t="shared" ref="AY87:AZ87" si="360">SUM(AY86,AY83)</f>
        <v>29436</v>
      </c>
      <c r="AZ87" s="214">
        <f t="shared" si="360"/>
        <v>29436</v>
      </c>
      <c r="BA87" s="214">
        <f t="shared" ref="BA87" si="361">SUM(BA86,BA83)</f>
        <v>23484</v>
      </c>
      <c r="BB87" s="99">
        <f t="shared" si="300"/>
        <v>79.779861394211167</v>
      </c>
      <c r="BC87" s="210">
        <f t="shared" si="301"/>
        <v>30556</v>
      </c>
      <c r="BD87" s="210">
        <f t="shared" si="302"/>
        <v>30556</v>
      </c>
      <c r="BE87" s="210">
        <f t="shared" si="303"/>
        <v>24604</v>
      </c>
      <c r="BF87" s="210">
        <f t="shared" si="304"/>
        <v>80.521010603482139</v>
      </c>
      <c r="BG87" s="214">
        <f t="shared" ref="BG87:BH87" si="362">SUM(BG86,BG83)</f>
        <v>4963</v>
      </c>
      <c r="BH87" s="214">
        <f t="shared" si="362"/>
        <v>4963</v>
      </c>
      <c r="BI87" s="214">
        <f t="shared" ref="BI87" si="363">SUM(BI86,BI83)</f>
        <v>2813</v>
      </c>
      <c r="BJ87" s="99">
        <f t="shared" si="305"/>
        <v>56.679427765464439</v>
      </c>
      <c r="BK87" s="210">
        <f t="shared" si="306"/>
        <v>216009.6587</v>
      </c>
      <c r="BL87" s="210">
        <f t="shared" si="307"/>
        <v>216009.6587</v>
      </c>
      <c r="BM87" s="210">
        <f t="shared" si="308"/>
        <v>213066.75</v>
      </c>
      <c r="BN87" s="210">
        <f t="shared" si="309"/>
        <v>98.63760318973182</v>
      </c>
    </row>
    <row r="88" spans="1:66" ht="15.75" x14ac:dyDescent="0.25">
      <c r="A88" s="94"/>
      <c r="B88" s="203"/>
      <c r="C88" s="214"/>
      <c r="D88" s="97">
        <f t="shared" si="271"/>
        <v>0</v>
      </c>
      <c r="E88" s="214"/>
      <c r="F88" s="99">
        <f t="shared" si="278"/>
        <v>0</v>
      </c>
      <c r="G88" s="214"/>
      <c r="H88" s="97">
        <f t="shared" si="272"/>
        <v>0</v>
      </c>
      <c r="I88" s="214"/>
      <c r="J88" s="99">
        <f t="shared" si="279"/>
        <v>0</v>
      </c>
      <c r="K88" s="235">
        <f t="shared" si="280"/>
        <v>0</v>
      </c>
      <c r="L88" s="235">
        <f t="shared" si="281"/>
        <v>0</v>
      </c>
      <c r="M88" s="235">
        <f t="shared" si="282"/>
        <v>0</v>
      </c>
      <c r="N88" s="235">
        <f t="shared" si="283"/>
        <v>0</v>
      </c>
      <c r="O88" s="214"/>
      <c r="P88" s="97">
        <f t="shared" si="273"/>
        <v>0</v>
      </c>
      <c r="Q88" s="214"/>
      <c r="R88" s="99">
        <f t="shared" si="284"/>
        <v>0</v>
      </c>
      <c r="S88" s="214"/>
      <c r="T88" s="97">
        <f t="shared" si="273"/>
        <v>0</v>
      </c>
      <c r="U88" s="214"/>
      <c r="V88" s="99">
        <f t="shared" si="285"/>
        <v>0</v>
      </c>
      <c r="W88" s="210">
        <f t="shared" si="286"/>
        <v>0</v>
      </c>
      <c r="X88" s="210">
        <f t="shared" si="287"/>
        <v>0</v>
      </c>
      <c r="Y88" s="210">
        <f t="shared" si="288"/>
        <v>0</v>
      </c>
      <c r="Z88" s="210">
        <f t="shared" si="289"/>
        <v>0</v>
      </c>
      <c r="AA88" s="214"/>
      <c r="AB88" s="97">
        <f t="shared" si="274"/>
        <v>0</v>
      </c>
      <c r="AC88" s="214"/>
      <c r="AD88" s="99">
        <f t="shared" si="290"/>
        <v>0</v>
      </c>
      <c r="AE88" s="214"/>
      <c r="AF88" s="97">
        <f t="shared" si="274"/>
        <v>0</v>
      </c>
      <c r="AG88" s="214"/>
      <c r="AH88" s="99">
        <f t="shared" si="291"/>
        <v>0</v>
      </c>
      <c r="AI88" s="214"/>
      <c r="AJ88" s="97">
        <f t="shared" si="275"/>
        <v>0</v>
      </c>
      <c r="AK88" s="214"/>
      <c r="AL88" s="99">
        <f t="shared" si="292"/>
        <v>0</v>
      </c>
      <c r="AM88" s="235">
        <f t="shared" si="293"/>
        <v>0</v>
      </c>
      <c r="AN88" s="235">
        <f t="shared" si="294"/>
        <v>0</v>
      </c>
      <c r="AO88" s="235">
        <f t="shared" si="295"/>
        <v>0</v>
      </c>
      <c r="AP88" s="235">
        <f t="shared" si="296"/>
        <v>0</v>
      </c>
      <c r="AQ88" s="214"/>
      <c r="AR88" s="162">
        <f t="shared" si="94"/>
        <v>0</v>
      </c>
      <c r="AS88" s="264"/>
      <c r="AT88" s="99">
        <f t="shared" si="297"/>
        <v>0</v>
      </c>
      <c r="AU88" s="214"/>
      <c r="AV88" s="115">
        <f t="shared" si="298"/>
        <v>0</v>
      </c>
      <c r="AW88" s="264"/>
      <c r="AX88" s="99">
        <f t="shared" si="299"/>
        <v>0</v>
      </c>
      <c r="AY88" s="214"/>
      <c r="AZ88" s="115">
        <f t="shared" si="276"/>
        <v>0</v>
      </c>
      <c r="BA88" s="214"/>
      <c r="BB88" s="99">
        <f t="shared" si="300"/>
        <v>0</v>
      </c>
      <c r="BC88" s="210">
        <f t="shared" si="301"/>
        <v>0</v>
      </c>
      <c r="BD88" s="210">
        <f t="shared" si="302"/>
        <v>0</v>
      </c>
      <c r="BE88" s="210">
        <f t="shared" si="303"/>
        <v>0</v>
      </c>
      <c r="BF88" s="210">
        <f t="shared" si="304"/>
        <v>0</v>
      </c>
      <c r="BG88" s="214"/>
      <c r="BH88" s="97">
        <f t="shared" si="277"/>
        <v>0</v>
      </c>
      <c r="BI88" s="214"/>
      <c r="BJ88" s="99">
        <f t="shared" si="305"/>
        <v>0</v>
      </c>
      <c r="BK88" s="210">
        <f t="shared" si="306"/>
        <v>0</v>
      </c>
      <c r="BL88" s="210">
        <f t="shared" si="307"/>
        <v>0</v>
      </c>
      <c r="BM88" s="210">
        <f t="shared" si="308"/>
        <v>0</v>
      </c>
      <c r="BN88" s="210">
        <f t="shared" si="309"/>
        <v>0</v>
      </c>
    </row>
    <row r="89" spans="1:66" s="7" customFormat="1" ht="15.75" x14ac:dyDescent="0.25">
      <c r="A89" s="87" t="s">
        <v>180</v>
      </c>
      <c r="B89" s="205"/>
      <c r="C89" s="109">
        <f t="shared" ref="C89:E89" si="364">SUM(C87,C23)</f>
        <v>491952.2</v>
      </c>
      <c r="D89" s="109">
        <f t="shared" si="364"/>
        <v>491952.2</v>
      </c>
      <c r="E89" s="109">
        <f t="shared" si="364"/>
        <v>474198.72500000003</v>
      </c>
      <c r="F89" s="110">
        <f t="shared" si="278"/>
        <v>96.391219512790073</v>
      </c>
      <c r="G89" s="109">
        <f t="shared" ref="G89:I89" si="365">SUM(G87,G23)</f>
        <v>34566.25</v>
      </c>
      <c r="H89" s="109">
        <f t="shared" si="365"/>
        <v>34566.25</v>
      </c>
      <c r="I89" s="109">
        <f t="shared" si="365"/>
        <v>34603.75</v>
      </c>
      <c r="J89" s="110">
        <f t="shared" si="279"/>
        <v>100.10848732506419</v>
      </c>
      <c r="K89" s="237">
        <f t="shared" si="280"/>
        <v>526518.44999999995</v>
      </c>
      <c r="L89" s="237">
        <f t="shared" si="281"/>
        <v>526518.44999999995</v>
      </c>
      <c r="M89" s="237">
        <f t="shared" si="282"/>
        <v>508802.47500000003</v>
      </c>
      <c r="N89" s="237">
        <f t="shared" si="283"/>
        <v>96.635260359822155</v>
      </c>
      <c r="O89" s="109">
        <f t="shared" ref="O89:U89" si="366">SUM(O87,O23)</f>
        <v>182405.80000000002</v>
      </c>
      <c r="P89" s="109">
        <f t="shared" si="366"/>
        <v>182405.80000000002</v>
      </c>
      <c r="Q89" s="109">
        <f t="shared" si="366"/>
        <v>173997.27500000002</v>
      </c>
      <c r="R89" s="110">
        <f t="shared" si="284"/>
        <v>95.390209631491985</v>
      </c>
      <c r="S89" s="109">
        <f t="shared" si="366"/>
        <v>38055.199999999997</v>
      </c>
      <c r="T89" s="109">
        <f t="shared" si="366"/>
        <v>38055.199999999997</v>
      </c>
      <c r="U89" s="109">
        <f t="shared" si="366"/>
        <v>32646.75</v>
      </c>
      <c r="V89" s="110">
        <f t="shared" si="285"/>
        <v>85.787881813786299</v>
      </c>
      <c r="W89" s="219">
        <f t="shared" si="286"/>
        <v>220461</v>
      </c>
      <c r="X89" s="219">
        <f t="shared" si="287"/>
        <v>220461</v>
      </c>
      <c r="Y89" s="219">
        <f t="shared" si="288"/>
        <v>206644.02500000002</v>
      </c>
      <c r="Z89" s="219">
        <f t="shared" si="289"/>
        <v>93.732689682075303</v>
      </c>
      <c r="AA89" s="109">
        <f t="shared" ref="AA89:AG89" si="367">SUM(AA87,AA23)</f>
        <v>190997.20870000002</v>
      </c>
      <c r="AB89" s="109">
        <f t="shared" si="367"/>
        <v>190997.20870000002</v>
      </c>
      <c r="AC89" s="109">
        <f t="shared" si="367"/>
        <v>206116.11250000002</v>
      </c>
      <c r="AD89" s="110">
        <f t="shared" si="290"/>
        <v>107.91577212196191</v>
      </c>
      <c r="AE89" s="109">
        <f t="shared" si="367"/>
        <v>377131</v>
      </c>
      <c r="AF89" s="109">
        <f t="shared" si="367"/>
        <v>377131</v>
      </c>
      <c r="AG89" s="109">
        <f t="shared" si="367"/>
        <v>388218.5625</v>
      </c>
      <c r="AH89" s="110">
        <f t="shared" si="291"/>
        <v>102.93997642728918</v>
      </c>
      <c r="AI89" s="109">
        <f t="shared" ref="AI89:AK89" si="368">SUM(AI87,AI23)</f>
        <v>7000</v>
      </c>
      <c r="AJ89" s="109">
        <f t="shared" si="368"/>
        <v>7000</v>
      </c>
      <c r="AK89" s="109">
        <f t="shared" si="368"/>
        <v>7509</v>
      </c>
      <c r="AL89" s="110">
        <f t="shared" si="292"/>
        <v>107.27142857142857</v>
      </c>
      <c r="AM89" s="237">
        <f t="shared" si="293"/>
        <v>384131</v>
      </c>
      <c r="AN89" s="237">
        <f t="shared" si="294"/>
        <v>384131</v>
      </c>
      <c r="AO89" s="237">
        <f t="shared" si="295"/>
        <v>395727.5625</v>
      </c>
      <c r="AP89" s="235">
        <f t="shared" si="296"/>
        <v>103.01890826306649</v>
      </c>
      <c r="AQ89" s="109">
        <f t="shared" ref="AQ89:AS89" si="369">SUM(AQ87,AQ23)</f>
        <v>9369.6</v>
      </c>
      <c r="AR89" s="109">
        <f t="shared" si="369"/>
        <v>9369.6</v>
      </c>
      <c r="AS89" s="229">
        <f t="shared" si="369"/>
        <v>9368.5625</v>
      </c>
      <c r="AT89" s="110">
        <f t="shared" si="297"/>
        <v>99.988926955259558</v>
      </c>
      <c r="AU89" s="109">
        <f t="shared" ref="AU89:AW89" si="370">SUM(AU87,AU23)</f>
        <v>1823.4</v>
      </c>
      <c r="AV89" s="109">
        <f t="shared" si="370"/>
        <v>1823.4</v>
      </c>
      <c r="AW89" s="229">
        <f t="shared" si="370"/>
        <v>1823.1125</v>
      </c>
      <c r="AX89" s="110">
        <f t="shared" si="299"/>
        <v>99.984232752001745</v>
      </c>
      <c r="AY89" s="109">
        <f t="shared" ref="AY89:BA89" si="371">SUM(AY87,AY23)</f>
        <v>174320.8</v>
      </c>
      <c r="AZ89" s="109">
        <f t="shared" si="371"/>
        <v>174320.8</v>
      </c>
      <c r="BA89" s="109">
        <f t="shared" si="371"/>
        <v>173906.8</v>
      </c>
      <c r="BB89" s="110">
        <f t="shared" si="300"/>
        <v>99.762506826494601</v>
      </c>
      <c r="BC89" s="219">
        <f t="shared" si="301"/>
        <v>185513.8</v>
      </c>
      <c r="BD89" s="219">
        <f t="shared" si="302"/>
        <v>185513.8</v>
      </c>
      <c r="BE89" s="219">
        <f t="shared" si="303"/>
        <v>185098.47499999998</v>
      </c>
      <c r="BF89" s="210">
        <f t="shared" si="304"/>
        <v>99.776121776385367</v>
      </c>
      <c r="BG89" s="109">
        <f t="shared" ref="BG89:BI89" si="372">SUM(BG87,BG23)</f>
        <v>45822.6</v>
      </c>
      <c r="BH89" s="109">
        <f t="shared" si="372"/>
        <v>45822.6</v>
      </c>
      <c r="BI89" s="109">
        <f t="shared" si="372"/>
        <v>42260.850000000006</v>
      </c>
      <c r="BJ89" s="110">
        <f t="shared" si="305"/>
        <v>92.227088816435582</v>
      </c>
      <c r="BK89" s="219">
        <f t="shared" si="306"/>
        <v>1553444.0586999999</v>
      </c>
      <c r="BL89" s="219">
        <f t="shared" si="307"/>
        <v>1553444.0586999999</v>
      </c>
      <c r="BM89" s="219">
        <f t="shared" si="308"/>
        <v>1544649.5</v>
      </c>
      <c r="BN89" s="210">
        <f t="shared" si="309"/>
        <v>99.433867048462645</v>
      </c>
    </row>
    <row r="90" spans="1:66" ht="14.25" x14ac:dyDescent="0.2">
      <c r="AM90" s="281"/>
      <c r="AN90" s="281"/>
      <c r="AO90" s="281"/>
      <c r="AP90" s="282"/>
      <c r="AS90" s="223"/>
      <c r="AW90" s="223"/>
    </row>
    <row r="91" spans="1:66" ht="25.5" x14ac:dyDescent="0.2">
      <c r="A91" s="253" t="s">
        <v>263</v>
      </c>
      <c r="B91" s="11"/>
      <c r="C91" s="11"/>
      <c r="D91" s="11"/>
      <c r="E91" s="11" t="s">
        <v>382</v>
      </c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 t="s">
        <v>383</v>
      </c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 t="s">
        <v>384</v>
      </c>
      <c r="AD91" s="11"/>
      <c r="AE91" s="11"/>
      <c r="AF91" s="11"/>
      <c r="AG91" s="11" t="s">
        <v>385</v>
      </c>
      <c r="AH91" s="11"/>
      <c r="AI91" s="11"/>
      <c r="AJ91" s="11"/>
      <c r="AK91" s="11"/>
      <c r="AL91" s="11"/>
      <c r="AM91" s="283"/>
      <c r="AN91" s="283"/>
      <c r="AO91" s="283"/>
      <c r="AP91" s="284"/>
      <c r="AQ91" s="11"/>
      <c r="AR91" s="11"/>
      <c r="AS91" s="277"/>
      <c r="AT91" s="11"/>
      <c r="AU91" s="11"/>
      <c r="AV91" s="11"/>
      <c r="AW91" s="277"/>
      <c r="AX91" s="11"/>
      <c r="AY91" s="11"/>
      <c r="AZ91" s="11"/>
      <c r="BA91" s="11" t="s">
        <v>386</v>
      </c>
      <c r="BB91" s="11"/>
      <c r="BC91" s="11"/>
      <c r="BD91" s="11"/>
      <c r="BE91" s="11"/>
      <c r="BF91" s="276"/>
      <c r="BG91" s="11"/>
      <c r="BH91" s="11"/>
      <c r="BI91" s="11" t="s">
        <v>387</v>
      </c>
      <c r="BJ91" s="11"/>
      <c r="BK91" s="11"/>
      <c r="BL91" s="11"/>
      <c r="BM91" s="11"/>
      <c r="BN91" s="276"/>
    </row>
  </sheetData>
  <customSheetViews>
    <customSheetView guid="{C4C3C6EA-4E99-4A9E-A26B-FFCC7AED73F2}">
      <pane xSplit="3" ySplit="11" topLeftCell="W17" activePane="bottomRight" state="frozen"/>
      <selection pane="bottomRight" activeCell="W35" sqref="W35"/>
      <pageMargins left="0.7" right="0.7" top="0.75" bottom="0.75" header="0.3" footer="0.3"/>
    </customSheetView>
    <customSheetView guid="{7AB5B88D-359A-416D-9EE2-70D3717CE362}">
      <pane xSplit="3" ySplit="11" topLeftCell="BN21" activePane="bottomRight" state="frozen"/>
      <selection pane="bottomRight" activeCell="BU14" sqref="BU14"/>
      <pageMargins left="0.7" right="0.7" top="0.75" bottom="0.75" header="0.3" footer="0.3"/>
    </customSheetView>
    <customSheetView guid="{54C0345E-C30A-4773-9BED-454F3B675FBE}">
      <pane xSplit="2" ySplit="10" topLeftCell="T12" activePane="bottomRight" state="frozen"/>
      <selection pane="bottomRight" activeCell="AF21" sqref="AF21"/>
      <pageMargins left="0.7" right="0.7" top="0.75" bottom="0.75" header="0.3" footer="0.3"/>
    </customSheetView>
  </customSheetViews>
  <mergeCells count="72">
    <mergeCell ref="A1:H2"/>
    <mergeCell ref="AU7:AX7"/>
    <mergeCell ref="BC7:BF7"/>
    <mergeCell ref="BK7:BN7"/>
    <mergeCell ref="S7:V7"/>
    <mergeCell ref="W7:Z7"/>
    <mergeCell ref="AE7:AH7"/>
    <mergeCell ref="AI7:AL7"/>
    <mergeCell ref="AM7:AP7"/>
    <mergeCell ref="AA7:AD7"/>
    <mergeCell ref="BG7:BJ7"/>
    <mergeCell ref="AQ7:AT7"/>
    <mergeCell ref="AU6:AX6"/>
    <mergeCell ref="S4:V4"/>
    <mergeCell ref="W4:Z6"/>
    <mergeCell ref="AA4:AD4"/>
    <mergeCell ref="AI4:AL4"/>
    <mergeCell ref="AM4:AP6"/>
    <mergeCell ref="AQ4:AT4"/>
    <mergeCell ref="AU4:AX4"/>
    <mergeCell ref="AI6:AL6"/>
    <mergeCell ref="AQ6:AT6"/>
    <mergeCell ref="S6:V6"/>
    <mergeCell ref="AA6:AD6"/>
    <mergeCell ref="AE6:AH6"/>
    <mergeCell ref="O7:R7"/>
    <mergeCell ref="C4:F4"/>
    <mergeCell ref="G4:J4"/>
    <mergeCell ref="K4:N6"/>
    <mergeCell ref="O4:R4"/>
    <mergeCell ref="G6:J6"/>
    <mergeCell ref="O6:R6"/>
    <mergeCell ref="C7:F7"/>
    <mergeCell ref="G7:J7"/>
    <mergeCell ref="K7:N7"/>
    <mergeCell ref="C6:F6"/>
    <mergeCell ref="AE4:AH4"/>
    <mergeCell ref="C8:F8"/>
    <mergeCell ref="A8:A9"/>
    <mergeCell ref="G8:J8"/>
    <mergeCell ref="K8:N8"/>
    <mergeCell ref="BG6:BJ6"/>
    <mergeCell ref="BC4:BF6"/>
    <mergeCell ref="BG4:BJ4"/>
    <mergeCell ref="C5:F5"/>
    <mergeCell ref="G5:J5"/>
    <mergeCell ref="O5:R5"/>
    <mergeCell ref="S5:V5"/>
    <mergeCell ref="AA5:AD5"/>
    <mergeCell ref="AE5:AH5"/>
    <mergeCell ref="AI5:AL5"/>
    <mergeCell ref="AQ5:AT5"/>
    <mergeCell ref="AU5:AX5"/>
    <mergeCell ref="AI8:AL8"/>
    <mergeCell ref="AM8:AP8"/>
    <mergeCell ref="AQ8:AT8"/>
    <mergeCell ref="AU8:AX8"/>
    <mergeCell ref="O8:R8"/>
    <mergeCell ref="S8:V8"/>
    <mergeCell ref="W8:Z8"/>
    <mergeCell ref="AA8:AD8"/>
    <mergeCell ref="AE8:AH8"/>
    <mergeCell ref="BC8:BF8"/>
    <mergeCell ref="BG8:BJ8"/>
    <mergeCell ref="BK8:BN8"/>
    <mergeCell ref="AY4:BB4"/>
    <mergeCell ref="AY5:BB5"/>
    <mergeCell ref="AY6:BB6"/>
    <mergeCell ref="AY7:BB7"/>
    <mergeCell ref="AY8:BB8"/>
    <mergeCell ref="BK4:BN6"/>
    <mergeCell ref="BG5:BJ5"/>
  </mergeCells>
  <pageMargins left="0" right="0" top="0" bottom="0" header="0.31496062992125984" footer="0.31496062992125984"/>
  <pageSetup paperSize="9" scale="65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91"/>
  <sheetViews>
    <sheetView zoomScale="90" zoomScaleNormal="90" zoomScaleSheetLayoutView="85" workbookViewId="0">
      <pane xSplit="1" ySplit="9" topLeftCell="AD10" activePane="bottomRight" state="frozen"/>
      <selection pane="topRight" activeCell="C1" sqref="C1"/>
      <selection pane="bottomLeft" activeCell="A10" sqref="A10"/>
      <selection pane="bottomRight" activeCell="AL81" sqref="AL81"/>
    </sheetView>
  </sheetViews>
  <sheetFormatPr defaultRowHeight="12.75" x14ac:dyDescent="0.2"/>
  <cols>
    <col min="1" max="1" width="50.28515625" customWidth="1"/>
    <col min="2" max="2" width="11.7109375" customWidth="1"/>
    <col min="3" max="3" width="12.140625" customWidth="1"/>
    <col min="4" max="4" width="13.140625" hidden="1" customWidth="1"/>
    <col min="5" max="5" width="14.28515625" customWidth="1"/>
    <col min="6" max="6" width="15.7109375" customWidth="1"/>
    <col min="7" max="7" width="12.140625" customWidth="1"/>
    <col min="8" max="8" width="13.140625" hidden="1" customWidth="1"/>
    <col min="9" max="9" width="14.28515625" customWidth="1"/>
    <col min="10" max="10" width="14.7109375" customWidth="1"/>
    <col min="11" max="11" width="12.140625" customWidth="1"/>
    <col min="12" max="12" width="13.140625" hidden="1" customWidth="1"/>
    <col min="13" max="13" width="14.28515625" customWidth="1"/>
    <col min="14" max="14" width="11.28515625" style="127" customWidth="1"/>
    <col min="15" max="15" width="12.140625" customWidth="1"/>
    <col min="16" max="16" width="13.140625" hidden="1" customWidth="1"/>
    <col min="17" max="17" width="14.28515625" customWidth="1"/>
    <col min="18" max="18" width="14.85546875" customWidth="1"/>
    <col min="19" max="19" width="12.140625" customWidth="1"/>
    <col min="20" max="20" width="13.140625" hidden="1" customWidth="1"/>
    <col min="21" max="21" width="14.28515625" customWidth="1"/>
    <col min="22" max="23" width="13.28515625" customWidth="1"/>
    <col min="24" max="24" width="13.28515625" hidden="1" customWidth="1"/>
    <col min="25" max="26" width="13.28515625" customWidth="1"/>
    <col min="27" max="27" width="12.140625" customWidth="1"/>
    <col min="28" max="28" width="13.140625" hidden="1" customWidth="1"/>
    <col min="29" max="29" width="14.28515625" customWidth="1"/>
    <col min="30" max="30" width="11.28515625" style="127" customWidth="1"/>
    <col min="31" max="31" width="12.140625" customWidth="1"/>
    <col min="32" max="32" width="13.140625" hidden="1" customWidth="1"/>
    <col min="33" max="33" width="14.28515625" customWidth="1"/>
    <col min="34" max="34" width="13" customWidth="1"/>
    <col min="35" max="35" width="12.140625" customWidth="1"/>
    <col min="36" max="36" width="13.140625" hidden="1" customWidth="1"/>
    <col min="37" max="38" width="14.28515625" customWidth="1"/>
    <col min="39" max="39" width="12.140625" customWidth="1"/>
    <col min="40" max="40" width="13.140625" hidden="1" customWidth="1"/>
    <col min="41" max="41" width="14.28515625" customWidth="1"/>
    <col min="42" max="42" width="15" customWidth="1"/>
    <col min="43" max="43" width="12.140625" customWidth="1"/>
    <col min="44" max="44" width="13.140625" hidden="1" customWidth="1"/>
    <col min="45" max="45" width="14.28515625" customWidth="1"/>
    <col min="46" max="46" width="11.28515625" style="127" customWidth="1"/>
    <col min="47" max="47" width="11.7109375" customWidth="1"/>
    <col min="48" max="48" width="11.140625" hidden="1" customWidth="1"/>
    <col min="49" max="49" width="13.5703125" customWidth="1"/>
    <col min="50" max="50" width="12.28515625" customWidth="1"/>
    <col min="52" max="52" width="0" hidden="1" customWidth="1"/>
  </cols>
  <sheetData>
    <row r="1" spans="1:54" ht="37.5" customHeight="1" x14ac:dyDescent="0.2">
      <c r="A1" s="404" t="s">
        <v>265</v>
      </c>
      <c r="B1" s="404"/>
      <c r="C1" s="404"/>
      <c r="D1" s="404"/>
      <c r="E1" s="404"/>
      <c r="F1" s="404"/>
      <c r="G1" s="404"/>
      <c r="H1" s="404"/>
    </row>
    <row r="2" spans="1:54" x14ac:dyDescent="0.2">
      <c r="A2" s="404"/>
      <c r="B2" s="404"/>
      <c r="C2" s="404"/>
      <c r="D2" s="404"/>
      <c r="E2" s="404"/>
      <c r="F2" s="404"/>
      <c r="G2" s="404"/>
      <c r="H2" s="404"/>
    </row>
    <row r="3" spans="1:54" x14ac:dyDescent="0.2">
      <c r="A3" s="48"/>
      <c r="B3" s="48"/>
      <c r="C3" s="48"/>
      <c r="D3" s="48"/>
      <c r="E3" s="48"/>
      <c r="F3" s="48"/>
    </row>
    <row r="4" spans="1:54" ht="17.45" customHeight="1" x14ac:dyDescent="0.2">
      <c r="A4" s="4" t="s">
        <v>113</v>
      </c>
      <c r="B4" s="9"/>
      <c r="C4" s="455">
        <v>48</v>
      </c>
      <c r="D4" s="455"/>
      <c r="E4" s="455"/>
      <c r="F4" s="455"/>
      <c r="G4" s="444">
        <v>106</v>
      </c>
      <c r="H4" s="444"/>
      <c r="I4" s="444"/>
      <c r="J4" s="444"/>
      <c r="K4" s="483" t="s">
        <v>92</v>
      </c>
      <c r="L4" s="483"/>
      <c r="M4" s="483"/>
      <c r="N4" s="483"/>
      <c r="O4" s="455">
        <v>85</v>
      </c>
      <c r="P4" s="455"/>
      <c r="Q4" s="455"/>
      <c r="R4" s="455"/>
      <c r="S4" s="444">
        <v>86</v>
      </c>
      <c r="T4" s="444"/>
      <c r="U4" s="444"/>
      <c r="V4" s="444"/>
      <c r="W4" s="444">
        <v>86</v>
      </c>
      <c r="X4" s="444"/>
      <c r="Y4" s="444"/>
      <c r="Z4" s="444"/>
      <c r="AA4" s="442" t="s">
        <v>95</v>
      </c>
      <c r="AB4" s="442"/>
      <c r="AC4" s="442"/>
      <c r="AD4" s="442"/>
      <c r="AE4" s="455">
        <v>57</v>
      </c>
      <c r="AF4" s="455"/>
      <c r="AG4" s="455"/>
      <c r="AH4" s="455"/>
      <c r="AI4" s="444">
        <v>84</v>
      </c>
      <c r="AJ4" s="444"/>
      <c r="AK4" s="444"/>
      <c r="AL4" s="444"/>
      <c r="AM4" s="455">
        <v>80</v>
      </c>
      <c r="AN4" s="455"/>
      <c r="AO4" s="455"/>
      <c r="AP4" s="455"/>
      <c r="AQ4" s="481" t="s">
        <v>121</v>
      </c>
      <c r="AR4" s="481"/>
      <c r="AS4" s="481"/>
      <c r="AT4" s="481"/>
      <c r="AU4" s="455">
        <v>61</v>
      </c>
      <c r="AV4" s="455"/>
      <c r="AW4" s="455"/>
      <c r="AX4" s="455"/>
      <c r="AY4" s="469" t="s">
        <v>122</v>
      </c>
      <c r="AZ4" s="469"/>
      <c r="BA4" s="469"/>
      <c r="BB4" s="469"/>
    </row>
    <row r="5" spans="1:54" ht="14.25" customHeight="1" x14ac:dyDescent="0.2">
      <c r="A5" s="5" t="s">
        <v>114</v>
      </c>
      <c r="B5" s="11"/>
      <c r="C5" s="470">
        <v>1340010</v>
      </c>
      <c r="D5" s="470"/>
      <c r="E5" s="470"/>
      <c r="F5" s="470"/>
      <c r="G5" s="449">
        <v>6149001</v>
      </c>
      <c r="H5" s="449"/>
      <c r="I5" s="449"/>
      <c r="J5" s="449"/>
      <c r="K5" s="483"/>
      <c r="L5" s="483"/>
      <c r="M5" s="483"/>
      <c r="N5" s="483"/>
      <c r="O5" s="470">
        <v>1340009</v>
      </c>
      <c r="P5" s="470"/>
      <c r="Q5" s="470"/>
      <c r="R5" s="470"/>
      <c r="S5" s="449">
        <v>1343010</v>
      </c>
      <c r="T5" s="449"/>
      <c r="U5" s="449"/>
      <c r="V5" s="449"/>
      <c r="W5" s="449">
        <v>1343171</v>
      </c>
      <c r="X5" s="449"/>
      <c r="Y5" s="449"/>
      <c r="Z5" s="449"/>
      <c r="AA5" s="442"/>
      <c r="AB5" s="442"/>
      <c r="AC5" s="442"/>
      <c r="AD5" s="442"/>
      <c r="AE5" s="470">
        <v>1340001</v>
      </c>
      <c r="AF5" s="470"/>
      <c r="AG5" s="470"/>
      <c r="AH5" s="470"/>
      <c r="AI5" s="449">
        <v>1340003</v>
      </c>
      <c r="AJ5" s="449"/>
      <c r="AK5" s="449"/>
      <c r="AL5" s="449"/>
      <c r="AM5" s="470">
        <v>1340012</v>
      </c>
      <c r="AN5" s="470"/>
      <c r="AO5" s="470"/>
      <c r="AP5" s="470"/>
      <c r="AQ5" s="481"/>
      <c r="AR5" s="481"/>
      <c r="AS5" s="481"/>
      <c r="AT5" s="481"/>
      <c r="AU5" s="470">
        <v>1343008</v>
      </c>
      <c r="AV5" s="470"/>
      <c r="AW5" s="470"/>
      <c r="AX5" s="470"/>
      <c r="AY5" s="469"/>
      <c r="AZ5" s="469"/>
      <c r="BA5" s="469"/>
      <c r="BB5" s="469"/>
    </row>
    <row r="6" spans="1:54" s="7" customFormat="1" ht="30.75" customHeight="1" x14ac:dyDescent="0.2">
      <c r="A6" s="8" t="s">
        <v>116</v>
      </c>
      <c r="B6" s="6"/>
      <c r="C6" s="447" t="s">
        <v>297</v>
      </c>
      <c r="D6" s="447"/>
      <c r="E6" s="447"/>
      <c r="F6" s="447"/>
      <c r="G6" s="447" t="s">
        <v>298</v>
      </c>
      <c r="H6" s="447"/>
      <c r="I6" s="447"/>
      <c r="J6" s="447"/>
      <c r="K6" s="483"/>
      <c r="L6" s="483"/>
      <c r="M6" s="483"/>
      <c r="N6" s="483"/>
      <c r="O6" s="447" t="s">
        <v>93</v>
      </c>
      <c r="P6" s="447"/>
      <c r="Q6" s="447"/>
      <c r="R6" s="447"/>
      <c r="S6" s="447" t="s">
        <v>94</v>
      </c>
      <c r="T6" s="447"/>
      <c r="U6" s="447"/>
      <c r="V6" s="447"/>
      <c r="W6" s="447" t="s">
        <v>208</v>
      </c>
      <c r="X6" s="447"/>
      <c r="Y6" s="447"/>
      <c r="Z6" s="447"/>
      <c r="AA6" s="442"/>
      <c r="AB6" s="442"/>
      <c r="AC6" s="442"/>
      <c r="AD6" s="442"/>
      <c r="AE6" s="447" t="s">
        <v>288</v>
      </c>
      <c r="AF6" s="447"/>
      <c r="AG6" s="447"/>
      <c r="AH6" s="447"/>
      <c r="AI6" s="447" t="s">
        <v>302</v>
      </c>
      <c r="AJ6" s="447"/>
      <c r="AK6" s="447"/>
      <c r="AL6" s="447"/>
      <c r="AM6" s="453" t="s">
        <v>299</v>
      </c>
      <c r="AN6" s="453"/>
      <c r="AO6" s="453"/>
      <c r="AP6" s="453"/>
      <c r="AQ6" s="481"/>
      <c r="AR6" s="481"/>
      <c r="AS6" s="481"/>
      <c r="AT6" s="481"/>
      <c r="AU6" s="453" t="s">
        <v>293</v>
      </c>
      <c r="AV6" s="453"/>
      <c r="AW6" s="453"/>
      <c r="AX6" s="453"/>
      <c r="AY6" s="469"/>
      <c r="AZ6" s="469"/>
      <c r="BA6" s="469"/>
      <c r="BB6" s="469"/>
    </row>
    <row r="7" spans="1:54" hidden="1" x14ac:dyDescent="0.2">
      <c r="A7" s="233">
        <v>12</v>
      </c>
      <c r="B7" s="3"/>
      <c r="C7" s="448" t="s">
        <v>90</v>
      </c>
      <c r="D7" s="448"/>
      <c r="E7" s="448"/>
      <c r="F7" s="448"/>
      <c r="G7" s="448" t="s">
        <v>91</v>
      </c>
      <c r="H7" s="448"/>
      <c r="I7" s="448"/>
      <c r="J7" s="448"/>
      <c r="K7" s="482" t="s">
        <v>92</v>
      </c>
      <c r="L7" s="482"/>
      <c r="M7" s="482"/>
      <c r="N7" s="482"/>
      <c r="O7" s="448" t="s">
        <v>93</v>
      </c>
      <c r="P7" s="448"/>
      <c r="Q7" s="448"/>
      <c r="R7" s="448"/>
      <c r="S7" s="448" t="s">
        <v>94</v>
      </c>
      <c r="T7" s="448"/>
      <c r="U7" s="448"/>
      <c r="V7" s="448"/>
      <c r="W7" s="448" t="s">
        <v>208</v>
      </c>
      <c r="X7" s="448"/>
      <c r="Y7" s="448"/>
      <c r="Z7" s="448"/>
      <c r="AA7" s="445" t="s">
        <v>95</v>
      </c>
      <c r="AB7" s="445"/>
      <c r="AC7" s="445"/>
      <c r="AD7" s="445"/>
      <c r="AE7" s="451" t="s">
        <v>96</v>
      </c>
      <c r="AF7" s="451"/>
      <c r="AG7" s="451"/>
      <c r="AH7" s="451"/>
      <c r="AI7" s="451" t="s">
        <v>97</v>
      </c>
      <c r="AJ7" s="451"/>
      <c r="AK7" s="451"/>
      <c r="AL7" s="451"/>
      <c r="AM7" s="451" t="s">
        <v>98</v>
      </c>
      <c r="AN7" s="451"/>
      <c r="AO7" s="451"/>
      <c r="AP7" s="451"/>
      <c r="AQ7" s="450" t="s">
        <v>99</v>
      </c>
      <c r="AR7" s="450"/>
      <c r="AS7" s="450"/>
      <c r="AT7" s="450"/>
      <c r="AU7" s="451" t="s">
        <v>100</v>
      </c>
      <c r="AV7" s="451"/>
      <c r="AW7" s="451"/>
      <c r="AX7" s="451"/>
      <c r="AY7" s="450" t="s">
        <v>101</v>
      </c>
      <c r="AZ7" s="450"/>
      <c r="BA7" s="450"/>
      <c r="BB7" s="450"/>
    </row>
    <row r="8" spans="1:54" ht="32.25" customHeight="1" x14ac:dyDescent="0.2">
      <c r="A8" s="26" t="s">
        <v>0</v>
      </c>
      <c r="B8" s="26" t="s">
        <v>1</v>
      </c>
      <c r="C8" s="430" t="s">
        <v>2</v>
      </c>
      <c r="D8" s="431"/>
      <c r="E8" s="431"/>
      <c r="F8" s="432"/>
      <c r="G8" s="430" t="s">
        <v>2</v>
      </c>
      <c r="H8" s="431"/>
      <c r="I8" s="431"/>
      <c r="J8" s="432"/>
      <c r="K8" s="465" t="s">
        <v>2</v>
      </c>
      <c r="L8" s="466"/>
      <c r="M8" s="466"/>
      <c r="N8" s="467"/>
      <c r="O8" s="430" t="s">
        <v>2</v>
      </c>
      <c r="P8" s="431"/>
      <c r="Q8" s="431"/>
      <c r="R8" s="432"/>
      <c r="S8" s="430" t="s">
        <v>2</v>
      </c>
      <c r="T8" s="431"/>
      <c r="U8" s="431"/>
      <c r="V8" s="432"/>
      <c r="W8" s="430" t="s">
        <v>2</v>
      </c>
      <c r="X8" s="431"/>
      <c r="Y8" s="431"/>
      <c r="Z8" s="432"/>
      <c r="AA8" s="430" t="s">
        <v>2</v>
      </c>
      <c r="AB8" s="431"/>
      <c r="AC8" s="431"/>
      <c r="AD8" s="432"/>
      <c r="AE8" s="430" t="s">
        <v>2</v>
      </c>
      <c r="AF8" s="431"/>
      <c r="AG8" s="431"/>
      <c r="AH8" s="432"/>
      <c r="AI8" s="430" t="s">
        <v>2</v>
      </c>
      <c r="AJ8" s="431"/>
      <c r="AK8" s="431"/>
      <c r="AL8" s="432"/>
      <c r="AM8" s="430" t="s">
        <v>2</v>
      </c>
      <c r="AN8" s="431"/>
      <c r="AO8" s="431"/>
      <c r="AP8" s="432"/>
      <c r="AQ8" s="430" t="s">
        <v>2</v>
      </c>
      <c r="AR8" s="431"/>
      <c r="AS8" s="431"/>
      <c r="AT8" s="432"/>
      <c r="AU8" s="430" t="s">
        <v>2</v>
      </c>
      <c r="AV8" s="431"/>
      <c r="AW8" s="431"/>
      <c r="AX8" s="432"/>
      <c r="AY8" s="430" t="s">
        <v>2</v>
      </c>
      <c r="AZ8" s="431"/>
      <c r="BA8" s="431"/>
      <c r="BB8" s="432"/>
    </row>
    <row r="9" spans="1:54" s="40" customFormat="1" ht="62.25" customHeight="1" x14ac:dyDescent="0.2">
      <c r="A9" s="47"/>
      <c r="B9" s="47"/>
      <c r="C9" s="146" t="s">
        <v>181</v>
      </c>
      <c r="D9" s="146" t="s">
        <v>353</v>
      </c>
      <c r="E9" s="146" t="s">
        <v>182</v>
      </c>
      <c r="F9" s="146" t="s">
        <v>183</v>
      </c>
      <c r="G9" s="146" t="s">
        <v>181</v>
      </c>
      <c r="H9" s="146" t="s">
        <v>353</v>
      </c>
      <c r="I9" s="146" t="s">
        <v>182</v>
      </c>
      <c r="J9" s="146" t="s">
        <v>183</v>
      </c>
      <c r="K9" s="232" t="s">
        <v>181</v>
      </c>
      <c r="L9" s="232" t="s">
        <v>353</v>
      </c>
      <c r="M9" s="232" t="s">
        <v>182</v>
      </c>
      <c r="N9" s="232" t="s">
        <v>183</v>
      </c>
      <c r="O9" s="146" t="s">
        <v>181</v>
      </c>
      <c r="P9" s="146" t="s">
        <v>353</v>
      </c>
      <c r="Q9" s="146" t="s">
        <v>182</v>
      </c>
      <c r="R9" s="146" t="s">
        <v>183</v>
      </c>
      <c r="S9" s="146" t="s">
        <v>181</v>
      </c>
      <c r="T9" s="146" t="s">
        <v>353</v>
      </c>
      <c r="U9" s="146" t="s">
        <v>182</v>
      </c>
      <c r="V9" s="146" t="s">
        <v>183</v>
      </c>
      <c r="W9" s="146" t="s">
        <v>181</v>
      </c>
      <c r="X9" s="146" t="s">
        <v>353</v>
      </c>
      <c r="Y9" s="146" t="s">
        <v>182</v>
      </c>
      <c r="Z9" s="146" t="s">
        <v>183</v>
      </c>
      <c r="AA9" s="146" t="s">
        <v>181</v>
      </c>
      <c r="AB9" s="146" t="s">
        <v>353</v>
      </c>
      <c r="AC9" s="146" t="s">
        <v>182</v>
      </c>
      <c r="AD9" s="146" t="s">
        <v>183</v>
      </c>
      <c r="AE9" s="146" t="s">
        <v>181</v>
      </c>
      <c r="AF9" s="146" t="s">
        <v>353</v>
      </c>
      <c r="AG9" s="146" t="s">
        <v>182</v>
      </c>
      <c r="AH9" s="146" t="s">
        <v>183</v>
      </c>
      <c r="AI9" s="146" t="s">
        <v>181</v>
      </c>
      <c r="AJ9" s="146" t="s">
        <v>353</v>
      </c>
      <c r="AK9" s="146" t="s">
        <v>182</v>
      </c>
      <c r="AL9" s="146" t="s">
        <v>183</v>
      </c>
      <c r="AM9" s="146" t="s">
        <v>181</v>
      </c>
      <c r="AN9" s="146" t="s">
        <v>353</v>
      </c>
      <c r="AO9" s="146" t="s">
        <v>182</v>
      </c>
      <c r="AP9" s="146" t="s">
        <v>183</v>
      </c>
      <c r="AQ9" s="146" t="s">
        <v>181</v>
      </c>
      <c r="AR9" s="146" t="s">
        <v>353</v>
      </c>
      <c r="AS9" s="146" t="s">
        <v>182</v>
      </c>
      <c r="AT9" s="146" t="s">
        <v>183</v>
      </c>
      <c r="AU9" s="146" t="s">
        <v>181</v>
      </c>
      <c r="AV9" s="146" t="s">
        <v>353</v>
      </c>
      <c r="AW9" s="146" t="s">
        <v>182</v>
      </c>
      <c r="AX9" s="146" t="s">
        <v>183</v>
      </c>
      <c r="AY9" s="146" t="s">
        <v>181</v>
      </c>
      <c r="AZ9" s="146" t="s">
        <v>353</v>
      </c>
      <c r="BA9" s="146" t="s">
        <v>182</v>
      </c>
      <c r="BB9" s="146" t="s">
        <v>183</v>
      </c>
    </row>
    <row r="10" spans="1:54" x14ac:dyDescent="0.2">
      <c r="A10" s="2">
        <v>1</v>
      </c>
      <c r="B10" s="2">
        <v>3</v>
      </c>
      <c r="C10" s="2">
        <v>4</v>
      </c>
      <c r="D10" s="2">
        <v>5</v>
      </c>
      <c r="E10" s="2">
        <v>6</v>
      </c>
      <c r="F10" s="2">
        <v>7</v>
      </c>
      <c r="G10" s="2">
        <v>4</v>
      </c>
      <c r="H10" s="2">
        <v>5</v>
      </c>
      <c r="I10" s="2">
        <v>6</v>
      </c>
      <c r="J10" s="2">
        <v>7</v>
      </c>
      <c r="K10" s="1">
        <v>4</v>
      </c>
      <c r="L10" s="2">
        <v>5</v>
      </c>
      <c r="M10" s="2">
        <v>6</v>
      </c>
      <c r="N10" s="148">
        <v>7</v>
      </c>
      <c r="O10" s="2">
        <v>4</v>
      </c>
      <c r="P10" s="2">
        <v>5</v>
      </c>
      <c r="Q10" s="2">
        <v>6</v>
      </c>
      <c r="R10" s="2">
        <v>7</v>
      </c>
      <c r="S10" s="2">
        <v>4</v>
      </c>
      <c r="T10" s="2">
        <v>5</v>
      </c>
      <c r="U10" s="2">
        <v>6</v>
      </c>
      <c r="V10" s="2">
        <v>7</v>
      </c>
      <c r="W10" s="2">
        <v>4</v>
      </c>
      <c r="X10" s="2">
        <v>5</v>
      </c>
      <c r="Y10" s="2">
        <v>6</v>
      </c>
      <c r="Z10" s="2">
        <v>7</v>
      </c>
      <c r="AA10" s="1">
        <v>4</v>
      </c>
      <c r="AB10" s="2">
        <v>5</v>
      </c>
      <c r="AC10" s="2">
        <v>6</v>
      </c>
      <c r="AD10" s="148">
        <v>7</v>
      </c>
      <c r="AE10" s="2">
        <v>4</v>
      </c>
      <c r="AF10" s="2">
        <v>5</v>
      </c>
      <c r="AG10" s="2">
        <v>6</v>
      </c>
      <c r="AH10" s="2">
        <v>7</v>
      </c>
      <c r="AI10" s="2">
        <v>4</v>
      </c>
      <c r="AJ10" s="2">
        <v>5</v>
      </c>
      <c r="AK10" s="2">
        <v>6</v>
      </c>
      <c r="AL10" s="2">
        <v>7</v>
      </c>
      <c r="AM10" s="2">
        <v>4</v>
      </c>
      <c r="AN10" s="2">
        <v>5</v>
      </c>
      <c r="AO10" s="2">
        <v>6</v>
      </c>
      <c r="AP10" s="2">
        <v>7</v>
      </c>
      <c r="AQ10" s="1">
        <v>4</v>
      </c>
      <c r="AR10" s="2">
        <v>5</v>
      </c>
      <c r="AS10" s="2">
        <v>6</v>
      </c>
      <c r="AT10" s="148">
        <v>7</v>
      </c>
      <c r="AU10" s="2">
        <v>4</v>
      </c>
      <c r="AV10" s="2">
        <v>5</v>
      </c>
      <c r="AW10" s="2">
        <v>6</v>
      </c>
      <c r="AX10" s="2">
        <v>7</v>
      </c>
      <c r="AY10" s="1">
        <f>SUM(AU10)</f>
        <v>4</v>
      </c>
      <c r="AZ10" s="2">
        <v>5</v>
      </c>
      <c r="BA10" s="2">
        <v>6</v>
      </c>
      <c r="BB10" s="2">
        <v>7</v>
      </c>
    </row>
    <row r="11" spans="1:54" s="22" customFormat="1" ht="14.1" customHeight="1" x14ac:dyDescent="0.2">
      <c r="A11" s="149" t="s">
        <v>124</v>
      </c>
      <c r="B11" s="19"/>
      <c r="C11" s="20"/>
      <c r="D11" s="20"/>
      <c r="E11" s="20"/>
      <c r="F11" s="21"/>
      <c r="G11" s="20"/>
      <c r="H11" s="20"/>
      <c r="I11" s="20"/>
      <c r="J11" s="21"/>
      <c r="K11" s="236"/>
      <c r="L11" s="236"/>
      <c r="M11" s="236"/>
      <c r="N11" s="235"/>
      <c r="O11" s="20"/>
      <c r="P11" s="20"/>
      <c r="Q11" s="20"/>
      <c r="R11" s="21"/>
      <c r="S11" s="20"/>
      <c r="T11" s="20"/>
      <c r="U11" s="20"/>
      <c r="V11" s="21"/>
      <c r="W11" s="20"/>
      <c r="X11" s="20"/>
      <c r="Y11" s="20"/>
      <c r="Z11" s="21"/>
      <c r="AA11" s="23"/>
      <c r="AB11" s="23"/>
      <c r="AC11" s="23"/>
      <c r="AD11" s="210"/>
      <c r="AE11" s="20"/>
      <c r="AF11" s="20"/>
      <c r="AG11" s="20"/>
      <c r="AH11" s="21"/>
      <c r="AI11" s="20"/>
      <c r="AJ11" s="20"/>
      <c r="AK11" s="20"/>
      <c r="AL11" s="21"/>
      <c r="AM11" s="20"/>
      <c r="AN11" s="20"/>
      <c r="AO11" s="20"/>
      <c r="AP11" s="21"/>
      <c r="AQ11" s="23"/>
      <c r="AR11" s="23"/>
      <c r="AS11" s="23"/>
      <c r="AT11" s="210"/>
      <c r="AU11" s="20"/>
      <c r="AV11" s="20"/>
      <c r="AW11" s="20"/>
      <c r="AX11" s="21"/>
      <c r="AY11" s="210"/>
      <c r="AZ11" s="210"/>
      <c r="BA11" s="210"/>
      <c r="BB11" s="210"/>
    </row>
    <row r="12" spans="1:54" s="22" customFormat="1" ht="14.1" customHeight="1" x14ac:dyDescent="0.2">
      <c r="A12" s="112" t="s">
        <v>125</v>
      </c>
      <c r="B12" s="196" t="s">
        <v>3</v>
      </c>
      <c r="C12" s="117">
        <f t="shared" ref="C12:H12" si="0">C14+C15+C16+C17</f>
        <v>33202</v>
      </c>
      <c r="D12" s="117">
        <f t="shared" si="0"/>
        <v>33202</v>
      </c>
      <c r="E12" s="117">
        <f t="shared" ref="E12:I12" si="1">E14+E15+E16+E17</f>
        <v>92150</v>
      </c>
      <c r="F12" s="117">
        <f>IF(D12=0,0,E12/D12*100)</f>
        <v>277.54352147460992</v>
      </c>
      <c r="G12" s="117">
        <f t="shared" si="0"/>
        <v>3326</v>
      </c>
      <c r="H12" s="117">
        <f t="shared" si="0"/>
        <v>3326</v>
      </c>
      <c r="I12" s="117">
        <f t="shared" si="1"/>
        <v>3326</v>
      </c>
      <c r="J12" s="117">
        <f>IF(H12=0,0,I12/H12*100)</f>
        <v>100</v>
      </c>
      <c r="K12" s="236">
        <f>G12+C12</f>
        <v>36528</v>
      </c>
      <c r="L12" s="236">
        <f>H12+D12</f>
        <v>36528</v>
      </c>
      <c r="M12" s="236">
        <f>I12+E12</f>
        <v>95476</v>
      </c>
      <c r="N12" s="235">
        <f>IF(L12=0,0,M12/L12*100)</f>
        <v>261.37757336837495</v>
      </c>
      <c r="O12" s="117">
        <f t="shared" ref="O12" si="2">O14+O15+O16+O17</f>
        <v>9901</v>
      </c>
      <c r="P12" s="115">
        <f>O12</f>
        <v>9901</v>
      </c>
      <c r="Q12" s="117">
        <f t="shared" ref="Q12" si="3">Q14+Q15+Q16+Q17</f>
        <v>9901</v>
      </c>
      <c r="R12" s="117">
        <f>IF(P12=0,0,Q12/P12*100)</f>
        <v>100</v>
      </c>
      <c r="S12" s="117">
        <f t="shared" ref="S12" si="4">S14+S15+S16+S17</f>
        <v>4861</v>
      </c>
      <c r="T12" s="115">
        <f>S12</f>
        <v>4861</v>
      </c>
      <c r="U12" s="117">
        <f t="shared" ref="U12" si="5">U14+U15+U16+U17</f>
        <v>4861</v>
      </c>
      <c r="V12" s="117">
        <f>IF(T12=0,0,U12/T12*100)</f>
        <v>100</v>
      </c>
      <c r="W12" s="117">
        <f t="shared" ref="W12:X12" si="6">W14+W15+W16+W17</f>
        <v>7661</v>
      </c>
      <c r="X12" s="117">
        <f t="shared" si="6"/>
        <v>7661</v>
      </c>
      <c r="Y12" s="117">
        <f t="shared" ref="Y12" si="7">Y14+Y15+Y16+Y17</f>
        <v>40596</v>
      </c>
      <c r="Z12" s="117">
        <f>IF(X12=0,0,Y12/X12*100)</f>
        <v>529.9047121785668</v>
      </c>
      <c r="AA12" s="210">
        <f>S12+O12+W12</f>
        <v>22423</v>
      </c>
      <c r="AB12" s="210">
        <f t="shared" ref="AB12:AC27" si="8">T12+P12+X12</f>
        <v>22423</v>
      </c>
      <c r="AC12" s="210">
        <f t="shared" si="8"/>
        <v>55358</v>
      </c>
      <c r="AD12" s="210">
        <f>IF(AB12=0,0,AC12/AB12*100)</f>
        <v>246.88043526735939</v>
      </c>
      <c r="AE12" s="117">
        <f t="shared" ref="AE12:AF12" si="9">AE14+AE15+AE16+AE17</f>
        <v>3412</v>
      </c>
      <c r="AF12" s="117">
        <f t="shared" si="9"/>
        <v>3412</v>
      </c>
      <c r="AG12" s="117">
        <f t="shared" ref="AG12" si="10">AG14+AG15+AG16+AG17</f>
        <v>8019</v>
      </c>
      <c r="AH12" s="117">
        <f>IF(AF12=0,0,AG12/AF12*100)</f>
        <v>235.02344665885113</v>
      </c>
      <c r="AI12" s="117">
        <f t="shared" ref="AI12" si="11">AI14+AI15+AI16+AI17</f>
        <v>2665</v>
      </c>
      <c r="AJ12" s="115">
        <f t="shared" ref="AJ12:AJ77" si="12">ROUND(AI12/12*$A$7,0)</f>
        <v>2665</v>
      </c>
      <c r="AK12" s="117">
        <f t="shared" ref="AK12" si="13">AK14+AK15+AK16+AK17</f>
        <v>4055</v>
      </c>
      <c r="AL12" s="117">
        <f>IF(AJ12=0,0,AK12/AJ12*100)</f>
        <v>152.15759849906192</v>
      </c>
      <c r="AM12" s="117">
        <f t="shared" ref="AM12:AN12" si="14">AM14+AM15+AM16+AM17</f>
        <v>11348</v>
      </c>
      <c r="AN12" s="117">
        <f t="shared" si="14"/>
        <v>11348</v>
      </c>
      <c r="AO12" s="117">
        <f t="shared" ref="AO12" si="15">AO14+AO15+AO16+AO17</f>
        <v>15799</v>
      </c>
      <c r="AP12" s="117">
        <f>IF(AN12=0,0,AO12/AN12*100)</f>
        <v>139.22277053225238</v>
      </c>
      <c r="AQ12" s="210">
        <f t="shared" ref="AQ12:AQ77" si="16">SUM(AM12,AI12,AE12,AA12,K12)</f>
        <v>76376</v>
      </c>
      <c r="AR12" s="210">
        <f t="shared" ref="AR12:AR77" si="17">SUM(AN12,AJ12,AF12,AB12,L12)</f>
        <v>76376</v>
      </c>
      <c r="AS12" s="210">
        <f t="shared" ref="AS12:AS77" si="18">SUM(AO12,AK12,AG12,AC12,M12)</f>
        <v>178707</v>
      </c>
      <c r="AT12" s="210">
        <f>IF(AR12=0,0,AS12/AR12*100)</f>
        <v>233.98318843615797</v>
      </c>
      <c r="AU12" s="117">
        <f t="shared" ref="AU12:AV12" si="19">AU14+AU15+AU16+AU17</f>
        <v>11286</v>
      </c>
      <c r="AV12" s="117">
        <f t="shared" si="19"/>
        <v>11286</v>
      </c>
      <c r="AW12" s="117">
        <f t="shared" ref="AW12" si="20">AW14+AW15+AW16+AW17</f>
        <v>43969</v>
      </c>
      <c r="AX12" s="117">
        <f>IF(AV12=0,0,AW12/AV12*100)</f>
        <v>389.58887116781852</v>
      </c>
      <c r="AY12" s="210">
        <f t="shared" ref="AY12:AY77" si="21">SUM(AU12)</f>
        <v>11286</v>
      </c>
      <c r="AZ12" s="210">
        <f t="shared" ref="AZ12:AZ77" si="22">SUM(AV12)</f>
        <v>11286</v>
      </c>
      <c r="BA12" s="210">
        <f t="shared" ref="BA12:BA77" si="23">SUM(AW12)</f>
        <v>43969</v>
      </c>
      <c r="BB12" s="210">
        <f>IF(AZ12=0,0,BA12/AZ12*100)</f>
        <v>389.58887116781852</v>
      </c>
    </row>
    <row r="13" spans="1:54" s="22" customFormat="1" ht="15" customHeight="1" x14ac:dyDescent="0.2">
      <c r="A13" s="154" t="s">
        <v>126</v>
      </c>
      <c r="B13" s="197" t="s">
        <v>3</v>
      </c>
      <c r="C13" s="99"/>
      <c r="D13" s="97">
        <f t="shared" ref="D13:H27" si="24">ROUND(C13/12*$A$7,0)</f>
        <v>0</v>
      </c>
      <c r="E13" s="99"/>
      <c r="F13" s="99">
        <f t="shared" ref="F13:F78" si="25">IF(D13=0,0,E13/D13*100)</f>
        <v>0</v>
      </c>
      <c r="G13" s="99"/>
      <c r="H13" s="97">
        <f t="shared" si="24"/>
        <v>0</v>
      </c>
      <c r="I13" s="99"/>
      <c r="J13" s="99">
        <f t="shared" ref="J13:J78" si="26">IF(H13=0,0,I13/H13*100)</f>
        <v>0</v>
      </c>
      <c r="K13" s="236">
        <f t="shared" ref="K13:K78" si="27">G13+C13</f>
        <v>0</v>
      </c>
      <c r="L13" s="236">
        <f t="shared" ref="L13:L78" si="28">H13+D13</f>
        <v>0</v>
      </c>
      <c r="M13" s="236">
        <f t="shared" ref="M13:M78" si="29">I13+E13</f>
        <v>0</v>
      </c>
      <c r="N13" s="235">
        <f t="shared" ref="N13:N78" si="30">IF(L13=0,0,M13/L13*100)</f>
        <v>0</v>
      </c>
      <c r="O13" s="99"/>
      <c r="P13" s="115">
        <f t="shared" ref="P13:P78" si="31">O13</f>
        <v>0</v>
      </c>
      <c r="Q13" s="99"/>
      <c r="R13" s="99">
        <f t="shared" ref="R13:R78" si="32">IF(P13=0,0,Q13/P13*100)</f>
        <v>0</v>
      </c>
      <c r="S13" s="99"/>
      <c r="T13" s="115">
        <f t="shared" ref="T13:T78" si="33">S13</f>
        <v>0</v>
      </c>
      <c r="U13" s="99"/>
      <c r="V13" s="99">
        <f t="shared" ref="V13:V78" si="34">IF(T13=0,0,U13/T13*100)</f>
        <v>0</v>
      </c>
      <c r="W13" s="99"/>
      <c r="X13" s="115"/>
      <c r="Y13" s="99"/>
      <c r="Z13" s="99">
        <f t="shared" ref="Z13:Z78" si="35">IF(X13=0,0,Y13/X13*100)</f>
        <v>0</v>
      </c>
      <c r="AA13" s="210">
        <f t="shared" ref="AA13:AC78" si="36">S13+O13+W13</f>
        <v>0</v>
      </c>
      <c r="AB13" s="210">
        <f t="shared" si="8"/>
        <v>0</v>
      </c>
      <c r="AC13" s="210">
        <f t="shared" si="8"/>
        <v>0</v>
      </c>
      <c r="AD13" s="210">
        <f t="shared" ref="AD13:AD78" si="37">IF(AB13=0,0,AC13/AB13*100)</f>
        <v>0</v>
      </c>
      <c r="AE13" s="99"/>
      <c r="AF13" s="97">
        <f t="shared" ref="AF13:AF77" si="38">ROUND(AE13/12*$A$7,0)</f>
        <v>0</v>
      </c>
      <c r="AG13" s="99"/>
      <c r="AH13" s="99">
        <f t="shared" ref="AH13:AH78" si="39">IF(AF13=0,0,AG13/AF13*100)</f>
        <v>0</v>
      </c>
      <c r="AI13" s="99"/>
      <c r="AJ13" s="97">
        <f t="shared" si="12"/>
        <v>0</v>
      </c>
      <c r="AK13" s="99"/>
      <c r="AL13" s="99">
        <f t="shared" ref="AL13:AL78" si="40">IF(AJ13=0,0,AK13/AJ13*100)</f>
        <v>0</v>
      </c>
      <c r="AM13" s="99"/>
      <c r="AN13" s="97">
        <f t="shared" ref="AN13:AN77" si="41">ROUND(AM13/12*$A$7,0)</f>
        <v>0</v>
      </c>
      <c r="AO13" s="99"/>
      <c r="AP13" s="99">
        <f t="shared" ref="AP13:AP78" si="42">IF(AN13=0,0,AO13/AN13*100)</f>
        <v>0</v>
      </c>
      <c r="AQ13" s="210">
        <f t="shared" si="16"/>
        <v>0</v>
      </c>
      <c r="AR13" s="210">
        <f t="shared" si="17"/>
        <v>0</v>
      </c>
      <c r="AS13" s="210">
        <f t="shared" si="18"/>
        <v>0</v>
      </c>
      <c r="AT13" s="210">
        <f t="shared" ref="AT13:AT78" si="43">IF(AR13=0,0,AS13/AR13*100)</f>
        <v>0</v>
      </c>
      <c r="AU13" s="99"/>
      <c r="AV13" s="97">
        <f t="shared" ref="AV13:AV77" si="44">ROUND(AU13/12*$A$7,0)</f>
        <v>0</v>
      </c>
      <c r="AW13" s="99"/>
      <c r="AX13" s="99">
        <f t="shared" ref="AX13:AX78" si="45">IF(AV13=0,0,AW13/AV13*100)</f>
        <v>0</v>
      </c>
      <c r="AY13" s="210">
        <f t="shared" si="21"/>
        <v>0</v>
      </c>
      <c r="AZ13" s="210">
        <f t="shared" si="22"/>
        <v>0</v>
      </c>
      <c r="BA13" s="210">
        <f t="shared" si="23"/>
        <v>0</v>
      </c>
      <c r="BB13" s="210">
        <f t="shared" ref="BB13:BB78" si="46">IF(AZ13=0,0,BA13/AZ13*100)</f>
        <v>0</v>
      </c>
    </row>
    <row r="14" spans="1:54" s="22" customFormat="1" ht="15.75" x14ac:dyDescent="0.2">
      <c r="A14" s="154" t="s">
        <v>127</v>
      </c>
      <c r="B14" s="197" t="s">
        <v>3</v>
      </c>
      <c r="C14" s="99"/>
      <c r="D14" s="97">
        <f t="shared" si="24"/>
        <v>0</v>
      </c>
      <c r="E14" s="99"/>
      <c r="F14" s="99">
        <f t="shared" si="25"/>
        <v>0</v>
      </c>
      <c r="G14" s="99"/>
      <c r="H14" s="97">
        <f t="shared" si="24"/>
        <v>0</v>
      </c>
      <c r="I14" s="99"/>
      <c r="J14" s="99">
        <f t="shared" si="26"/>
        <v>0</v>
      </c>
      <c r="K14" s="236">
        <f t="shared" si="27"/>
        <v>0</v>
      </c>
      <c r="L14" s="236">
        <f t="shared" si="28"/>
        <v>0</v>
      </c>
      <c r="M14" s="236">
        <f t="shared" si="29"/>
        <v>0</v>
      </c>
      <c r="N14" s="235">
        <f t="shared" si="30"/>
        <v>0</v>
      </c>
      <c r="O14" s="99"/>
      <c r="P14" s="115">
        <f t="shared" si="31"/>
        <v>0</v>
      </c>
      <c r="Q14" s="99"/>
      <c r="R14" s="99">
        <f t="shared" si="32"/>
        <v>0</v>
      </c>
      <c r="S14" s="99"/>
      <c r="T14" s="115">
        <f t="shared" si="33"/>
        <v>0</v>
      </c>
      <c r="U14" s="99"/>
      <c r="V14" s="99">
        <f t="shared" si="34"/>
        <v>0</v>
      </c>
      <c r="W14" s="99"/>
      <c r="X14" s="115"/>
      <c r="Y14" s="99"/>
      <c r="Z14" s="99">
        <f t="shared" si="35"/>
        <v>0</v>
      </c>
      <c r="AA14" s="210">
        <f t="shared" si="36"/>
        <v>0</v>
      </c>
      <c r="AB14" s="210">
        <f t="shared" si="8"/>
        <v>0</v>
      </c>
      <c r="AC14" s="210">
        <f t="shared" si="8"/>
        <v>0</v>
      </c>
      <c r="AD14" s="210">
        <f t="shared" si="37"/>
        <v>0</v>
      </c>
      <c r="AE14" s="99"/>
      <c r="AF14" s="97">
        <f t="shared" si="38"/>
        <v>0</v>
      </c>
      <c r="AG14" s="99"/>
      <c r="AH14" s="99">
        <f t="shared" si="39"/>
        <v>0</v>
      </c>
      <c r="AI14" s="99"/>
      <c r="AJ14" s="97">
        <f t="shared" si="12"/>
        <v>0</v>
      </c>
      <c r="AK14" s="99"/>
      <c r="AL14" s="99">
        <f t="shared" si="40"/>
        <v>0</v>
      </c>
      <c r="AM14" s="99"/>
      <c r="AN14" s="97">
        <f t="shared" si="41"/>
        <v>0</v>
      </c>
      <c r="AO14" s="99"/>
      <c r="AP14" s="99">
        <f t="shared" si="42"/>
        <v>0</v>
      </c>
      <c r="AQ14" s="210">
        <f t="shared" si="16"/>
        <v>0</v>
      </c>
      <c r="AR14" s="210">
        <f t="shared" si="17"/>
        <v>0</v>
      </c>
      <c r="AS14" s="210">
        <f t="shared" si="18"/>
        <v>0</v>
      </c>
      <c r="AT14" s="210">
        <f t="shared" si="43"/>
        <v>0</v>
      </c>
      <c r="AU14" s="99"/>
      <c r="AV14" s="97">
        <f t="shared" si="44"/>
        <v>0</v>
      </c>
      <c r="AW14" s="99"/>
      <c r="AX14" s="99">
        <f t="shared" si="45"/>
        <v>0</v>
      </c>
      <c r="AY14" s="210">
        <f t="shared" si="21"/>
        <v>0</v>
      </c>
      <c r="AZ14" s="210">
        <f t="shared" si="22"/>
        <v>0</v>
      </c>
      <c r="BA14" s="210">
        <f t="shared" si="23"/>
        <v>0</v>
      </c>
      <c r="BB14" s="210">
        <f t="shared" si="46"/>
        <v>0</v>
      </c>
    </row>
    <row r="15" spans="1:54" s="22" customFormat="1" ht="31.5" x14ac:dyDescent="0.2">
      <c r="A15" s="154" t="s">
        <v>128</v>
      </c>
      <c r="B15" s="197" t="s">
        <v>3</v>
      </c>
      <c r="C15" s="99">
        <v>9376</v>
      </c>
      <c r="D15" s="97">
        <f t="shared" si="24"/>
        <v>9376</v>
      </c>
      <c r="E15" s="99">
        <v>300</v>
      </c>
      <c r="F15" s="99">
        <f t="shared" si="25"/>
        <v>3.1996587030716719</v>
      </c>
      <c r="G15" s="99">
        <v>360</v>
      </c>
      <c r="H15" s="250">
        <f>G15</f>
        <v>360</v>
      </c>
      <c r="I15" s="99">
        <v>360</v>
      </c>
      <c r="J15" s="99">
        <f t="shared" si="26"/>
        <v>100</v>
      </c>
      <c r="K15" s="236">
        <f t="shared" si="27"/>
        <v>9736</v>
      </c>
      <c r="L15" s="236">
        <f t="shared" si="28"/>
        <v>9736</v>
      </c>
      <c r="M15" s="236">
        <f t="shared" si="29"/>
        <v>660</v>
      </c>
      <c r="N15" s="235">
        <f t="shared" si="30"/>
        <v>6.7789646672144617</v>
      </c>
      <c r="O15" s="99">
        <v>70</v>
      </c>
      <c r="P15" s="115">
        <f t="shared" si="31"/>
        <v>70</v>
      </c>
      <c r="Q15" s="99">
        <v>70</v>
      </c>
      <c r="R15" s="99">
        <f t="shared" si="32"/>
        <v>100</v>
      </c>
      <c r="S15" s="99">
        <v>8</v>
      </c>
      <c r="T15" s="115">
        <f t="shared" si="33"/>
        <v>8</v>
      </c>
      <c r="U15" s="99">
        <v>8</v>
      </c>
      <c r="V15" s="99">
        <f t="shared" si="34"/>
        <v>100</v>
      </c>
      <c r="W15" s="99">
        <v>6322</v>
      </c>
      <c r="X15" s="331">
        <v>6322</v>
      </c>
      <c r="Y15" s="99">
        <v>1866</v>
      </c>
      <c r="Z15" s="99">
        <f t="shared" si="35"/>
        <v>29.515975956975645</v>
      </c>
      <c r="AA15" s="210">
        <f t="shared" si="36"/>
        <v>6400</v>
      </c>
      <c r="AB15" s="210">
        <f t="shared" si="8"/>
        <v>6400</v>
      </c>
      <c r="AC15" s="210">
        <f t="shared" si="8"/>
        <v>1944</v>
      </c>
      <c r="AD15" s="210">
        <f t="shared" si="37"/>
        <v>30.375000000000004</v>
      </c>
      <c r="AE15" s="99">
        <v>600</v>
      </c>
      <c r="AF15" s="97">
        <f t="shared" si="38"/>
        <v>600</v>
      </c>
      <c r="AG15" s="99">
        <v>248</v>
      </c>
      <c r="AH15" s="99">
        <f t="shared" si="39"/>
        <v>41.333333333333336</v>
      </c>
      <c r="AI15" s="99">
        <v>600</v>
      </c>
      <c r="AJ15" s="97">
        <f t="shared" si="12"/>
        <v>600</v>
      </c>
      <c r="AK15" s="99">
        <v>539</v>
      </c>
      <c r="AL15" s="99">
        <f t="shared" si="40"/>
        <v>89.833333333333329</v>
      </c>
      <c r="AM15" s="99">
        <v>4720</v>
      </c>
      <c r="AN15" s="97">
        <f t="shared" si="41"/>
        <v>4720</v>
      </c>
      <c r="AO15" s="99">
        <v>5152</v>
      </c>
      <c r="AP15" s="99">
        <f t="shared" si="42"/>
        <v>109.15254237288134</v>
      </c>
      <c r="AQ15" s="210">
        <f t="shared" si="16"/>
        <v>22056</v>
      </c>
      <c r="AR15" s="210">
        <f t="shared" si="17"/>
        <v>22056</v>
      </c>
      <c r="AS15" s="210">
        <f t="shared" si="18"/>
        <v>8543</v>
      </c>
      <c r="AT15" s="210">
        <f t="shared" si="43"/>
        <v>38.733224519405155</v>
      </c>
      <c r="AU15" s="99">
        <v>20</v>
      </c>
      <c r="AV15" s="97">
        <f t="shared" si="44"/>
        <v>20</v>
      </c>
      <c r="AW15" s="99">
        <v>27</v>
      </c>
      <c r="AX15" s="99">
        <f t="shared" si="45"/>
        <v>135</v>
      </c>
      <c r="AY15" s="210">
        <f t="shared" si="21"/>
        <v>20</v>
      </c>
      <c r="AZ15" s="210">
        <f t="shared" si="22"/>
        <v>20</v>
      </c>
      <c r="BA15" s="210">
        <f t="shared" si="23"/>
        <v>27</v>
      </c>
      <c r="BB15" s="210">
        <f t="shared" si="46"/>
        <v>135</v>
      </c>
    </row>
    <row r="16" spans="1:54" ht="14.1" customHeight="1" x14ac:dyDescent="0.2">
      <c r="A16" s="154" t="s">
        <v>129</v>
      </c>
      <c r="B16" s="197" t="s">
        <v>3</v>
      </c>
      <c r="C16" s="99">
        <v>320</v>
      </c>
      <c r="D16" s="97">
        <f t="shared" si="24"/>
        <v>320</v>
      </c>
      <c r="E16" s="99">
        <v>214</v>
      </c>
      <c r="F16" s="99">
        <f t="shared" si="25"/>
        <v>66.875</v>
      </c>
      <c r="G16" s="99"/>
      <c r="H16" s="250">
        <f t="shared" si="24"/>
        <v>0</v>
      </c>
      <c r="I16" s="99"/>
      <c r="J16" s="99">
        <f t="shared" si="26"/>
        <v>0</v>
      </c>
      <c r="K16" s="236">
        <f t="shared" si="27"/>
        <v>320</v>
      </c>
      <c r="L16" s="236">
        <f t="shared" si="28"/>
        <v>320</v>
      </c>
      <c r="M16" s="236">
        <f t="shared" si="29"/>
        <v>214</v>
      </c>
      <c r="N16" s="235">
        <f t="shared" si="30"/>
        <v>66.875</v>
      </c>
      <c r="O16" s="99"/>
      <c r="P16" s="115">
        <f t="shared" si="31"/>
        <v>0</v>
      </c>
      <c r="Q16" s="99"/>
      <c r="R16" s="99">
        <f t="shared" si="32"/>
        <v>0</v>
      </c>
      <c r="S16" s="99">
        <v>10</v>
      </c>
      <c r="T16" s="115">
        <f t="shared" si="33"/>
        <v>10</v>
      </c>
      <c r="U16" s="99">
        <v>10</v>
      </c>
      <c r="V16" s="99">
        <f t="shared" si="34"/>
        <v>100</v>
      </c>
      <c r="W16" s="99">
        <v>140</v>
      </c>
      <c r="X16" s="331">
        <v>140</v>
      </c>
      <c r="Y16" s="99">
        <v>19</v>
      </c>
      <c r="Z16" s="99">
        <f t="shared" si="35"/>
        <v>13.571428571428571</v>
      </c>
      <c r="AA16" s="210">
        <f t="shared" si="36"/>
        <v>150</v>
      </c>
      <c r="AB16" s="210">
        <f t="shared" si="8"/>
        <v>150</v>
      </c>
      <c r="AC16" s="210">
        <f t="shared" si="8"/>
        <v>29</v>
      </c>
      <c r="AD16" s="210">
        <f t="shared" si="37"/>
        <v>19.333333333333332</v>
      </c>
      <c r="AE16" s="99">
        <v>30</v>
      </c>
      <c r="AF16" s="97">
        <f t="shared" si="38"/>
        <v>30</v>
      </c>
      <c r="AG16" s="99">
        <v>0</v>
      </c>
      <c r="AH16" s="99">
        <f t="shared" si="39"/>
        <v>0</v>
      </c>
      <c r="AI16" s="99">
        <v>17</v>
      </c>
      <c r="AJ16" s="97">
        <f t="shared" si="12"/>
        <v>17</v>
      </c>
      <c r="AK16" s="99">
        <v>20</v>
      </c>
      <c r="AL16" s="99">
        <f t="shared" si="40"/>
        <v>117.64705882352942</v>
      </c>
      <c r="AM16" s="99">
        <v>100</v>
      </c>
      <c r="AN16" s="97">
        <f t="shared" si="41"/>
        <v>100</v>
      </c>
      <c r="AO16" s="99">
        <v>26</v>
      </c>
      <c r="AP16" s="99">
        <f t="shared" si="42"/>
        <v>26</v>
      </c>
      <c r="AQ16" s="210">
        <f t="shared" si="16"/>
        <v>617</v>
      </c>
      <c r="AR16" s="210">
        <f t="shared" si="17"/>
        <v>617</v>
      </c>
      <c r="AS16" s="210">
        <f t="shared" si="18"/>
        <v>289</v>
      </c>
      <c r="AT16" s="210">
        <f t="shared" si="43"/>
        <v>46.839546191247969</v>
      </c>
      <c r="AU16" s="99">
        <v>97</v>
      </c>
      <c r="AV16" s="97">
        <f t="shared" si="44"/>
        <v>97</v>
      </c>
      <c r="AW16" s="99">
        <v>103</v>
      </c>
      <c r="AX16" s="99">
        <f t="shared" si="45"/>
        <v>106.18556701030928</v>
      </c>
      <c r="AY16" s="210">
        <f t="shared" si="21"/>
        <v>97</v>
      </c>
      <c r="AZ16" s="210">
        <f t="shared" si="22"/>
        <v>97</v>
      </c>
      <c r="BA16" s="210">
        <f t="shared" si="23"/>
        <v>103</v>
      </c>
      <c r="BB16" s="210">
        <f t="shared" si="46"/>
        <v>106.18556701030928</v>
      </c>
    </row>
    <row r="17" spans="1:54" s="17" customFormat="1" ht="15.75" x14ac:dyDescent="0.2">
      <c r="A17" s="154" t="s">
        <v>130</v>
      </c>
      <c r="B17" s="197" t="s">
        <v>3</v>
      </c>
      <c r="C17" s="99">
        <v>23506</v>
      </c>
      <c r="D17" s="97">
        <f t="shared" si="24"/>
        <v>23506</v>
      </c>
      <c r="E17" s="99">
        <v>91636</v>
      </c>
      <c r="F17" s="99">
        <f t="shared" si="25"/>
        <v>389.84089168722875</v>
      </c>
      <c r="G17" s="99">
        <v>2966</v>
      </c>
      <c r="H17" s="250">
        <f t="shared" ref="H17:H18" si="47">G17</f>
        <v>2966</v>
      </c>
      <c r="I17" s="99">
        <f>2715+251</f>
        <v>2966</v>
      </c>
      <c r="J17" s="99">
        <f t="shared" si="26"/>
        <v>100</v>
      </c>
      <c r="K17" s="236">
        <f t="shared" si="27"/>
        <v>26472</v>
      </c>
      <c r="L17" s="236">
        <f t="shared" si="28"/>
        <v>26472</v>
      </c>
      <c r="M17" s="236">
        <f t="shared" si="29"/>
        <v>94602</v>
      </c>
      <c r="N17" s="235">
        <f t="shared" si="30"/>
        <v>357.36627379873073</v>
      </c>
      <c r="O17" s="99">
        <v>9831</v>
      </c>
      <c r="P17" s="115">
        <f t="shared" si="31"/>
        <v>9831</v>
      </c>
      <c r="Q17" s="99">
        <v>9831</v>
      </c>
      <c r="R17" s="99">
        <f t="shared" si="32"/>
        <v>100</v>
      </c>
      <c r="S17" s="99">
        <v>4843</v>
      </c>
      <c r="T17" s="115">
        <f t="shared" si="33"/>
        <v>4843</v>
      </c>
      <c r="U17" s="99">
        <v>4843</v>
      </c>
      <c r="V17" s="99">
        <f t="shared" si="34"/>
        <v>100</v>
      </c>
      <c r="W17" s="99">
        <v>1199</v>
      </c>
      <c r="X17" s="331">
        <v>1199</v>
      </c>
      <c r="Y17" s="99">
        <v>38711</v>
      </c>
      <c r="Z17" s="99">
        <f t="shared" si="35"/>
        <v>3228.6071726438699</v>
      </c>
      <c r="AA17" s="210">
        <f t="shared" si="36"/>
        <v>15873</v>
      </c>
      <c r="AB17" s="210">
        <f t="shared" si="8"/>
        <v>15873</v>
      </c>
      <c r="AC17" s="210">
        <f t="shared" si="8"/>
        <v>53385</v>
      </c>
      <c r="AD17" s="210">
        <f t="shared" si="37"/>
        <v>336.32583632583635</v>
      </c>
      <c r="AE17" s="99">
        <v>2782</v>
      </c>
      <c r="AF17" s="97">
        <f t="shared" si="38"/>
        <v>2782</v>
      </c>
      <c r="AG17" s="99">
        <v>7771</v>
      </c>
      <c r="AH17" s="99">
        <f t="shared" si="39"/>
        <v>279.33141624730411</v>
      </c>
      <c r="AI17" s="99">
        <v>2048</v>
      </c>
      <c r="AJ17" s="97">
        <f t="shared" si="12"/>
        <v>2048</v>
      </c>
      <c r="AK17" s="99">
        <v>3496</v>
      </c>
      <c r="AL17" s="99">
        <f t="shared" si="40"/>
        <v>170.703125</v>
      </c>
      <c r="AM17" s="99">
        <v>6528</v>
      </c>
      <c r="AN17" s="97">
        <f t="shared" si="41"/>
        <v>6528</v>
      </c>
      <c r="AO17" s="99">
        <v>10621</v>
      </c>
      <c r="AP17" s="99">
        <f t="shared" si="42"/>
        <v>162.69914215686273</v>
      </c>
      <c r="AQ17" s="210">
        <f t="shared" si="16"/>
        <v>53703</v>
      </c>
      <c r="AR17" s="210">
        <f t="shared" si="17"/>
        <v>53703</v>
      </c>
      <c r="AS17" s="210">
        <f t="shared" si="18"/>
        <v>169875</v>
      </c>
      <c r="AT17" s="210">
        <f t="shared" si="43"/>
        <v>316.32311044075749</v>
      </c>
      <c r="AU17" s="99">
        <v>11169</v>
      </c>
      <c r="AV17" s="97">
        <f t="shared" si="44"/>
        <v>11169</v>
      </c>
      <c r="AW17" s="99">
        <v>43839</v>
      </c>
      <c r="AX17" s="99">
        <f t="shared" si="45"/>
        <v>392.50604351329577</v>
      </c>
      <c r="AY17" s="210">
        <f t="shared" si="21"/>
        <v>11169</v>
      </c>
      <c r="AZ17" s="210">
        <f t="shared" si="22"/>
        <v>11169</v>
      </c>
      <c r="BA17" s="210">
        <f t="shared" si="23"/>
        <v>43839</v>
      </c>
      <c r="BB17" s="210">
        <f t="shared" si="46"/>
        <v>392.50604351329577</v>
      </c>
    </row>
    <row r="18" spans="1:54" s="22" customFormat="1" ht="15.75" x14ac:dyDescent="0.2">
      <c r="A18" s="194" t="s">
        <v>131</v>
      </c>
      <c r="B18" s="197"/>
      <c r="C18" s="99">
        <v>43735</v>
      </c>
      <c r="D18" s="195">
        <f t="shared" si="24"/>
        <v>43735</v>
      </c>
      <c r="E18" s="99">
        <f>25647+E20/4/3.2</f>
        <v>27988.015625</v>
      </c>
      <c r="F18" s="99">
        <f t="shared" si="25"/>
        <v>63.994548130787699</v>
      </c>
      <c r="G18" s="99">
        <v>3806</v>
      </c>
      <c r="H18" s="250">
        <f t="shared" si="47"/>
        <v>3806</v>
      </c>
      <c r="I18" s="99">
        <f>3404+I20/4/3.2</f>
        <v>3806.34375</v>
      </c>
      <c r="J18" s="99">
        <f t="shared" si="26"/>
        <v>100.00903179190752</v>
      </c>
      <c r="K18" s="236">
        <f t="shared" si="27"/>
        <v>47541</v>
      </c>
      <c r="L18" s="236">
        <f t="shared" si="28"/>
        <v>47541</v>
      </c>
      <c r="M18" s="236">
        <f t="shared" si="29"/>
        <v>31794.359375</v>
      </c>
      <c r="N18" s="235">
        <f t="shared" si="30"/>
        <v>66.877767348183667</v>
      </c>
      <c r="O18" s="99">
        <v>4214</v>
      </c>
      <c r="P18" s="115">
        <f t="shared" si="31"/>
        <v>4214</v>
      </c>
      <c r="Q18" s="99">
        <f>3961+Q20/4/3.2</f>
        <v>4213.75390625</v>
      </c>
      <c r="R18" s="99">
        <f t="shared" si="32"/>
        <v>99.994160091362133</v>
      </c>
      <c r="S18" s="99">
        <v>2120</v>
      </c>
      <c r="T18" s="115">
        <f t="shared" si="33"/>
        <v>2120</v>
      </c>
      <c r="U18" s="99">
        <f>1881+U20/4/3.2</f>
        <v>2120.00390625</v>
      </c>
      <c r="V18" s="99">
        <f t="shared" si="34"/>
        <v>100.00018425707546</v>
      </c>
      <c r="W18" s="99">
        <v>34710</v>
      </c>
      <c r="X18" s="331">
        <v>34710</v>
      </c>
      <c r="Y18" s="99">
        <f>19983+Y20/4/3.2</f>
        <v>21890.01171875</v>
      </c>
      <c r="Z18" s="99">
        <f t="shared" si="35"/>
        <v>63.065432782339379</v>
      </c>
      <c r="AA18" s="210">
        <f t="shared" si="36"/>
        <v>41044</v>
      </c>
      <c r="AB18" s="210">
        <f t="shared" si="8"/>
        <v>41044</v>
      </c>
      <c r="AC18" s="210">
        <f t="shared" si="8"/>
        <v>28223.76953125</v>
      </c>
      <c r="AD18" s="210">
        <f t="shared" si="37"/>
        <v>68.764666044367019</v>
      </c>
      <c r="AE18" s="99">
        <v>7425</v>
      </c>
      <c r="AF18" s="195">
        <f t="shared" si="38"/>
        <v>7425</v>
      </c>
      <c r="AG18" s="99">
        <f>4646+AG20/4/3.2</f>
        <v>5231.25390625</v>
      </c>
      <c r="AH18" s="99">
        <f t="shared" si="39"/>
        <v>70.454598063973066</v>
      </c>
      <c r="AI18" s="99">
        <v>4493</v>
      </c>
      <c r="AJ18" s="195">
        <f t="shared" si="12"/>
        <v>4493</v>
      </c>
      <c r="AK18" s="99">
        <f>2613+AK20/4/3.2</f>
        <v>2854.3671875</v>
      </c>
      <c r="AL18" s="99">
        <f t="shared" si="40"/>
        <v>63.529205152459376</v>
      </c>
      <c r="AM18" s="99">
        <v>15245</v>
      </c>
      <c r="AN18" s="195">
        <f t="shared" si="41"/>
        <v>15245</v>
      </c>
      <c r="AO18" s="99">
        <f>14481+AO20/4/3.2</f>
        <v>15839.4375</v>
      </c>
      <c r="AP18" s="99">
        <f t="shared" si="42"/>
        <v>103.89922925549359</v>
      </c>
      <c r="AQ18" s="210">
        <f t="shared" si="16"/>
        <v>115748</v>
      </c>
      <c r="AR18" s="210">
        <f t="shared" si="17"/>
        <v>115748</v>
      </c>
      <c r="AS18" s="210">
        <f t="shared" si="18"/>
        <v>83943.1875</v>
      </c>
      <c r="AT18" s="210">
        <f t="shared" si="43"/>
        <v>72.522365397242282</v>
      </c>
      <c r="AU18" s="99">
        <v>56109</v>
      </c>
      <c r="AV18" s="195">
        <f t="shared" si="44"/>
        <v>56109</v>
      </c>
      <c r="AW18" s="99">
        <f>24634+AW20/4/3.2</f>
        <v>29221.34375</v>
      </c>
      <c r="AX18" s="99">
        <f t="shared" si="45"/>
        <v>52.079601757293837</v>
      </c>
      <c r="AY18" s="210">
        <f t="shared" si="21"/>
        <v>56109</v>
      </c>
      <c r="AZ18" s="210">
        <f t="shared" si="22"/>
        <v>56109</v>
      </c>
      <c r="BA18" s="210">
        <f t="shared" si="23"/>
        <v>29221.34375</v>
      </c>
      <c r="BB18" s="210">
        <f t="shared" si="46"/>
        <v>52.079601757293837</v>
      </c>
    </row>
    <row r="19" spans="1:54" s="22" customFormat="1" ht="15" customHeight="1" x14ac:dyDescent="0.2">
      <c r="A19" s="194" t="s">
        <v>132</v>
      </c>
      <c r="B19" s="197"/>
      <c r="C19" s="99"/>
      <c r="D19" s="195">
        <f t="shared" si="24"/>
        <v>0</v>
      </c>
      <c r="E19" s="99"/>
      <c r="F19" s="99">
        <f t="shared" si="25"/>
        <v>0</v>
      </c>
      <c r="G19" s="99"/>
      <c r="H19" s="360">
        <f t="shared" si="24"/>
        <v>0</v>
      </c>
      <c r="I19" s="99"/>
      <c r="J19" s="99">
        <f t="shared" si="26"/>
        <v>0</v>
      </c>
      <c r="K19" s="236">
        <f t="shared" si="27"/>
        <v>0</v>
      </c>
      <c r="L19" s="236">
        <f t="shared" si="28"/>
        <v>0</v>
      </c>
      <c r="M19" s="236">
        <f t="shared" si="29"/>
        <v>0</v>
      </c>
      <c r="N19" s="235">
        <f t="shared" si="30"/>
        <v>0</v>
      </c>
      <c r="O19" s="99"/>
      <c r="P19" s="115">
        <f t="shared" si="31"/>
        <v>0</v>
      </c>
      <c r="Q19" s="99"/>
      <c r="R19" s="99">
        <f t="shared" si="32"/>
        <v>0</v>
      </c>
      <c r="S19" s="99"/>
      <c r="T19" s="115">
        <f t="shared" si="33"/>
        <v>0</v>
      </c>
      <c r="U19" s="99"/>
      <c r="V19" s="99">
        <f t="shared" si="34"/>
        <v>0</v>
      </c>
      <c r="W19" s="99"/>
      <c r="X19" s="331"/>
      <c r="Y19" s="99"/>
      <c r="Z19" s="99">
        <f t="shared" si="35"/>
        <v>0</v>
      </c>
      <c r="AA19" s="210">
        <f t="shared" si="36"/>
        <v>0</v>
      </c>
      <c r="AB19" s="210">
        <f t="shared" si="8"/>
        <v>0</v>
      </c>
      <c r="AC19" s="210">
        <f t="shared" si="8"/>
        <v>0</v>
      </c>
      <c r="AD19" s="210">
        <f t="shared" si="37"/>
        <v>0</v>
      </c>
      <c r="AE19" s="99"/>
      <c r="AF19" s="195">
        <f t="shared" si="38"/>
        <v>0</v>
      </c>
      <c r="AG19" s="99"/>
      <c r="AH19" s="99">
        <f t="shared" si="39"/>
        <v>0</v>
      </c>
      <c r="AI19" s="99"/>
      <c r="AJ19" s="195">
        <f t="shared" si="12"/>
        <v>0</v>
      </c>
      <c r="AK19" s="99"/>
      <c r="AL19" s="99">
        <f t="shared" si="40"/>
        <v>0</v>
      </c>
      <c r="AM19" s="99"/>
      <c r="AN19" s="195">
        <f t="shared" si="41"/>
        <v>0</v>
      </c>
      <c r="AO19" s="99"/>
      <c r="AP19" s="99">
        <f t="shared" si="42"/>
        <v>0</v>
      </c>
      <c r="AQ19" s="210">
        <f t="shared" si="16"/>
        <v>0</v>
      </c>
      <c r="AR19" s="210">
        <f t="shared" si="17"/>
        <v>0</v>
      </c>
      <c r="AS19" s="210">
        <f t="shared" si="18"/>
        <v>0</v>
      </c>
      <c r="AT19" s="210">
        <f t="shared" si="43"/>
        <v>0</v>
      </c>
      <c r="AU19" s="99"/>
      <c r="AV19" s="195">
        <f t="shared" si="44"/>
        <v>0</v>
      </c>
      <c r="AW19" s="99"/>
      <c r="AX19" s="99">
        <f t="shared" si="45"/>
        <v>0</v>
      </c>
      <c r="AY19" s="210">
        <f t="shared" si="21"/>
        <v>0</v>
      </c>
      <c r="AZ19" s="210">
        <f t="shared" si="22"/>
        <v>0</v>
      </c>
      <c r="BA19" s="210">
        <f t="shared" si="23"/>
        <v>0</v>
      </c>
      <c r="BB19" s="210">
        <f t="shared" si="46"/>
        <v>0</v>
      </c>
    </row>
    <row r="20" spans="1:54" s="22" customFormat="1" ht="15.75" x14ac:dyDescent="0.2">
      <c r="A20" s="194" t="s">
        <v>133</v>
      </c>
      <c r="B20" s="197"/>
      <c r="C20" s="99">
        <v>40000</v>
      </c>
      <c r="D20" s="195">
        <f t="shared" si="24"/>
        <v>40000</v>
      </c>
      <c r="E20" s="99">
        <v>29965</v>
      </c>
      <c r="F20" s="99">
        <f t="shared" si="25"/>
        <v>74.912500000000009</v>
      </c>
      <c r="G20" s="99">
        <v>5150</v>
      </c>
      <c r="H20" s="250">
        <f t="shared" ref="H20:H21" si="48">G20</f>
        <v>5150</v>
      </c>
      <c r="I20" s="99">
        <v>5150</v>
      </c>
      <c r="J20" s="99">
        <f t="shared" si="26"/>
        <v>100</v>
      </c>
      <c r="K20" s="236">
        <f t="shared" si="27"/>
        <v>45150</v>
      </c>
      <c r="L20" s="236">
        <f t="shared" si="28"/>
        <v>45150</v>
      </c>
      <c r="M20" s="236">
        <f t="shared" si="29"/>
        <v>35115</v>
      </c>
      <c r="N20" s="235">
        <f t="shared" si="30"/>
        <v>77.774086378737536</v>
      </c>
      <c r="O20" s="99">
        <v>3235</v>
      </c>
      <c r="P20" s="115">
        <f t="shared" si="31"/>
        <v>3235</v>
      </c>
      <c r="Q20" s="99">
        <v>3235.25</v>
      </c>
      <c r="R20" s="99">
        <f t="shared" si="32"/>
        <v>100.00772797527048</v>
      </c>
      <c r="S20" s="99">
        <v>3059</v>
      </c>
      <c r="T20" s="115">
        <f t="shared" si="33"/>
        <v>3059</v>
      </c>
      <c r="U20" s="99">
        <v>3059.25</v>
      </c>
      <c r="V20" s="99">
        <f t="shared" si="34"/>
        <v>100.00817260542661</v>
      </c>
      <c r="W20" s="99">
        <v>33906</v>
      </c>
      <c r="X20" s="331">
        <v>33906</v>
      </c>
      <c r="Y20" s="99">
        <v>24409.75</v>
      </c>
      <c r="Z20" s="99">
        <f t="shared" si="35"/>
        <v>71.992420220609915</v>
      </c>
      <c r="AA20" s="210">
        <f t="shared" si="36"/>
        <v>40200</v>
      </c>
      <c r="AB20" s="210">
        <f t="shared" si="8"/>
        <v>40200</v>
      </c>
      <c r="AC20" s="210">
        <f t="shared" si="8"/>
        <v>30704.25</v>
      </c>
      <c r="AD20" s="210">
        <f t="shared" si="37"/>
        <v>76.378731343283576</v>
      </c>
      <c r="AE20" s="99">
        <v>6000</v>
      </c>
      <c r="AF20" s="195">
        <f t="shared" si="38"/>
        <v>6000</v>
      </c>
      <c r="AG20" s="99">
        <v>7491.25</v>
      </c>
      <c r="AH20" s="99">
        <f t="shared" si="39"/>
        <v>124.85416666666667</v>
      </c>
      <c r="AI20" s="99">
        <v>5650</v>
      </c>
      <c r="AJ20" s="195">
        <f t="shared" si="12"/>
        <v>5650</v>
      </c>
      <c r="AK20" s="99">
        <v>3089.5</v>
      </c>
      <c r="AL20" s="99">
        <f t="shared" si="40"/>
        <v>54.681415929203538</v>
      </c>
      <c r="AM20" s="99">
        <v>22000</v>
      </c>
      <c r="AN20" s="195">
        <f t="shared" si="41"/>
        <v>22000</v>
      </c>
      <c r="AO20" s="99">
        <v>17388</v>
      </c>
      <c r="AP20" s="99">
        <f t="shared" si="42"/>
        <v>79.036363636363632</v>
      </c>
      <c r="AQ20" s="210">
        <f t="shared" si="16"/>
        <v>119000</v>
      </c>
      <c r="AR20" s="210">
        <f t="shared" si="17"/>
        <v>119000</v>
      </c>
      <c r="AS20" s="210">
        <f t="shared" si="18"/>
        <v>93788</v>
      </c>
      <c r="AT20" s="210">
        <f t="shared" si="43"/>
        <v>78.813445378151258</v>
      </c>
      <c r="AU20" s="99">
        <v>57000</v>
      </c>
      <c r="AV20" s="195">
        <f t="shared" si="44"/>
        <v>57000</v>
      </c>
      <c r="AW20" s="99">
        <v>58718</v>
      </c>
      <c r="AX20" s="99">
        <f t="shared" si="45"/>
        <v>103.01403508771929</v>
      </c>
      <c r="AY20" s="210">
        <f t="shared" si="21"/>
        <v>57000</v>
      </c>
      <c r="AZ20" s="210">
        <f t="shared" si="22"/>
        <v>57000</v>
      </c>
      <c r="BA20" s="210">
        <f t="shared" si="23"/>
        <v>58718</v>
      </c>
      <c r="BB20" s="210">
        <f t="shared" si="46"/>
        <v>103.01403508771929</v>
      </c>
    </row>
    <row r="21" spans="1:54" ht="31.5" x14ac:dyDescent="0.2">
      <c r="A21" s="194" t="s">
        <v>134</v>
      </c>
      <c r="B21" s="197" t="s">
        <v>3</v>
      </c>
      <c r="C21" s="99">
        <v>9999</v>
      </c>
      <c r="D21" s="195">
        <f t="shared" si="24"/>
        <v>9999</v>
      </c>
      <c r="E21" s="99">
        <v>7730</v>
      </c>
      <c r="F21" s="99">
        <f t="shared" si="25"/>
        <v>77.30773077307731</v>
      </c>
      <c r="G21" s="99">
        <v>739</v>
      </c>
      <c r="H21" s="250">
        <f t="shared" si="48"/>
        <v>739</v>
      </c>
      <c r="I21" s="99">
        <f>700+39</f>
        <v>739</v>
      </c>
      <c r="J21" s="99">
        <f t="shared" si="26"/>
        <v>100</v>
      </c>
      <c r="K21" s="236">
        <f t="shared" si="27"/>
        <v>10738</v>
      </c>
      <c r="L21" s="236">
        <f t="shared" si="28"/>
        <v>10738</v>
      </c>
      <c r="M21" s="236">
        <f t="shared" si="29"/>
        <v>8469</v>
      </c>
      <c r="N21" s="235">
        <f t="shared" si="30"/>
        <v>78.869435649096658</v>
      </c>
      <c r="O21" s="99">
        <v>489</v>
      </c>
      <c r="P21" s="115">
        <f t="shared" si="31"/>
        <v>489</v>
      </c>
      <c r="Q21" s="99">
        <v>489</v>
      </c>
      <c r="R21" s="99">
        <f t="shared" si="32"/>
        <v>100</v>
      </c>
      <c r="S21" s="99">
        <v>726</v>
      </c>
      <c r="T21" s="115">
        <f t="shared" si="33"/>
        <v>726</v>
      </c>
      <c r="U21" s="99">
        <v>726</v>
      </c>
      <c r="V21" s="99">
        <f t="shared" si="34"/>
        <v>100</v>
      </c>
      <c r="W21" s="99">
        <v>9784</v>
      </c>
      <c r="X21" s="331">
        <v>9784</v>
      </c>
      <c r="Y21" s="99">
        <v>5874</v>
      </c>
      <c r="Z21" s="99">
        <f t="shared" si="35"/>
        <v>60.036794766966473</v>
      </c>
      <c r="AA21" s="210">
        <f t="shared" si="36"/>
        <v>10999</v>
      </c>
      <c r="AB21" s="210">
        <f t="shared" si="8"/>
        <v>10999</v>
      </c>
      <c r="AC21" s="210">
        <f t="shared" si="8"/>
        <v>7089</v>
      </c>
      <c r="AD21" s="210">
        <f t="shared" si="37"/>
        <v>64.451313755795979</v>
      </c>
      <c r="AE21" s="99">
        <v>1963</v>
      </c>
      <c r="AF21" s="195">
        <f t="shared" si="38"/>
        <v>1963</v>
      </c>
      <c r="AG21" s="99">
        <v>288</v>
      </c>
      <c r="AH21" s="99">
        <f t="shared" si="39"/>
        <v>14.671421293937851</v>
      </c>
      <c r="AI21" s="99">
        <v>1191</v>
      </c>
      <c r="AJ21" s="195">
        <f t="shared" si="12"/>
        <v>1191</v>
      </c>
      <c r="AK21" s="99">
        <v>883</v>
      </c>
      <c r="AL21" s="99">
        <f t="shared" si="40"/>
        <v>74.139378673383717</v>
      </c>
      <c r="AM21" s="99">
        <v>4388</v>
      </c>
      <c r="AN21" s="195">
        <f t="shared" si="41"/>
        <v>4388</v>
      </c>
      <c r="AO21" s="99">
        <v>4072</v>
      </c>
      <c r="AP21" s="99">
        <f t="shared" si="42"/>
        <v>92.798541476754778</v>
      </c>
      <c r="AQ21" s="210">
        <f t="shared" si="16"/>
        <v>29279</v>
      </c>
      <c r="AR21" s="210">
        <f t="shared" si="17"/>
        <v>29279</v>
      </c>
      <c r="AS21" s="210">
        <f t="shared" si="18"/>
        <v>20801</v>
      </c>
      <c r="AT21" s="210">
        <f t="shared" si="43"/>
        <v>71.044093035964337</v>
      </c>
      <c r="AU21" s="99">
        <v>8375</v>
      </c>
      <c r="AV21" s="195">
        <f t="shared" si="44"/>
        <v>8375</v>
      </c>
      <c r="AW21" s="99">
        <v>7485</v>
      </c>
      <c r="AX21" s="99">
        <f t="shared" si="45"/>
        <v>89.373134328358205</v>
      </c>
      <c r="AY21" s="210">
        <f t="shared" si="21"/>
        <v>8375</v>
      </c>
      <c r="AZ21" s="210">
        <f t="shared" si="22"/>
        <v>8375</v>
      </c>
      <c r="BA21" s="210">
        <f t="shared" si="23"/>
        <v>7485</v>
      </c>
      <c r="BB21" s="210">
        <f t="shared" si="46"/>
        <v>89.373134328358205</v>
      </c>
    </row>
    <row r="22" spans="1:54" s="275" customFormat="1" ht="15.75" x14ac:dyDescent="0.2">
      <c r="A22" s="194" t="s">
        <v>135</v>
      </c>
      <c r="B22" s="197"/>
      <c r="C22" s="99">
        <v>907</v>
      </c>
      <c r="D22" s="195">
        <f t="shared" si="24"/>
        <v>907</v>
      </c>
      <c r="E22" s="99">
        <v>1844</v>
      </c>
      <c r="F22" s="99">
        <f t="shared" si="25"/>
        <v>203.30760749724365</v>
      </c>
      <c r="G22" s="99"/>
      <c r="H22" s="195">
        <f t="shared" si="24"/>
        <v>0</v>
      </c>
      <c r="I22" s="99"/>
      <c r="J22" s="99">
        <f t="shared" si="26"/>
        <v>0</v>
      </c>
      <c r="K22" s="279">
        <f t="shared" si="27"/>
        <v>907</v>
      </c>
      <c r="L22" s="279">
        <f t="shared" si="28"/>
        <v>907</v>
      </c>
      <c r="M22" s="279">
        <f t="shared" si="29"/>
        <v>1844</v>
      </c>
      <c r="N22" s="278">
        <f t="shared" si="30"/>
        <v>203.30760749724365</v>
      </c>
      <c r="O22" s="99"/>
      <c r="P22" s="195">
        <f t="shared" si="31"/>
        <v>0</v>
      </c>
      <c r="Q22" s="99"/>
      <c r="R22" s="99">
        <f t="shared" si="32"/>
        <v>0</v>
      </c>
      <c r="S22" s="99"/>
      <c r="T22" s="195">
        <f t="shared" si="33"/>
        <v>0</v>
      </c>
      <c r="U22" s="99"/>
      <c r="V22" s="99">
        <f t="shared" si="34"/>
        <v>0</v>
      </c>
      <c r="W22" s="99"/>
      <c r="X22" s="195"/>
      <c r="Y22" s="99"/>
      <c r="Z22" s="99">
        <f t="shared" si="35"/>
        <v>0</v>
      </c>
      <c r="AA22" s="152">
        <f t="shared" si="36"/>
        <v>0</v>
      </c>
      <c r="AB22" s="152">
        <f t="shared" si="8"/>
        <v>0</v>
      </c>
      <c r="AC22" s="152">
        <f t="shared" si="8"/>
        <v>0</v>
      </c>
      <c r="AD22" s="152">
        <f t="shared" si="37"/>
        <v>0</v>
      </c>
      <c r="AE22" s="99"/>
      <c r="AF22" s="195">
        <f t="shared" si="38"/>
        <v>0</v>
      </c>
      <c r="AG22" s="99"/>
      <c r="AH22" s="99">
        <f t="shared" si="39"/>
        <v>0</v>
      </c>
      <c r="AI22" s="99"/>
      <c r="AJ22" s="195">
        <f t="shared" si="12"/>
        <v>0</v>
      </c>
      <c r="AK22" s="99"/>
      <c r="AL22" s="99">
        <f t="shared" si="40"/>
        <v>0</v>
      </c>
      <c r="AM22" s="99"/>
      <c r="AN22" s="195">
        <f t="shared" si="41"/>
        <v>0</v>
      </c>
      <c r="AO22" s="99"/>
      <c r="AP22" s="99">
        <f t="shared" si="42"/>
        <v>0</v>
      </c>
      <c r="AQ22" s="152">
        <f t="shared" si="16"/>
        <v>907</v>
      </c>
      <c r="AR22" s="152">
        <f t="shared" si="17"/>
        <v>907</v>
      </c>
      <c r="AS22" s="152">
        <f t="shared" si="18"/>
        <v>1844</v>
      </c>
      <c r="AT22" s="152">
        <f t="shared" si="43"/>
        <v>203.30760749724365</v>
      </c>
      <c r="AU22" s="99"/>
      <c r="AV22" s="195">
        <f t="shared" si="44"/>
        <v>0</v>
      </c>
      <c r="AW22" s="99"/>
      <c r="AX22" s="99">
        <f t="shared" si="45"/>
        <v>0</v>
      </c>
      <c r="AY22" s="152">
        <f t="shared" si="21"/>
        <v>0</v>
      </c>
      <c r="AZ22" s="152">
        <f t="shared" si="22"/>
        <v>0</v>
      </c>
      <c r="BA22" s="152">
        <f t="shared" si="23"/>
        <v>0</v>
      </c>
      <c r="BB22" s="152">
        <f t="shared" si="46"/>
        <v>0</v>
      </c>
    </row>
    <row r="23" spans="1:54" s="22" customFormat="1" ht="28.5" x14ac:dyDescent="0.2">
      <c r="A23" s="118" t="s">
        <v>136</v>
      </c>
      <c r="B23" s="198" t="s">
        <v>3</v>
      </c>
      <c r="C23" s="123">
        <f t="shared" ref="C23:H23" si="49">SUM(C12+C18*3.2+C21)</f>
        <v>183153</v>
      </c>
      <c r="D23" s="123">
        <f t="shared" si="49"/>
        <v>183153</v>
      </c>
      <c r="E23" s="123">
        <f t="shared" ref="E23:I23" si="50">SUM(E12+E18*3.2+E21)</f>
        <v>189441.65000000002</v>
      </c>
      <c r="F23" s="123">
        <f t="shared" si="25"/>
        <v>103.43355009199959</v>
      </c>
      <c r="G23" s="123">
        <f t="shared" si="49"/>
        <v>16244.2</v>
      </c>
      <c r="H23" s="123">
        <f t="shared" si="49"/>
        <v>16244.2</v>
      </c>
      <c r="I23" s="123">
        <f t="shared" si="50"/>
        <v>16245.300000000001</v>
      </c>
      <c r="J23" s="123">
        <f t="shared" si="26"/>
        <v>100.00677164772658</v>
      </c>
      <c r="K23" s="236">
        <f t="shared" si="27"/>
        <v>199397.2</v>
      </c>
      <c r="L23" s="236">
        <f t="shared" si="28"/>
        <v>199397.2</v>
      </c>
      <c r="M23" s="236">
        <f t="shared" si="29"/>
        <v>205686.95</v>
      </c>
      <c r="N23" s="235">
        <f t="shared" si="30"/>
        <v>103.15438230827714</v>
      </c>
      <c r="O23" s="123">
        <f t="shared" ref="O23" si="51">SUM(O12+O18*3.2+O21)</f>
        <v>23874.800000000003</v>
      </c>
      <c r="P23" s="115">
        <f t="shared" si="31"/>
        <v>23874.800000000003</v>
      </c>
      <c r="Q23" s="123">
        <f t="shared" ref="Q23" si="52">SUM(Q12+Q18*3.2+Q21)</f>
        <v>23874.012500000001</v>
      </c>
      <c r="R23" s="123">
        <f t="shared" si="32"/>
        <v>99.996701543049568</v>
      </c>
      <c r="S23" s="123">
        <f t="shared" ref="S23" si="53">SUM(S12+S18*3.2+S21)</f>
        <v>12371</v>
      </c>
      <c r="T23" s="115">
        <f t="shared" si="33"/>
        <v>12371</v>
      </c>
      <c r="U23" s="123">
        <f t="shared" ref="U23" si="54">SUM(U12+U18*3.2+U21)</f>
        <v>12371.012500000001</v>
      </c>
      <c r="V23" s="123">
        <f t="shared" si="34"/>
        <v>100.00010104276132</v>
      </c>
      <c r="W23" s="123">
        <f t="shared" ref="W23:X23" si="55">SUM(W12+W18*3.2+W21)</f>
        <v>128517</v>
      </c>
      <c r="X23" s="123">
        <f t="shared" si="55"/>
        <v>128517</v>
      </c>
      <c r="Y23" s="123">
        <f t="shared" ref="Y23" si="56">SUM(Y12+Y18*3.2+Y21)</f>
        <v>116518.03750000001</v>
      </c>
      <c r="Z23" s="123">
        <f t="shared" si="35"/>
        <v>90.663521168405737</v>
      </c>
      <c r="AA23" s="210">
        <f t="shared" si="36"/>
        <v>164762.79999999999</v>
      </c>
      <c r="AB23" s="210">
        <f t="shared" si="8"/>
        <v>164762.79999999999</v>
      </c>
      <c r="AC23" s="210">
        <f t="shared" si="8"/>
        <v>152763.0625</v>
      </c>
      <c r="AD23" s="210">
        <f t="shared" si="37"/>
        <v>92.716961899166563</v>
      </c>
      <c r="AE23" s="123">
        <f t="shared" ref="AE23:AF23" si="57">SUM(AE12+AE18*3.2+AE21)</f>
        <v>29135</v>
      </c>
      <c r="AF23" s="123">
        <f t="shared" si="57"/>
        <v>29135</v>
      </c>
      <c r="AG23" s="123">
        <f t="shared" ref="AG23" si="58">SUM(AG12+AG18*3.2+AG21)</f>
        <v>25047.012500000001</v>
      </c>
      <c r="AH23" s="123">
        <f t="shared" si="39"/>
        <v>85.968808992620566</v>
      </c>
      <c r="AI23" s="123">
        <f t="shared" ref="AI23:AJ23" si="59">SUM(AI12+AI18*3.2+AI21)</f>
        <v>18233.599999999999</v>
      </c>
      <c r="AJ23" s="123">
        <f t="shared" si="59"/>
        <v>18233.599999999999</v>
      </c>
      <c r="AK23" s="123">
        <f t="shared" ref="AK23" si="60">SUM(AK12+AK18*3.2+AK21)</f>
        <v>14071.975</v>
      </c>
      <c r="AL23" s="123">
        <f t="shared" si="40"/>
        <v>77.176065066690072</v>
      </c>
      <c r="AM23" s="123">
        <f t="shared" ref="AM23:AN23" si="61">SUM(AM12+AM18*3.2+AM21)</f>
        <v>64520</v>
      </c>
      <c r="AN23" s="123">
        <f t="shared" si="61"/>
        <v>64520</v>
      </c>
      <c r="AO23" s="123">
        <f t="shared" ref="AO23" si="62">SUM(AO12+AO18*3.2+AO21)</f>
        <v>70557.200000000012</v>
      </c>
      <c r="AP23" s="123">
        <f t="shared" si="42"/>
        <v>109.35709857408557</v>
      </c>
      <c r="AQ23" s="123">
        <f t="shared" si="16"/>
        <v>476048.60000000003</v>
      </c>
      <c r="AR23" s="123">
        <f t="shared" si="17"/>
        <v>476048.60000000003</v>
      </c>
      <c r="AS23" s="123">
        <f t="shared" si="18"/>
        <v>468126.2</v>
      </c>
      <c r="AT23" s="123">
        <f t="shared" si="43"/>
        <v>98.335800168302129</v>
      </c>
      <c r="AU23" s="123">
        <f t="shared" ref="AU23:AV23" si="63">SUM(AU12+AU18*3.2+AU21)</f>
        <v>199209.80000000002</v>
      </c>
      <c r="AV23" s="123">
        <f t="shared" si="63"/>
        <v>199209.80000000002</v>
      </c>
      <c r="AW23" s="123">
        <f t="shared" ref="AW23" si="64">SUM(AW12+AW18*3.2+AW21)</f>
        <v>144962.29999999999</v>
      </c>
      <c r="AX23" s="123">
        <f t="shared" si="45"/>
        <v>72.768658971596764</v>
      </c>
      <c r="AY23" s="210">
        <f t="shared" si="21"/>
        <v>199209.80000000002</v>
      </c>
      <c r="AZ23" s="210">
        <f t="shared" si="22"/>
        <v>199209.80000000002</v>
      </c>
      <c r="BA23" s="210">
        <f t="shared" si="23"/>
        <v>144962.29999999999</v>
      </c>
      <c r="BB23" s="210">
        <f t="shared" si="46"/>
        <v>72.768658971596764</v>
      </c>
    </row>
    <row r="24" spans="1:54" s="22" customFormat="1" ht="14.1" customHeight="1" x14ac:dyDescent="0.2">
      <c r="A24" s="149" t="s">
        <v>137</v>
      </c>
      <c r="B24" s="197"/>
      <c r="C24" s="99"/>
      <c r="D24" s="97">
        <f t="shared" si="24"/>
        <v>0</v>
      </c>
      <c r="E24" s="99"/>
      <c r="F24" s="99">
        <f t="shared" si="25"/>
        <v>0</v>
      </c>
      <c r="G24" s="99"/>
      <c r="H24" s="97">
        <f t="shared" si="24"/>
        <v>0</v>
      </c>
      <c r="I24" s="99"/>
      <c r="J24" s="99">
        <f t="shared" si="26"/>
        <v>0</v>
      </c>
      <c r="K24" s="236">
        <f t="shared" si="27"/>
        <v>0</v>
      </c>
      <c r="L24" s="236">
        <f t="shared" si="28"/>
        <v>0</v>
      </c>
      <c r="M24" s="236">
        <f t="shared" si="29"/>
        <v>0</v>
      </c>
      <c r="N24" s="235">
        <f t="shared" si="30"/>
        <v>0</v>
      </c>
      <c r="O24" s="99"/>
      <c r="P24" s="115">
        <f t="shared" si="31"/>
        <v>0</v>
      </c>
      <c r="Q24" s="99"/>
      <c r="R24" s="99">
        <f t="shared" si="32"/>
        <v>0</v>
      </c>
      <c r="S24" s="99"/>
      <c r="T24" s="115">
        <f t="shared" si="33"/>
        <v>0</v>
      </c>
      <c r="U24" s="99"/>
      <c r="V24" s="99">
        <f t="shared" si="34"/>
        <v>0</v>
      </c>
      <c r="W24" s="99"/>
      <c r="X24" s="115"/>
      <c r="Y24" s="99"/>
      <c r="Z24" s="99">
        <f t="shared" si="35"/>
        <v>0</v>
      </c>
      <c r="AA24" s="210">
        <f t="shared" si="36"/>
        <v>0</v>
      </c>
      <c r="AB24" s="210">
        <f t="shared" si="8"/>
        <v>0</v>
      </c>
      <c r="AC24" s="210">
        <f t="shared" si="8"/>
        <v>0</v>
      </c>
      <c r="AD24" s="210">
        <f t="shared" si="37"/>
        <v>0</v>
      </c>
      <c r="AE24" s="99"/>
      <c r="AF24" s="97">
        <f t="shared" si="38"/>
        <v>0</v>
      </c>
      <c r="AG24" s="99"/>
      <c r="AH24" s="99">
        <f t="shared" si="39"/>
        <v>0</v>
      </c>
      <c r="AI24" s="99"/>
      <c r="AJ24" s="97">
        <f t="shared" si="12"/>
        <v>0</v>
      </c>
      <c r="AK24" s="99"/>
      <c r="AL24" s="99">
        <f t="shared" si="40"/>
        <v>0</v>
      </c>
      <c r="AM24" s="99"/>
      <c r="AN24" s="97">
        <f t="shared" si="41"/>
        <v>0</v>
      </c>
      <c r="AO24" s="99"/>
      <c r="AP24" s="99">
        <f t="shared" si="42"/>
        <v>0</v>
      </c>
      <c r="AQ24" s="210">
        <f t="shared" si="16"/>
        <v>0</v>
      </c>
      <c r="AR24" s="210">
        <f t="shared" si="17"/>
        <v>0</v>
      </c>
      <c r="AS24" s="210">
        <f t="shared" si="18"/>
        <v>0</v>
      </c>
      <c r="AT24" s="210">
        <f t="shared" si="43"/>
        <v>0</v>
      </c>
      <c r="AU24" s="99"/>
      <c r="AV24" s="97">
        <f t="shared" si="44"/>
        <v>0</v>
      </c>
      <c r="AW24" s="99"/>
      <c r="AX24" s="99">
        <f t="shared" si="45"/>
        <v>0</v>
      </c>
      <c r="AY24" s="210">
        <f t="shared" si="21"/>
        <v>0</v>
      </c>
      <c r="AZ24" s="210">
        <f t="shared" si="22"/>
        <v>0</v>
      </c>
      <c r="BA24" s="210">
        <f t="shared" si="23"/>
        <v>0</v>
      </c>
      <c r="BB24" s="210">
        <f t="shared" si="46"/>
        <v>0</v>
      </c>
    </row>
    <row r="25" spans="1:54" s="22" customFormat="1" ht="15.75" x14ac:dyDescent="0.2">
      <c r="A25" s="159" t="s">
        <v>125</v>
      </c>
      <c r="B25" s="199" t="s">
        <v>3</v>
      </c>
      <c r="C25" s="163">
        <f t="shared" ref="C25:G25" si="65">C28+C29+C30+C31+C53+C78+C27</f>
        <v>38422.5</v>
      </c>
      <c r="D25" s="163">
        <f t="shared" si="65"/>
        <v>38422.5</v>
      </c>
      <c r="E25" s="163">
        <f t="shared" ref="E25:I25" si="66">E28+E29+E30+E31+E53+E78+E27</f>
        <v>30657</v>
      </c>
      <c r="F25" s="163">
        <f t="shared" si="25"/>
        <v>79.789186023814167</v>
      </c>
      <c r="G25" s="163">
        <f t="shared" si="65"/>
        <v>1247</v>
      </c>
      <c r="H25" s="163">
        <f>G25</f>
        <v>1247</v>
      </c>
      <c r="I25" s="163">
        <f t="shared" si="66"/>
        <v>1229</v>
      </c>
      <c r="J25" s="163">
        <f t="shared" si="26"/>
        <v>98.556535685645557</v>
      </c>
      <c r="K25" s="236">
        <f t="shared" si="27"/>
        <v>39669.5</v>
      </c>
      <c r="L25" s="236">
        <f t="shared" si="28"/>
        <v>39669.5</v>
      </c>
      <c r="M25" s="236">
        <f t="shared" si="29"/>
        <v>31886</v>
      </c>
      <c r="N25" s="235">
        <f t="shared" si="30"/>
        <v>80.379132582966761</v>
      </c>
      <c r="O25" s="163">
        <f t="shared" ref="O25" si="67">O28+O29+O30+O31+O53+O78+O27</f>
        <v>978</v>
      </c>
      <c r="P25" s="115">
        <f t="shared" si="31"/>
        <v>978</v>
      </c>
      <c r="Q25" s="163">
        <f t="shared" ref="Q25" si="68">Q28+Q29+Q30+Q31+Q53+Q78+Q27</f>
        <v>978</v>
      </c>
      <c r="R25" s="163">
        <f t="shared" si="32"/>
        <v>100</v>
      </c>
      <c r="S25" s="163">
        <f t="shared" ref="S25" si="69">S28+S29+S30+S31+S53+S78+S27</f>
        <v>647</v>
      </c>
      <c r="T25" s="115">
        <f t="shared" si="33"/>
        <v>647</v>
      </c>
      <c r="U25" s="163">
        <f t="shared" ref="U25" si="70">U28+U29+U30+U31+U53+U78+U27</f>
        <v>647</v>
      </c>
      <c r="V25" s="163">
        <f t="shared" si="34"/>
        <v>100</v>
      </c>
      <c r="W25" s="163">
        <f t="shared" ref="W25:X25" si="71">W28+W29+W30+W31+W53+W78+W27</f>
        <v>18928</v>
      </c>
      <c r="X25" s="163">
        <f t="shared" si="71"/>
        <v>18928</v>
      </c>
      <c r="Y25" s="163">
        <f t="shared" ref="Y25" si="72">Y28+Y29+Y30+Y31+Y53+Y78+Y27</f>
        <v>14100</v>
      </c>
      <c r="Z25" s="163">
        <f t="shared" si="35"/>
        <v>74.492814877430263</v>
      </c>
      <c r="AA25" s="210">
        <f t="shared" si="36"/>
        <v>20553</v>
      </c>
      <c r="AB25" s="210">
        <f t="shared" si="8"/>
        <v>20553</v>
      </c>
      <c r="AC25" s="210">
        <f t="shared" si="8"/>
        <v>15725</v>
      </c>
      <c r="AD25" s="210">
        <f t="shared" si="37"/>
        <v>76.509511993382958</v>
      </c>
      <c r="AE25" s="163">
        <f t="shared" ref="AE25:AF25" si="73">AE28+AE29+AE30+AE31+AE53+AE78+AE27</f>
        <v>3577</v>
      </c>
      <c r="AF25" s="163">
        <f t="shared" si="73"/>
        <v>3577</v>
      </c>
      <c r="AG25" s="163">
        <f t="shared" ref="AG25" si="74">AG28+AG29+AG30+AG31+AG53+AG78+AG27</f>
        <v>4989</v>
      </c>
      <c r="AH25" s="163">
        <f t="shared" si="39"/>
        <v>139.47441990494829</v>
      </c>
      <c r="AI25" s="163">
        <f t="shared" ref="AI25:AJ25" si="75">AI28+AI29+AI30+AI31+AI53+AI78+AI27</f>
        <v>1611</v>
      </c>
      <c r="AJ25" s="163">
        <f t="shared" si="75"/>
        <v>1611</v>
      </c>
      <c r="AK25" s="163">
        <f t="shared" ref="AK25" si="76">AK28+AK29+AK30+AK31+AK53+AK78+AK27</f>
        <v>1763</v>
      </c>
      <c r="AL25" s="163">
        <f t="shared" si="40"/>
        <v>109.43513345747982</v>
      </c>
      <c r="AM25" s="163">
        <f t="shared" ref="AM25:AN25" si="77">AM28+AM29+AM30+AM31+AM53+AM78+AM27</f>
        <v>8624</v>
      </c>
      <c r="AN25" s="163">
        <f t="shared" si="77"/>
        <v>8624</v>
      </c>
      <c r="AO25" s="163">
        <f t="shared" ref="AO25" si="78">AO28+AO29+AO30+AO31+AO53+AO78+AO27</f>
        <v>5684</v>
      </c>
      <c r="AP25" s="163">
        <f t="shared" si="42"/>
        <v>65.909090909090907</v>
      </c>
      <c r="AQ25" s="210">
        <f t="shared" si="16"/>
        <v>74034.5</v>
      </c>
      <c r="AR25" s="210">
        <f t="shared" si="17"/>
        <v>74034.5</v>
      </c>
      <c r="AS25" s="210">
        <f t="shared" si="18"/>
        <v>60047</v>
      </c>
      <c r="AT25" s="210">
        <f t="shared" si="43"/>
        <v>81.106781297908398</v>
      </c>
      <c r="AU25" s="163">
        <f t="shared" ref="AU25:AV25" si="79">AU28+AU29+AU30+AU31+AU53+AU78+AU27</f>
        <v>9247</v>
      </c>
      <c r="AV25" s="163">
        <f t="shared" si="79"/>
        <v>9247</v>
      </c>
      <c r="AW25" s="163">
        <f t="shared" ref="AW25" si="80">AW28+AW29+AW30+AW31+AW53+AW78+AW27</f>
        <v>3392</v>
      </c>
      <c r="AX25" s="163">
        <f t="shared" si="45"/>
        <v>36.682167189358708</v>
      </c>
      <c r="AY25" s="210">
        <f t="shared" si="21"/>
        <v>9247</v>
      </c>
      <c r="AZ25" s="210">
        <f t="shared" si="22"/>
        <v>9247</v>
      </c>
      <c r="BA25" s="210">
        <f t="shared" si="23"/>
        <v>3392</v>
      </c>
      <c r="BB25" s="210">
        <f t="shared" si="46"/>
        <v>36.682167189358708</v>
      </c>
    </row>
    <row r="26" spans="1:54" ht="15.75" x14ac:dyDescent="0.2">
      <c r="A26" s="154" t="s">
        <v>126</v>
      </c>
      <c r="B26" s="197" t="s">
        <v>3</v>
      </c>
      <c r="C26" s="99"/>
      <c r="D26" s="97"/>
      <c r="E26" s="99"/>
      <c r="F26" s="336">
        <f t="shared" si="25"/>
        <v>0</v>
      </c>
      <c r="G26" s="99"/>
      <c r="H26" s="97">
        <f t="shared" si="24"/>
        <v>0</v>
      </c>
      <c r="I26" s="99"/>
      <c r="J26" s="99">
        <f t="shared" si="26"/>
        <v>0</v>
      </c>
      <c r="K26" s="236">
        <f t="shared" si="27"/>
        <v>0</v>
      </c>
      <c r="L26" s="236">
        <f t="shared" si="28"/>
        <v>0</v>
      </c>
      <c r="M26" s="236">
        <f t="shared" si="29"/>
        <v>0</v>
      </c>
      <c r="N26" s="235">
        <f t="shared" si="30"/>
        <v>0</v>
      </c>
      <c r="O26" s="99"/>
      <c r="P26" s="115">
        <f t="shared" si="31"/>
        <v>0</v>
      </c>
      <c r="Q26" s="99"/>
      <c r="R26" s="99">
        <f t="shared" si="32"/>
        <v>0</v>
      </c>
      <c r="S26" s="99"/>
      <c r="T26" s="115">
        <f t="shared" si="33"/>
        <v>0</v>
      </c>
      <c r="U26" s="99"/>
      <c r="V26" s="99">
        <f t="shared" si="34"/>
        <v>0</v>
      </c>
      <c r="W26" s="99"/>
      <c r="X26" s="115"/>
      <c r="Y26" s="99"/>
      <c r="Z26" s="99">
        <f t="shared" si="35"/>
        <v>0</v>
      </c>
      <c r="AA26" s="210">
        <f t="shared" si="36"/>
        <v>0</v>
      </c>
      <c r="AB26" s="210">
        <f t="shared" si="8"/>
        <v>0</v>
      </c>
      <c r="AC26" s="210">
        <f t="shared" si="8"/>
        <v>0</v>
      </c>
      <c r="AD26" s="210">
        <f t="shared" si="37"/>
        <v>0</v>
      </c>
      <c r="AE26" s="99"/>
      <c r="AF26" s="97">
        <f t="shared" si="38"/>
        <v>0</v>
      </c>
      <c r="AG26" s="99"/>
      <c r="AH26" s="99">
        <f t="shared" si="39"/>
        <v>0</v>
      </c>
      <c r="AI26" s="99"/>
      <c r="AJ26" s="97">
        <f t="shared" si="12"/>
        <v>0</v>
      </c>
      <c r="AK26" s="99"/>
      <c r="AL26" s="99">
        <f t="shared" si="40"/>
        <v>0</v>
      </c>
      <c r="AM26" s="99"/>
      <c r="AN26" s="97">
        <f t="shared" si="41"/>
        <v>0</v>
      </c>
      <c r="AO26" s="99"/>
      <c r="AP26" s="99">
        <f t="shared" si="42"/>
        <v>0</v>
      </c>
      <c r="AQ26" s="210">
        <f t="shared" si="16"/>
        <v>0</v>
      </c>
      <c r="AR26" s="210">
        <f t="shared" si="17"/>
        <v>0</v>
      </c>
      <c r="AS26" s="210">
        <f t="shared" si="18"/>
        <v>0</v>
      </c>
      <c r="AT26" s="210">
        <f t="shared" si="43"/>
        <v>0</v>
      </c>
      <c r="AU26" s="99"/>
      <c r="AV26" s="97">
        <f t="shared" si="44"/>
        <v>0</v>
      </c>
      <c r="AW26" s="99"/>
      <c r="AX26" s="99">
        <f t="shared" si="45"/>
        <v>0</v>
      </c>
      <c r="AY26" s="210">
        <f t="shared" si="21"/>
        <v>0</v>
      </c>
      <c r="AZ26" s="210">
        <f t="shared" si="22"/>
        <v>0</v>
      </c>
      <c r="BA26" s="210">
        <f t="shared" si="23"/>
        <v>0</v>
      </c>
      <c r="BB26" s="210">
        <f t="shared" si="46"/>
        <v>0</v>
      </c>
    </row>
    <row r="27" spans="1:54" ht="15.75" x14ac:dyDescent="0.25">
      <c r="A27" s="164" t="s">
        <v>199</v>
      </c>
      <c r="B27" s="197"/>
      <c r="C27" s="99"/>
      <c r="D27" s="97">
        <f t="shared" si="24"/>
        <v>0</v>
      </c>
      <c r="E27" s="99"/>
      <c r="F27" s="99">
        <f t="shared" si="25"/>
        <v>0</v>
      </c>
      <c r="G27" s="99"/>
      <c r="H27" s="97">
        <f t="shared" si="24"/>
        <v>0</v>
      </c>
      <c r="I27" s="99"/>
      <c r="J27" s="99">
        <f t="shared" si="26"/>
        <v>0</v>
      </c>
      <c r="K27" s="236">
        <f t="shared" si="27"/>
        <v>0</v>
      </c>
      <c r="L27" s="236">
        <f t="shared" si="28"/>
        <v>0</v>
      </c>
      <c r="M27" s="236">
        <f t="shared" si="29"/>
        <v>0</v>
      </c>
      <c r="N27" s="235">
        <f t="shared" si="30"/>
        <v>0</v>
      </c>
      <c r="O27" s="99"/>
      <c r="P27" s="115">
        <f t="shared" si="31"/>
        <v>0</v>
      </c>
      <c r="Q27" s="99"/>
      <c r="R27" s="99">
        <f t="shared" si="32"/>
        <v>0</v>
      </c>
      <c r="S27" s="99"/>
      <c r="T27" s="115">
        <f t="shared" si="33"/>
        <v>0</v>
      </c>
      <c r="U27" s="99"/>
      <c r="V27" s="99">
        <f t="shared" si="34"/>
        <v>0</v>
      </c>
      <c r="W27" s="99"/>
      <c r="X27" s="115"/>
      <c r="Y27" s="99"/>
      <c r="Z27" s="99">
        <f t="shared" si="35"/>
        <v>0</v>
      </c>
      <c r="AA27" s="210">
        <f t="shared" si="36"/>
        <v>0</v>
      </c>
      <c r="AB27" s="210">
        <f t="shared" si="8"/>
        <v>0</v>
      </c>
      <c r="AC27" s="210">
        <f t="shared" si="8"/>
        <v>0</v>
      </c>
      <c r="AD27" s="210">
        <f t="shared" si="37"/>
        <v>0</v>
      </c>
      <c r="AE27" s="99"/>
      <c r="AF27" s="97">
        <f t="shared" si="38"/>
        <v>0</v>
      </c>
      <c r="AG27" s="99"/>
      <c r="AH27" s="99">
        <f t="shared" si="39"/>
        <v>0</v>
      </c>
      <c r="AI27" s="99"/>
      <c r="AJ27" s="97">
        <f t="shared" si="12"/>
        <v>0</v>
      </c>
      <c r="AK27" s="99"/>
      <c r="AL27" s="99">
        <f t="shared" si="40"/>
        <v>0</v>
      </c>
      <c r="AM27" s="99"/>
      <c r="AN27" s="97">
        <f t="shared" si="41"/>
        <v>0</v>
      </c>
      <c r="AO27" s="99"/>
      <c r="AP27" s="99">
        <f t="shared" si="42"/>
        <v>0</v>
      </c>
      <c r="AQ27" s="210">
        <f t="shared" si="16"/>
        <v>0</v>
      </c>
      <c r="AR27" s="210">
        <f t="shared" si="17"/>
        <v>0</v>
      </c>
      <c r="AS27" s="210">
        <f t="shared" si="18"/>
        <v>0</v>
      </c>
      <c r="AT27" s="210">
        <f t="shared" si="43"/>
        <v>0</v>
      </c>
      <c r="AU27" s="99"/>
      <c r="AV27" s="97">
        <f t="shared" si="44"/>
        <v>0</v>
      </c>
      <c r="AW27" s="99"/>
      <c r="AX27" s="99">
        <f t="shared" si="45"/>
        <v>0</v>
      </c>
      <c r="AY27" s="210">
        <f t="shared" si="21"/>
        <v>0</v>
      </c>
      <c r="AZ27" s="210">
        <f t="shared" si="22"/>
        <v>0</v>
      </c>
      <c r="BA27" s="210">
        <f t="shared" si="23"/>
        <v>0</v>
      </c>
      <c r="BB27" s="210">
        <f t="shared" si="46"/>
        <v>0</v>
      </c>
    </row>
    <row r="28" spans="1:54" s="17" customFormat="1" ht="47.25" x14ac:dyDescent="0.2">
      <c r="A28" s="154" t="s">
        <v>138</v>
      </c>
      <c r="B28" s="197" t="s">
        <v>3</v>
      </c>
      <c r="C28" s="99"/>
      <c r="D28" s="97">
        <f t="shared" ref="D28:H45" si="81">ROUND(C28/12*$A$7,0)</f>
        <v>0</v>
      </c>
      <c r="E28" s="99"/>
      <c r="F28" s="99">
        <f t="shared" si="25"/>
        <v>0</v>
      </c>
      <c r="G28" s="99"/>
      <c r="H28" s="97">
        <f t="shared" si="81"/>
        <v>0</v>
      </c>
      <c r="I28" s="99"/>
      <c r="J28" s="99">
        <f t="shared" si="26"/>
        <v>0</v>
      </c>
      <c r="K28" s="236">
        <f t="shared" si="27"/>
        <v>0</v>
      </c>
      <c r="L28" s="236">
        <f t="shared" si="28"/>
        <v>0</v>
      </c>
      <c r="M28" s="236">
        <f t="shared" si="29"/>
        <v>0</v>
      </c>
      <c r="N28" s="235">
        <f t="shared" si="30"/>
        <v>0</v>
      </c>
      <c r="O28" s="99"/>
      <c r="P28" s="115">
        <f t="shared" si="31"/>
        <v>0</v>
      </c>
      <c r="Q28" s="99"/>
      <c r="R28" s="99">
        <f t="shared" si="32"/>
        <v>0</v>
      </c>
      <c r="S28" s="99"/>
      <c r="T28" s="115">
        <f t="shared" si="33"/>
        <v>0</v>
      </c>
      <c r="U28" s="99"/>
      <c r="V28" s="99">
        <f t="shared" si="34"/>
        <v>0</v>
      </c>
      <c r="W28" s="99"/>
      <c r="X28" s="115"/>
      <c r="Y28" s="99"/>
      <c r="Z28" s="99">
        <f t="shared" si="35"/>
        <v>0</v>
      </c>
      <c r="AA28" s="210">
        <f t="shared" si="36"/>
        <v>0</v>
      </c>
      <c r="AB28" s="210">
        <f t="shared" si="36"/>
        <v>0</v>
      </c>
      <c r="AC28" s="210">
        <f t="shared" si="36"/>
        <v>0</v>
      </c>
      <c r="AD28" s="210">
        <f t="shared" si="37"/>
        <v>0</v>
      </c>
      <c r="AE28" s="99"/>
      <c r="AF28" s="97">
        <f t="shared" si="38"/>
        <v>0</v>
      </c>
      <c r="AG28" s="99"/>
      <c r="AH28" s="99">
        <f t="shared" si="39"/>
        <v>0</v>
      </c>
      <c r="AI28" s="99"/>
      <c r="AJ28" s="97">
        <f t="shared" si="12"/>
        <v>0</v>
      </c>
      <c r="AK28" s="99"/>
      <c r="AL28" s="99">
        <f t="shared" si="40"/>
        <v>0</v>
      </c>
      <c r="AM28" s="99"/>
      <c r="AN28" s="97">
        <f t="shared" si="41"/>
        <v>0</v>
      </c>
      <c r="AO28" s="99"/>
      <c r="AP28" s="99">
        <f t="shared" si="42"/>
        <v>0</v>
      </c>
      <c r="AQ28" s="210">
        <f t="shared" si="16"/>
        <v>0</v>
      </c>
      <c r="AR28" s="210">
        <f t="shared" si="17"/>
        <v>0</v>
      </c>
      <c r="AS28" s="210">
        <f t="shared" si="18"/>
        <v>0</v>
      </c>
      <c r="AT28" s="210">
        <f t="shared" si="43"/>
        <v>0</v>
      </c>
      <c r="AU28" s="99"/>
      <c r="AV28" s="97">
        <f t="shared" si="44"/>
        <v>0</v>
      </c>
      <c r="AW28" s="99"/>
      <c r="AX28" s="99">
        <f t="shared" si="45"/>
        <v>0</v>
      </c>
      <c r="AY28" s="210">
        <f t="shared" si="21"/>
        <v>0</v>
      </c>
      <c r="AZ28" s="210">
        <f t="shared" si="22"/>
        <v>0</v>
      </c>
      <c r="BA28" s="210">
        <f t="shared" si="23"/>
        <v>0</v>
      </c>
      <c r="BB28" s="210">
        <f t="shared" si="46"/>
        <v>0</v>
      </c>
    </row>
    <row r="29" spans="1:54" ht="31.5" x14ac:dyDescent="0.2">
      <c r="A29" s="154" t="s">
        <v>139</v>
      </c>
      <c r="B29" s="197" t="s">
        <v>3</v>
      </c>
      <c r="C29" s="99"/>
      <c r="D29" s="97">
        <f t="shared" si="81"/>
        <v>0</v>
      </c>
      <c r="E29" s="99"/>
      <c r="F29" s="99">
        <f t="shared" si="25"/>
        <v>0</v>
      </c>
      <c r="G29" s="99"/>
      <c r="H29" s="97">
        <f t="shared" si="81"/>
        <v>0</v>
      </c>
      <c r="I29" s="99"/>
      <c r="J29" s="99">
        <f t="shared" si="26"/>
        <v>0</v>
      </c>
      <c r="K29" s="236">
        <f t="shared" si="27"/>
        <v>0</v>
      </c>
      <c r="L29" s="236">
        <f t="shared" si="28"/>
        <v>0</v>
      </c>
      <c r="M29" s="236">
        <f t="shared" si="29"/>
        <v>0</v>
      </c>
      <c r="N29" s="235">
        <f t="shared" si="30"/>
        <v>0</v>
      </c>
      <c r="O29" s="99"/>
      <c r="P29" s="115">
        <f t="shared" si="31"/>
        <v>0</v>
      </c>
      <c r="Q29" s="99"/>
      <c r="R29" s="99">
        <f t="shared" si="32"/>
        <v>0</v>
      </c>
      <c r="S29" s="99"/>
      <c r="T29" s="115">
        <f t="shared" si="33"/>
        <v>0</v>
      </c>
      <c r="U29" s="99"/>
      <c r="V29" s="99">
        <f t="shared" si="34"/>
        <v>0</v>
      </c>
      <c r="W29" s="99"/>
      <c r="X29" s="115"/>
      <c r="Y29" s="99"/>
      <c r="Z29" s="99">
        <f t="shared" si="35"/>
        <v>0</v>
      </c>
      <c r="AA29" s="210">
        <f t="shared" si="36"/>
        <v>0</v>
      </c>
      <c r="AB29" s="210">
        <f t="shared" si="36"/>
        <v>0</v>
      </c>
      <c r="AC29" s="210">
        <f t="shared" si="36"/>
        <v>0</v>
      </c>
      <c r="AD29" s="210">
        <f t="shared" si="37"/>
        <v>0</v>
      </c>
      <c r="AE29" s="99"/>
      <c r="AF29" s="97">
        <f t="shared" si="38"/>
        <v>0</v>
      </c>
      <c r="AG29" s="99"/>
      <c r="AH29" s="99">
        <f t="shared" si="39"/>
        <v>0</v>
      </c>
      <c r="AI29" s="99"/>
      <c r="AJ29" s="97">
        <f t="shared" si="12"/>
        <v>0</v>
      </c>
      <c r="AK29" s="99"/>
      <c r="AL29" s="99">
        <f t="shared" si="40"/>
        <v>0</v>
      </c>
      <c r="AM29" s="99"/>
      <c r="AN29" s="97">
        <f t="shared" si="41"/>
        <v>0</v>
      </c>
      <c r="AO29" s="99"/>
      <c r="AP29" s="99">
        <f t="shared" si="42"/>
        <v>0</v>
      </c>
      <c r="AQ29" s="210">
        <f t="shared" si="16"/>
        <v>0</v>
      </c>
      <c r="AR29" s="210">
        <f t="shared" si="17"/>
        <v>0</v>
      </c>
      <c r="AS29" s="210">
        <f t="shared" si="18"/>
        <v>0</v>
      </c>
      <c r="AT29" s="210">
        <f t="shared" si="43"/>
        <v>0</v>
      </c>
      <c r="AU29" s="99"/>
      <c r="AV29" s="97">
        <f t="shared" si="44"/>
        <v>0</v>
      </c>
      <c r="AW29" s="99"/>
      <c r="AX29" s="99">
        <f t="shared" si="45"/>
        <v>0</v>
      </c>
      <c r="AY29" s="210">
        <f t="shared" si="21"/>
        <v>0</v>
      </c>
      <c r="AZ29" s="210">
        <f t="shared" si="22"/>
        <v>0</v>
      </c>
      <c r="BA29" s="210">
        <f t="shared" si="23"/>
        <v>0</v>
      </c>
      <c r="BB29" s="210">
        <f t="shared" si="46"/>
        <v>0</v>
      </c>
    </row>
    <row r="30" spans="1:54" ht="31.5" x14ac:dyDescent="0.2">
      <c r="A30" s="154" t="s">
        <v>140</v>
      </c>
      <c r="B30" s="197" t="s">
        <v>3</v>
      </c>
      <c r="C30" s="99"/>
      <c r="D30" s="97">
        <f t="shared" si="81"/>
        <v>0</v>
      </c>
      <c r="E30" s="99"/>
      <c r="F30" s="99">
        <f t="shared" si="25"/>
        <v>0</v>
      </c>
      <c r="G30" s="99"/>
      <c r="H30" s="97">
        <f t="shared" si="81"/>
        <v>0</v>
      </c>
      <c r="I30" s="99"/>
      <c r="J30" s="99">
        <f t="shared" si="26"/>
        <v>0</v>
      </c>
      <c r="K30" s="236">
        <f t="shared" si="27"/>
        <v>0</v>
      </c>
      <c r="L30" s="236">
        <f t="shared" si="28"/>
        <v>0</v>
      </c>
      <c r="M30" s="236">
        <f t="shared" si="29"/>
        <v>0</v>
      </c>
      <c r="N30" s="235">
        <f t="shared" si="30"/>
        <v>0</v>
      </c>
      <c r="O30" s="99"/>
      <c r="P30" s="115">
        <f t="shared" si="31"/>
        <v>0</v>
      </c>
      <c r="Q30" s="99"/>
      <c r="R30" s="99">
        <f t="shared" si="32"/>
        <v>0</v>
      </c>
      <c r="S30" s="99"/>
      <c r="T30" s="115">
        <f t="shared" si="33"/>
        <v>0</v>
      </c>
      <c r="U30" s="99"/>
      <c r="V30" s="99">
        <f t="shared" si="34"/>
        <v>0</v>
      </c>
      <c r="W30" s="99"/>
      <c r="X30" s="115"/>
      <c r="Y30" s="99"/>
      <c r="Z30" s="99">
        <f t="shared" si="35"/>
        <v>0</v>
      </c>
      <c r="AA30" s="210">
        <f t="shared" si="36"/>
        <v>0</v>
      </c>
      <c r="AB30" s="210">
        <f t="shared" si="36"/>
        <v>0</v>
      </c>
      <c r="AC30" s="210">
        <f t="shared" si="36"/>
        <v>0</v>
      </c>
      <c r="AD30" s="210">
        <f t="shared" si="37"/>
        <v>0</v>
      </c>
      <c r="AE30" s="99"/>
      <c r="AF30" s="97">
        <f t="shared" si="38"/>
        <v>0</v>
      </c>
      <c r="AG30" s="99"/>
      <c r="AH30" s="99">
        <f t="shared" si="39"/>
        <v>0</v>
      </c>
      <c r="AI30" s="99"/>
      <c r="AJ30" s="97">
        <f t="shared" si="12"/>
        <v>0</v>
      </c>
      <c r="AK30" s="99"/>
      <c r="AL30" s="99">
        <f t="shared" si="40"/>
        <v>0</v>
      </c>
      <c r="AM30" s="99"/>
      <c r="AN30" s="97">
        <f t="shared" si="41"/>
        <v>0</v>
      </c>
      <c r="AO30" s="99"/>
      <c r="AP30" s="99">
        <f t="shared" si="42"/>
        <v>0</v>
      </c>
      <c r="AQ30" s="210">
        <f t="shared" si="16"/>
        <v>0</v>
      </c>
      <c r="AR30" s="210">
        <f t="shared" si="17"/>
        <v>0</v>
      </c>
      <c r="AS30" s="210">
        <f t="shared" si="18"/>
        <v>0</v>
      </c>
      <c r="AT30" s="210">
        <f t="shared" si="43"/>
        <v>0</v>
      </c>
      <c r="AU30" s="99"/>
      <c r="AV30" s="97">
        <f t="shared" si="44"/>
        <v>0</v>
      </c>
      <c r="AW30" s="99"/>
      <c r="AX30" s="99">
        <f t="shared" si="45"/>
        <v>0</v>
      </c>
      <c r="AY30" s="210">
        <f t="shared" si="21"/>
        <v>0</v>
      </c>
      <c r="AZ30" s="210">
        <f t="shared" si="22"/>
        <v>0</v>
      </c>
      <c r="BA30" s="210">
        <f t="shared" si="23"/>
        <v>0</v>
      </c>
      <c r="BB30" s="210">
        <f t="shared" si="46"/>
        <v>0</v>
      </c>
    </row>
    <row r="31" spans="1:54" ht="31.5" x14ac:dyDescent="0.2">
      <c r="A31" s="165" t="s">
        <v>141</v>
      </c>
      <c r="B31" s="199" t="s">
        <v>3</v>
      </c>
      <c r="C31" s="163">
        <f t="shared" ref="C31:H31" si="82">C33+C41*2+C43+C48</f>
        <v>7076.5</v>
      </c>
      <c r="D31" s="163">
        <f t="shared" si="82"/>
        <v>7076.5</v>
      </c>
      <c r="E31" s="163">
        <f>E33+E41*2+E43+E48+E42</f>
        <v>5906</v>
      </c>
      <c r="F31" s="163">
        <f t="shared" si="25"/>
        <v>83.459337242987345</v>
      </c>
      <c r="G31" s="163">
        <f t="shared" si="82"/>
        <v>1029</v>
      </c>
      <c r="H31" s="163">
        <f t="shared" si="82"/>
        <v>1029</v>
      </c>
      <c r="I31" s="163">
        <f>I33+I41*2+I43+I48+I42</f>
        <v>1011</v>
      </c>
      <c r="J31" s="163">
        <f t="shared" si="26"/>
        <v>98.250728862973759</v>
      </c>
      <c r="K31" s="236">
        <f t="shared" si="27"/>
        <v>8105.5</v>
      </c>
      <c r="L31" s="236">
        <f t="shared" si="28"/>
        <v>8105.5</v>
      </c>
      <c r="M31" s="236">
        <f t="shared" si="29"/>
        <v>6917</v>
      </c>
      <c r="N31" s="235">
        <f t="shared" si="30"/>
        <v>85.337116772561842</v>
      </c>
      <c r="O31" s="163">
        <f t="shared" ref="O31" si="83">O33+O41*2+O43+O48</f>
        <v>102</v>
      </c>
      <c r="P31" s="115">
        <f t="shared" si="31"/>
        <v>102</v>
      </c>
      <c r="Q31" s="163">
        <f>Q33+Q41*2+Q43+Q48</f>
        <v>102</v>
      </c>
      <c r="R31" s="163">
        <f t="shared" si="32"/>
        <v>100</v>
      </c>
      <c r="S31" s="163">
        <f t="shared" ref="S31" si="84">S33+S41*2+S43+S48</f>
        <v>237</v>
      </c>
      <c r="T31" s="115">
        <f t="shared" si="33"/>
        <v>237</v>
      </c>
      <c r="U31" s="163">
        <f>U33+U41*2+U43+U48</f>
        <v>237</v>
      </c>
      <c r="V31" s="163">
        <f t="shared" si="34"/>
        <v>100</v>
      </c>
      <c r="W31" s="163">
        <f t="shared" ref="W31:X31" si="85">W33+W41*2+W43+W48</f>
        <v>5099</v>
      </c>
      <c r="X31" s="163">
        <f t="shared" si="85"/>
        <v>5099</v>
      </c>
      <c r="Y31" s="163">
        <f>Y33+Y41*2+Y43+Y48+Y42</f>
        <v>5196</v>
      </c>
      <c r="Z31" s="163">
        <f t="shared" si="35"/>
        <v>101.90233379093941</v>
      </c>
      <c r="AA31" s="210">
        <f t="shared" si="36"/>
        <v>5438</v>
      </c>
      <c r="AB31" s="210">
        <f t="shared" si="36"/>
        <v>5438</v>
      </c>
      <c r="AC31" s="210">
        <f t="shared" si="36"/>
        <v>5535</v>
      </c>
      <c r="AD31" s="210">
        <f t="shared" si="37"/>
        <v>101.78374402353808</v>
      </c>
      <c r="AE31" s="163">
        <f t="shared" ref="AE31:AF31" si="86">AE33+AE41*2+AE43+AE48</f>
        <v>778</v>
      </c>
      <c r="AF31" s="163">
        <f t="shared" si="86"/>
        <v>778</v>
      </c>
      <c r="AG31" s="163">
        <f>AG33+AG41*2+AG43+AG48+AG42</f>
        <v>673</v>
      </c>
      <c r="AH31" s="163">
        <f t="shared" si="39"/>
        <v>86.503856041131115</v>
      </c>
      <c r="AI31" s="163">
        <f t="shared" ref="AI31:AJ31" si="87">AI33+AI41*2+AI43+AI48</f>
        <v>469</v>
      </c>
      <c r="AJ31" s="163">
        <f t="shared" si="87"/>
        <v>469</v>
      </c>
      <c r="AK31" s="163">
        <f>AK33+AK41*2+AK43+AK48+AK42</f>
        <v>485</v>
      </c>
      <c r="AL31" s="163">
        <f t="shared" si="40"/>
        <v>103.41151385927505</v>
      </c>
      <c r="AM31" s="163">
        <f t="shared" ref="AM31:AN31" si="88">AM33+AM41*2+AM43+AM48</f>
        <v>1794</v>
      </c>
      <c r="AN31" s="163">
        <f t="shared" si="88"/>
        <v>1794</v>
      </c>
      <c r="AO31" s="163">
        <f>AO33+AO41*2+AO43+AO48+AO42</f>
        <v>1666</v>
      </c>
      <c r="AP31" s="163">
        <f t="shared" si="42"/>
        <v>92.865105908584169</v>
      </c>
      <c r="AQ31" s="210">
        <f t="shared" si="16"/>
        <v>16584.5</v>
      </c>
      <c r="AR31" s="210">
        <f t="shared" si="17"/>
        <v>16584.5</v>
      </c>
      <c r="AS31" s="210">
        <f t="shared" si="18"/>
        <v>15276</v>
      </c>
      <c r="AT31" s="210">
        <f t="shared" si="43"/>
        <v>92.110102806837716</v>
      </c>
      <c r="AU31" s="163">
        <f t="shared" ref="AU31:AV31" si="89">AU33+AU41*2+AU43+AU48</f>
        <v>4846</v>
      </c>
      <c r="AV31" s="163">
        <f t="shared" si="89"/>
        <v>4846</v>
      </c>
      <c r="AW31" s="163">
        <f>AW33+AW41*2+AW43+AW48+AW42</f>
        <v>2713</v>
      </c>
      <c r="AX31" s="163">
        <f t="shared" si="45"/>
        <v>55.984316962443245</v>
      </c>
      <c r="AY31" s="210">
        <f t="shared" si="21"/>
        <v>4846</v>
      </c>
      <c r="AZ31" s="210">
        <f t="shared" si="22"/>
        <v>4846</v>
      </c>
      <c r="BA31" s="210">
        <f t="shared" si="23"/>
        <v>2713</v>
      </c>
      <c r="BB31" s="210">
        <f t="shared" si="46"/>
        <v>55.984316962443245</v>
      </c>
    </row>
    <row r="32" spans="1:54" ht="15.75" x14ac:dyDescent="0.2">
      <c r="A32" s="154" t="s">
        <v>132</v>
      </c>
      <c r="B32" s="200"/>
      <c r="C32" s="212"/>
      <c r="D32" s="97">
        <f t="shared" si="81"/>
        <v>0</v>
      </c>
      <c r="E32" s="212"/>
      <c r="F32" s="99">
        <f t="shared" si="25"/>
        <v>0</v>
      </c>
      <c r="G32" s="212"/>
      <c r="H32" s="97">
        <f t="shared" si="81"/>
        <v>0</v>
      </c>
      <c r="I32" s="212"/>
      <c r="J32" s="99">
        <f t="shared" si="26"/>
        <v>0</v>
      </c>
      <c r="K32" s="236">
        <f t="shared" si="27"/>
        <v>0</v>
      </c>
      <c r="L32" s="236">
        <f t="shared" si="28"/>
        <v>0</v>
      </c>
      <c r="M32" s="236">
        <f t="shared" si="29"/>
        <v>0</v>
      </c>
      <c r="N32" s="235">
        <f t="shared" si="30"/>
        <v>0</v>
      </c>
      <c r="O32" s="212"/>
      <c r="P32" s="115">
        <f t="shared" si="31"/>
        <v>0</v>
      </c>
      <c r="Q32" s="212"/>
      <c r="R32" s="99">
        <f t="shared" si="32"/>
        <v>0</v>
      </c>
      <c r="S32" s="212"/>
      <c r="T32" s="115">
        <f t="shared" si="33"/>
        <v>0</v>
      </c>
      <c r="U32" s="212"/>
      <c r="V32" s="99">
        <f t="shared" si="34"/>
        <v>0</v>
      </c>
      <c r="W32" s="212"/>
      <c r="X32" s="115"/>
      <c r="Y32" s="212"/>
      <c r="Z32" s="99">
        <f t="shared" si="35"/>
        <v>0</v>
      </c>
      <c r="AA32" s="210">
        <f t="shared" si="36"/>
        <v>0</v>
      </c>
      <c r="AB32" s="210">
        <f t="shared" si="36"/>
        <v>0</v>
      </c>
      <c r="AC32" s="210">
        <f t="shared" si="36"/>
        <v>0</v>
      </c>
      <c r="AD32" s="210">
        <f t="shared" si="37"/>
        <v>0</v>
      </c>
      <c r="AE32" s="212"/>
      <c r="AF32" s="97">
        <f t="shared" si="38"/>
        <v>0</v>
      </c>
      <c r="AG32" s="212"/>
      <c r="AH32" s="99">
        <f t="shared" si="39"/>
        <v>0</v>
      </c>
      <c r="AI32" s="212"/>
      <c r="AJ32" s="97">
        <f t="shared" si="12"/>
        <v>0</v>
      </c>
      <c r="AK32" s="212"/>
      <c r="AL32" s="99">
        <f t="shared" si="40"/>
        <v>0</v>
      </c>
      <c r="AM32" s="212"/>
      <c r="AN32" s="97">
        <f t="shared" si="41"/>
        <v>0</v>
      </c>
      <c r="AO32" s="212"/>
      <c r="AP32" s="99">
        <f t="shared" si="42"/>
        <v>0</v>
      </c>
      <c r="AQ32" s="210">
        <f t="shared" si="16"/>
        <v>0</v>
      </c>
      <c r="AR32" s="210">
        <f t="shared" si="17"/>
        <v>0</v>
      </c>
      <c r="AS32" s="210">
        <f t="shared" si="18"/>
        <v>0</v>
      </c>
      <c r="AT32" s="210">
        <f t="shared" si="43"/>
        <v>0</v>
      </c>
      <c r="AU32" s="212"/>
      <c r="AV32" s="97">
        <f t="shared" si="44"/>
        <v>0</v>
      </c>
      <c r="AW32" s="212"/>
      <c r="AX32" s="99">
        <f t="shared" si="45"/>
        <v>0</v>
      </c>
      <c r="AY32" s="210">
        <f t="shared" si="21"/>
        <v>0</v>
      </c>
      <c r="AZ32" s="210">
        <f t="shared" si="22"/>
        <v>0</v>
      </c>
      <c r="BA32" s="210">
        <f t="shared" si="23"/>
        <v>0</v>
      </c>
      <c r="BB32" s="210">
        <f t="shared" si="46"/>
        <v>0</v>
      </c>
    </row>
    <row r="33" spans="1:54" s="17" customFormat="1" ht="31.5" x14ac:dyDescent="0.2">
      <c r="A33" s="303" t="s">
        <v>142</v>
      </c>
      <c r="B33" s="201" t="s">
        <v>3</v>
      </c>
      <c r="C33" s="213">
        <f t="shared" ref="C33:G33" si="90">C34+C35+C36+C37+C38+C39*2</f>
        <v>3940.5</v>
      </c>
      <c r="D33" s="213">
        <f t="shared" si="90"/>
        <v>3940.5</v>
      </c>
      <c r="E33" s="213">
        <f>E34+E35+E36+E37+E38+E39*2+E40</f>
        <v>3563</v>
      </c>
      <c r="F33" s="213">
        <f t="shared" si="25"/>
        <v>90.419997462250976</v>
      </c>
      <c r="G33" s="213">
        <f t="shared" si="90"/>
        <v>933</v>
      </c>
      <c r="H33" s="213">
        <f>H34+H35+H36+H37+H38+H39*2</f>
        <v>933</v>
      </c>
      <c r="I33" s="213">
        <f>I34+I35+I36+I37+I38+I39*2+I40</f>
        <v>915</v>
      </c>
      <c r="J33" s="213">
        <f t="shared" si="26"/>
        <v>98.070739549839232</v>
      </c>
      <c r="K33" s="311">
        <f t="shared" si="27"/>
        <v>4873.5</v>
      </c>
      <c r="L33" s="311">
        <f t="shared" si="28"/>
        <v>4873.5</v>
      </c>
      <c r="M33" s="311">
        <f t="shared" si="29"/>
        <v>4478</v>
      </c>
      <c r="N33" s="305">
        <f t="shared" si="30"/>
        <v>91.884682466399909</v>
      </c>
      <c r="O33" s="213">
        <f t="shared" ref="O33" si="91">O34+O35+O36+O37+O38+O39*2</f>
        <v>102</v>
      </c>
      <c r="P33" s="304">
        <f t="shared" si="31"/>
        <v>102</v>
      </c>
      <c r="Q33" s="213">
        <f>Q34+Q35+Q36+Q37+Q38+Q39*2</f>
        <v>102</v>
      </c>
      <c r="R33" s="213">
        <f t="shared" si="32"/>
        <v>100</v>
      </c>
      <c r="S33" s="213">
        <f t="shared" ref="S33" si="92">S34+S35+S36+S37+S38+S39*2</f>
        <v>237</v>
      </c>
      <c r="T33" s="304">
        <f t="shared" si="33"/>
        <v>237</v>
      </c>
      <c r="U33" s="213">
        <f>U34+U35+U36+U37+U38+U39*2</f>
        <v>237</v>
      </c>
      <c r="V33" s="213">
        <f t="shared" si="34"/>
        <v>100</v>
      </c>
      <c r="W33" s="213">
        <f t="shared" ref="W33:X33" si="93">W34+W35+W36+W37+W38+W39*2</f>
        <v>2659</v>
      </c>
      <c r="X33" s="213">
        <f t="shared" si="93"/>
        <v>2659</v>
      </c>
      <c r="Y33" s="213">
        <f>Y34+Y35+Y36+Y37+Y38+Y39*2+Y40</f>
        <v>2296</v>
      </c>
      <c r="Z33" s="213">
        <f t="shared" si="35"/>
        <v>86.348251222264011</v>
      </c>
      <c r="AA33" s="309">
        <f t="shared" si="36"/>
        <v>2998</v>
      </c>
      <c r="AB33" s="309">
        <f t="shared" si="36"/>
        <v>2998</v>
      </c>
      <c r="AC33" s="309">
        <f t="shared" si="36"/>
        <v>2635</v>
      </c>
      <c r="AD33" s="309">
        <f t="shared" si="37"/>
        <v>87.891927951967972</v>
      </c>
      <c r="AE33" s="213">
        <f t="shared" ref="AE33:AF33" si="94">AE34+AE35+AE36+AE37+AE38+AE39*2</f>
        <v>312</v>
      </c>
      <c r="AF33" s="213">
        <f t="shared" si="94"/>
        <v>312</v>
      </c>
      <c r="AG33" s="213">
        <f>AG34+AG35+AG36+AG37+AG38+AG39*2+AG40</f>
        <v>294</v>
      </c>
      <c r="AH33" s="213">
        <f t="shared" si="39"/>
        <v>94.230769230769226</v>
      </c>
      <c r="AI33" s="213">
        <f t="shared" ref="AI33" si="95">AI34+AI35+AI36+AI37+AI38+AI39*2</f>
        <v>387</v>
      </c>
      <c r="AJ33" s="213">
        <v>387</v>
      </c>
      <c r="AK33" s="213">
        <f>AK34+AK35+AK36+AK37+AK38+AK39*2+AK40</f>
        <v>383</v>
      </c>
      <c r="AL33" s="213">
        <f t="shared" si="40"/>
        <v>98.966408268733858</v>
      </c>
      <c r="AM33" s="213">
        <f t="shared" ref="AM33:AN33" si="96">AM34+AM35+AM36+AM37+AM38+AM39*2</f>
        <v>840</v>
      </c>
      <c r="AN33" s="213">
        <f t="shared" si="96"/>
        <v>840</v>
      </c>
      <c r="AO33" s="213">
        <f>AO34+AO35+AO36+AO37+AO38+AO39*2+AO40</f>
        <v>960</v>
      </c>
      <c r="AP33" s="213">
        <f t="shared" si="42"/>
        <v>114.28571428571428</v>
      </c>
      <c r="AQ33" s="309">
        <f t="shared" si="16"/>
        <v>9410.5</v>
      </c>
      <c r="AR33" s="309">
        <f t="shared" si="17"/>
        <v>9410.5</v>
      </c>
      <c r="AS33" s="309">
        <f t="shared" si="18"/>
        <v>8750</v>
      </c>
      <c r="AT33" s="309">
        <f t="shared" si="43"/>
        <v>92.981244354710171</v>
      </c>
      <c r="AU33" s="213">
        <f t="shared" ref="AU33:AV33" si="97">AU34+AU35+AU36+AU37+AU38+AU39*2</f>
        <v>2956</v>
      </c>
      <c r="AV33" s="213">
        <f t="shared" si="97"/>
        <v>2956</v>
      </c>
      <c r="AW33" s="213">
        <f>AW34+AW35+AW36+AW37+AW38+AW39*2+AW40</f>
        <v>2197</v>
      </c>
      <c r="AX33" s="213">
        <f t="shared" si="45"/>
        <v>74.323410013531799</v>
      </c>
      <c r="AY33" s="309">
        <f t="shared" si="21"/>
        <v>2956</v>
      </c>
      <c r="AZ33" s="309">
        <f t="shared" si="22"/>
        <v>2956</v>
      </c>
      <c r="BA33" s="309">
        <f t="shared" si="23"/>
        <v>2197</v>
      </c>
      <c r="BB33" s="309">
        <f t="shared" si="46"/>
        <v>74.323410013531799</v>
      </c>
    </row>
    <row r="34" spans="1:54" ht="15.75" x14ac:dyDescent="0.2">
      <c r="A34" s="169" t="s">
        <v>143</v>
      </c>
      <c r="B34" s="201" t="s">
        <v>339</v>
      </c>
      <c r="C34" s="99">
        <v>502.125</v>
      </c>
      <c r="D34" s="195">
        <v>502.125</v>
      </c>
      <c r="E34" s="99">
        <v>458</v>
      </c>
      <c r="F34" s="99">
        <f t="shared" si="25"/>
        <v>91.212347523027134</v>
      </c>
      <c r="G34" s="99">
        <v>126</v>
      </c>
      <c r="H34" s="195">
        <f>G34</f>
        <v>126</v>
      </c>
      <c r="I34" s="99">
        <v>126</v>
      </c>
      <c r="J34" s="99">
        <f>IF(H34=0,0,I34/H34*100)</f>
        <v>100</v>
      </c>
      <c r="K34" s="236">
        <f t="shared" si="27"/>
        <v>628.125</v>
      </c>
      <c r="L34" s="236">
        <f>H34+D34</f>
        <v>628.125</v>
      </c>
      <c r="M34" s="236">
        <f t="shared" si="29"/>
        <v>584</v>
      </c>
      <c r="N34" s="235">
        <f t="shared" si="30"/>
        <v>92.975124378109456</v>
      </c>
      <c r="O34" s="213">
        <v>35</v>
      </c>
      <c r="P34" s="115">
        <f t="shared" si="31"/>
        <v>35</v>
      </c>
      <c r="Q34" s="213">
        <v>35</v>
      </c>
      <c r="R34" s="99">
        <f t="shared" si="32"/>
        <v>100</v>
      </c>
      <c r="S34" s="213">
        <v>51</v>
      </c>
      <c r="T34" s="115">
        <f t="shared" si="33"/>
        <v>51</v>
      </c>
      <c r="U34" s="213">
        <v>51</v>
      </c>
      <c r="V34" s="99">
        <f t="shared" si="34"/>
        <v>100</v>
      </c>
      <c r="W34" s="213">
        <v>253</v>
      </c>
      <c r="X34" s="115">
        <v>253</v>
      </c>
      <c r="Y34" s="213">
        <v>342</v>
      </c>
      <c r="Z34" s="99">
        <f t="shared" si="35"/>
        <v>135.17786561264822</v>
      </c>
      <c r="AA34" s="210">
        <f t="shared" si="36"/>
        <v>339</v>
      </c>
      <c r="AB34" s="210">
        <f t="shared" si="36"/>
        <v>339</v>
      </c>
      <c r="AC34" s="210">
        <f t="shared" si="36"/>
        <v>428</v>
      </c>
      <c r="AD34" s="210">
        <f t="shared" si="37"/>
        <v>126.25368731563422</v>
      </c>
      <c r="AE34" s="99">
        <v>33</v>
      </c>
      <c r="AF34" s="195">
        <v>33</v>
      </c>
      <c r="AG34" s="99">
        <v>44</v>
      </c>
      <c r="AH34" s="99">
        <f t="shared" si="39"/>
        <v>133.33333333333331</v>
      </c>
      <c r="AI34" s="99">
        <v>65</v>
      </c>
      <c r="AJ34" s="195">
        <v>65</v>
      </c>
      <c r="AK34" s="99">
        <v>59</v>
      </c>
      <c r="AL34" s="99">
        <f t="shared" si="40"/>
        <v>90.769230769230774</v>
      </c>
      <c r="AM34" s="99">
        <v>192</v>
      </c>
      <c r="AN34" s="195">
        <v>192</v>
      </c>
      <c r="AO34" s="99">
        <v>107</v>
      </c>
      <c r="AP34" s="99">
        <f t="shared" si="42"/>
        <v>55.729166666666664</v>
      </c>
      <c r="AQ34" s="210">
        <f t="shared" si="16"/>
        <v>1257.125</v>
      </c>
      <c r="AR34" s="210">
        <f t="shared" si="17"/>
        <v>1257.125</v>
      </c>
      <c r="AS34" s="210">
        <f t="shared" si="18"/>
        <v>1222</v>
      </c>
      <c r="AT34" s="210">
        <f t="shared" si="43"/>
        <v>97.205926220542906</v>
      </c>
      <c r="AU34" s="99">
        <v>557</v>
      </c>
      <c r="AV34" s="195">
        <v>557</v>
      </c>
      <c r="AW34" s="99">
        <v>452</v>
      </c>
      <c r="AX34" s="99">
        <f t="shared" si="45"/>
        <v>81.149012567324945</v>
      </c>
      <c r="AY34" s="210">
        <f t="shared" si="21"/>
        <v>557</v>
      </c>
      <c r="AZ34" s="210">
        <f t="shared" si="22"/>
        <v>557</v>
      </c>
      <c r="BA34" s="210">
        <f t="shared" si="23"/>
        <v>452</v>
      </c>
      <c r="BB34" s="210">
        <f t="shared" si="46"/>
        <v>81.149012567324945</v>
      </c>
    </row>
    <row r="35" spans="1:54" ht="15.75" x14ac:dyDescent="0.2">
      <c r="A35" s="169" t="s">
        <v>144</v>
      </c>
      <c r="B35" s="201" t="s">
        <v>339</v>
      </c>
      <c r="C35" s="214">
        <v>541</v>
      </c>
      <c r="D35" s="97">
        <v>541</v>
      </c>
      <c r="E35" s="214">
        <v>478</v>
      </c>
      <c r="F35" s="99">
        <f t="shared" si="25"/>
        <v>88.354898336414038</v>
      </c>
      <c r="G35" s="214">
        <v>99</v>
      </c>
      <c r="H35" s="195">
        <f t="shared" ref="H35:H41" si="98">G35</f>
        <v>99</v>
      </c>
      <c r="I35" s="214">
        <v>99</v>
      </c>
      <c r="J35" s="99">
        <f>IF(H35=0,0,I35/H35*100)</f>
        <v>100</v>
      </c>
      <c r="K35" s="236">
        <f t="shared" si="27"/>
        <v>640</v>
      </c>
      <c r="L35" s="236">
        <f>H35+D35</f>
        <v>640</v>
      </c>
      <c r="M35" s="236">
        <f t="shared" si="29"/>
        <v>577</v>
      </c>
      <c r="N35" s="235">
        <f t="shared" si="30"/>
        <v>90.15625</v>
      </c>
      <c r="O35" s="214">
        <v>41</v>
      </c>
      <c r="P35" s="115">
        <f t="shared" si="31"/>
        <v>41</v>
      </c>
      <c r="Q35" s="214">
        <v>41</v>
      </c>
      <c r="R35" s="99">
        <f t="shared" si="32"/>
        <v>100</v>
      </c>
      <c r="S35" s="214">
        <v>69</v>
      </c>
      <c r="T35" s="115">
        <f t="shared" si="33"/>
        <v>69</v>
      </c>
      <c r="U35" s="214">
        <v>69</v>
      </c>
      <c r="V35" s="99">
        <f t="shared" si="34"/>
        <v>100</v>
      </c>
      <c r="W35" s="214">
        <v>229</v>
      </c>
      <c r="X35" s="115">
        <v>229</v>
      </c>
      <c r="Y35" s="214">
        <v>315</v>
      </c>
      <c r="Z35" s="99">
        <f t="shared" si="35"/>
        <v>137.55458515283843</v>
      </c>
      <c r="AA35" s="210">
        <f t="shared" si="36"/>
        <v>339</v>
      </c>
      <c r="AB35" s="210">
        <f t="shared" si="36"/>
        <v>339</v>
      </c>
      <c r="AC35" s="210">
        <f t="shared" si="36"/>
        <v>425</v>
      </c>
      <c r="AD35" s="210">
        <f t="shared" si="37"/>
        <v>125.36873156342183</v>
      </c>
      <c r="AE35" s="214">
        <v>28</v>
      </c>
      <c r="AF35" s="195">
        <v>28</v>
      </c>
      <c r="AG35" s="214">
        <v>49</v>
      </c>
      <c r="AH35" s="99">
        <f t="shared" si="39"/>
        <v>175</v>
      </c>
      <c r="AI35" s="214">
        <v>42</v>
      </c>
      <c r="AJ35" s="195">
        <v>42</v>
      </c>
      <c r="AK35" s="214">
        <v>81</v>
      </c>
      <c r="AL35" s="99">
        <f t="shared" si="40"/>
        <v>192.85714285714286</v>
      </c>
      <c r="AM35" s="214">
        <v>233</v>
      </c>
      <c r="AN35" s="195">
        <v>233</v>
      </c>
      <c r="AO35" s="214">
        <v>171</v>
      </c>
      <c r="AP35" s="99">
        <f t="shared" si="42"/>
        <v>73.39055793991416</v>
      </c>
      <c r="AQ35" s="210">
        <f t="shared" si="16"/>
        <v>1282</v>
      </c>
      <c r="AR35" s="210">
        <f t="shared" si="17"/>
        <v>1282</v>
      </c>
      <c r="AS35" s="210">
        <f t="shared" si="18"/>
        <v>1303</v>
      </c>
      <c r="AT35" s="210">
        <f t="shared" si="43"/>
        <v>101.63806552262091</v>
      </c>
      <c r="AU35" s="214">
        <v>557</v>
      </c>
      <c r="AV35" s="195">
        <v>557</v>
      </c>
      <c r="AW35" s="214">
        <v>426</v>
      </c>
      <c r="AX35" s="99">
        <f t="shared" si="45"/>
        <v>76.481149012567329</v>
      </c>
      <c r="AY35" s="210">
        <f t="shared" si="21"/>
        <v>557</v>
      </c>
      <c r="AZ35" s="210">
        <f t="shared" si="22"/>
        <v>557</v>
      </c>
      <c r="BA35" s="210">
        <f t="shared" si="23"/>
        <v>426</v>
      </c>
      <c r="BB35" s="210">
        <f t="shared" si="46"/>
        <v>76.481149012567329</v>
      </c>
    </row>
    <row r="36" spans="1:54" ht="15.75" x14ac:dyDescent="0.2">
      <c r="A36" s="169" t="s">
        <v>145</v>
      </c>
      <c r="B36" s="201" t="s">
        <v>339</v>
      </c>
      <c r="C36" s="214">
        <v>270.375</v>
      </c>
      <c r="D36" s="97">
        <v>270.375</v>
      </c>
      <c r="E36" s="214">
        <v>165</v>
      </c>
      <c r="F36" s="99">
        <f t="shared" si="25"/>
        <v>61.026352288488205</v>
      </c>
      <c r="G36" s="214">
        <v>45</v>
      </c>
      <c r="H36" s="195">
        <f t="shared" si="98"/>
        <v>45</v>
      </c>
      <c r="I36" s="214">
        <v>45</v>
      </c>
      <c r="J36" s="99">
        <f t="shared" si="26"/>
        <v>100</v>
      </c>
      <c r="K36" s="236">
        <f t="shared" si="27"/>
        <v>315.375</v>
      </c>
      <c r="L36" s="236">
        <f t="shared" si="28"/>
        <v>315.375</v>
      </c>
      <c r="M36" s="236">
        <f t="shared" si="29"/>
        <v>210</v>
      </c>
      <c r="N36" s="235">
        <f t="shared" si="30"/>
        <v>66.58739595719382</v>
      </c>
      <c r="O36" s="214">
        <v>2</v>
      </c>
      <c r="P36" s="115">
        <f t="shared" si="31"/>
        <v>2</v>
      </c>
      <c r="Q36" s="214">
        <v>2</v>
      </c>
      <c r="R36" s="99">
        <f t="shared" si="32"/>
        <v>100</v>
      </c>
      <c r="S36" s="214">
        <v>7</v>
      </c>
      <c r="T36" s="115">
        <f t="shared" si="33"/>
        <v>7</v>
      </c>
      <c r="U36" s="214">
        <v>7</v>
      </c>
      <c r="V36" s="99">
        <f t="shared" si="34"/>
        <v>100</v>
      </c>
      <c r="W36" s="214">
        <v>415</v>
      </c>
      <c r="X36" s="115">
        <v>415</v>
      </c>
      <c r="Y36" s="214">
        <v>121</v>
      </c>
      <c r="Z36" s="99">
        <f t="shared" si="35"/>
        <v>29.156626506024097</v>
      </c>
      <c r="AA36" s="210">
        <f t="shared" si="36"/>
        <v>424</v>
      </c>
      <c r="AB36" s="210">
        <f t="shared" si="36"/>
        <v>424</v>
      </c>
      <c r="AC36" s="210">
        <f t="shared" si="36"/>
        <v>130</v>
      </c>
      <c r="AD36" s="210">
        <f t="shared" si="37"/>
        <v>30.660377358490564</v>
      </c>
      <c r="AE36" s="214">
        <v>36</v>
      </c>
      <c r="AF36" s="195">
        <v>36</v>
      </c>
      <c r="AG36" s="214">
        <v>11</v>
      </c>
      <c r="AH36" s="99">
        <f t="shared" si="39"/>
        <v>30.555555555555557</v>
      </c>
      <c r="AI36" s="214">
        <v>18</v>
      </c>
      <c r="AJ36" s="195">
        <v>18</v>
      </c>
      <c r="AK36" s="214">
        <v>16</v>
      </c>
      <c r="AL36" s="99">
        <f t="shared" si="40"/>
        <v>88.888888888888886</v>
      </c>
      <c r="AM36" s="214">
        <v>150</v>
      </c>
      <c r="AN36" s="195">
        <v>150</v>
      </c>
      <c r="AO36" s="214">
        <v>42</v>
      </c>
      <c r="AP36" s="99">
        <f t="shared" si="42"/>
        <v>28.000000000000004</v>
      </c>
      <c r="AQ36" s="210">
        <f t="shared" si="16"/>
        <v>943.375</v>
      </c>
      <c r="AR36" s="210">
        <f t="shared" si="17"/>
        <v>943.375</v>
      </c>
      <c r="AS36" s="210">
        <f t="shared" si="18"/>
        <v>409</v>
      </c>
      <c r="AT36" s="210">
        <f t="shared" si="43"/>
        <v>43.354975486948454</v>
      </c>
      <c r="AU36" s="214">
        <v>150</v>
      </c>
      <c r="AV36" s="195">
        <v>150</v>
      </c>
      <c r="AW36" s="214">
        <v>119</v>
      </c>
      <c r="AX36" s="99">
        <f t="shared" si="45"/>
        <v>79.333333333333329</v>
      </c>
      <c r="AY36" s="210">
        <f t="shared" si="21"/>
        <v>150</v>
      </c>
      <c r="AZ36" s="210">
        <f t="shared" si="22"/>
        <v>150</v>
      </c>
      <c r="BA36" s="210">
        <f t="shared" si="23"/>
        <v>119</v>
      </c>
      <c r="BB36" s="210">
        <f t="shared" si="46"/>
        <v>79.333333333333329</v>
      </c>
    </row>
    <row r="37" spans="1:54" ht="15.75" x14ac:dyDescent="0.2">
      <c r="A37" s="169" t="s">
        <v>146</v>
      </c>
      <c r="B37" s="201" t="s">
        <v>339</v>
      </c>
      <c r="C37" s="214">
        <v>386.25</v>
      </c>
      <c r="D37" s="97">
        <v>386.25</v>
      </c>
      <c r="E37" s="214">
        <v>207</v>
      </c>
      <c r="F37" s="99">
        <f t="shared" si="25"/>
        <v>53.592233009708735</v>
      </c>
      <c r="G37" s="214">
        <v>51</v>
      </c>
      <c r="H37" s="195">
        <f t="shared" si="98"/>
        <v>51</v>
      </c>
      <c r="I37" s="214">
        <v>51</v>
      </c>
      <c r="J37" s="99">
        <f t="shared" si="26"/>
        <v>100</v>
      </c>
      <c r="K37" s="236">
        <f t="shared" si="27"/>
        <v>437.25</v>
      </c>
      <c r="L37" s="236">
        <f t="shared" si="28"/>
        <v>437.25</v>
      </c>
      <c r="M37" s="236">
        <f t="shared" si="29"/>
        <v>258</v>
      </c>
      <c r="N37" s="235">
        <f t="shared" si="30"/>
        <v>59.005145797598622</v>
      </c>
      <c r="O37" s="214">
        <v>1</v>
      </c>
      <c r="P37" s="115">
        <f t="shared" si="31"/>
        <v>1</v>
      </c>
      <c r="Q37" s="214">
        <v>1</v>
      </c>
      <c r="R37" s="99">
        <f t="shared" si="32"/>
        <v>100</v>
      </c>
      <c r="S37" s="214">
        <v>6</v>
      </c>
      <c r="T37" s="115">
        <f t="shared" si="33"/>
        <v>6</v>
      </c>
      <c r="U37" s="214">
        <v>6</v>
      </c>
      <c r="V37" s="99">
        <f t="shared" si="34"/>
        <v>100</v>
      </c>
      <c r="W37" s="214">
        <v>422</v>
      </c>
      <c r="X37" s="115">
        <v>422</v>
      </c>
      <c r="Y37" s="214">
        <v>131</v>
      </c>
      <c r="Z37" s="99">
        <f t="shared" si="35"/>
        <v>31.042654028436019</v>
      </c>
      <c r="AA37" s="210">
        <f t="shared" si="36"/>
        <v>429</v>
      </c>
      <c r="AB37" s="210">
        <f t="shared" si="36"/>
        <v>429</v>
      </c>
      <c r="AC37" s="210">
        <f t="shared" si="36"/>
        <v>138</v>
      </c>
      <c r="AD37" s="210">
        <f t="shared" si="37"/>
        <v>32.167832167832167</v>
      </c>
      <c r="AE37" s="214">
        <v>25</v>
      </c>
      <c r="AF37" s="195">
        <v>25</v>
      </c>
      <c r="AG37" s="214">
        <v>14</v>
      </c>
      <c r="AH37" s="99">
        <f t="shared" si="39"/>
        <v>56.000000000000007</v>
      </c>
      <c r="AI37" s="214">
        <v>23</v>
      </c>
      <c r="AJ37" s="195">
        <v>23</v>
      </c>
      <c r="AK37" s="214">
        <v>18</v>
      </c>
      <c r="AL37" s="99">
        <f t="shared" si="40"/>
        <v>78.260869565217391</v>
      </c>
      <c r="AM37" s="214">
        <v>151</v>
      </c>
      <c r="AN37" s="195">
        <v>151</v>
      </c>
      <c r="AO37" s="214">
        <v>50</v>
      </c>
      <c r="AP37" s="99">
        <f t="shared" si="42"/>
        <v>33.112582781456958</v>
      </c>
      <c r="AQ37" s="210">
        <f t="shared" si="16"/>
        <v>1065.25</v>
      </c>
      <c r="AR37" s="210">
        <f t="shared" si="17"/>
        <v>1065.25</v>
      </c>
      <c r="AS37" s="210">
        <f t="shared" si="18"/>
        <v>478</v>
      </c>
      <c r="AT37" s="210">
        <f t="shared" si="43"/>
        <v>44.872095752170857</v>
      </c>
      <c r="AU37" s="214">
        <v>150</v>
      </c>
      <c r="AV37" s="195">
        <v>150</v>
      </c>
      <c r="AW37" s="214">
        <v>112</v>
      </c>
      <c r="AX37" s="99">
        <f t="shared" si="45"/>
        <v>74.666666666666671</v>
      </c>
      <c r="AY37" s="210">
        <f t="shared" si="21"/>
        <v>150</v>
      </c>
      <c r="AZ37" s="210">
        <f t="shared" si="22"/>
        <v>150</v>
      </c>
      <c r="BA37" s="210">
        <f t="shared" si="23"/>
        <v>112</v>
      </c>
      <c r="BB37" s="210">
        <f t="shared" si="46"/>
        <v>74.666666666666671</v>
      </c>
    </row>
    <row r="38" spans="1:54" ht="15.75" x14ac:dyDescent="0.2">
      <c r="A38" s="169" t="s">
        <v>147</v>
      </c>
      <c r="B38" s="201" t="s">
        <v>339</v>
      </c>
      <c r="C38" s="214">
        <v>540.75</v>
      </c>
      <c r="D38" s="97">
        <v>540.75</v>
      </c>
      <c r="E38" s="214">
        <v>707</v>
      </c>
      <c r="F38" s="99">
        <f t="shared" si="25"/>
        <v>130.74433656957927</v>
      </c>
      <c r="G38" s="214">
        <v>208</v>
      </c>
      <c r="H38" s="195">
        <f t="shared" si="98"/>
        <v>208</v>
      </c>
      <c r="I38" s="214">
        <v>208</v>
      </c>
      <c r="J38" s="99">
        <f t="shared" si="26"/>
        <v>100</v>
      </c>
      <c r="K38" s="236">
        <f t="shared" si="27"/>
        <v>748.75</v>
      </c>
      <c r="L38" s="236">
        <f t="shared" si="28"/>
        <v>748.75</v>
      </c>
      <c r="M38" s="236">
        <f t="shared" si="29"/>
        <v>915</v>
      </c>
      <c r="N38" s="235">
        <f t="shared" si="30"/>
        <v>122.20367278797997</v>
      </c>
      <c r="O38" s="214">
        <v>7</v>
      </c>
      <c r="P38" s="115">
        <f t="shared" si="31"/>
        <v>7</v>
      </c>
      <c r="Q38" s="214">
        <v>7</v>
      </c>
      <c r="R38" s="99">
        <f t="shared" si="32"/>
        <v>100</v>
      </c>
      <c r="S38" s="214">
        <v>14</v>
      </c>
      <c r="T38" s="115">
        <f t="shared" si="33"/>
        <v>14</v>
      </c>
      <c r="U38" s="214">
        <v>14</v>
      </c>
      <c r="V38" s="99">
        <f t="shared" si="34"/>
        <v>100</v>
      </c>
      <c r="W38" s="214">
        <v>438</v>
      </c>
      <c r="X38" s="115">
        <v>438</v>
      </c>
      <c r="Y38" s="214">
        <v>556</v>
      </c>
      <c r="Z38" s="99">
        <f t="shared" si="35"/>
        <v>126.9406392694064</v>
      </c>
      <c r="AA38" s="210">
        <f t="shared" si="36"/>
        <v>459</v>
      </c>
      <c r="AB38" s="210">
        <f t="shared" si="36"/>
        <v>459</v>
      </c>
      <c r="AC38" s="210">
        <f t="shared" si="36"/>
        <v>577</v>
      </c>
      <c r="AD38" s="210">
        <f t="shared" si="37"/>
        <v>125.70806100217864</v>
      </c>
      <c r="AE38" s="214">
        <v>66</v>
      </c>
      <c r="AF38" s="195">
        <v>66</v>
      </c>
      <c r="AG38" s="214">
        <v>65</v>
      </c>
      <c r="AH38" s="99">
        <f t="shared" si="39"/>
        <v>98.484848484848484</v>
      </c>
      <c r="AI38" s="214">
        <v>65</v>
      </c>
      <c r="AJ38" s="195">
        <v>65</v>
      </c>
      <c r="AK38" s="214">
        <v>53</v>
      </c>
      <c r="AL38" s="99">
        <f t="shared" si="40"/>
        <v>81.538461538461533</v>
      </c>
      <c r="AM38" s="214">
        <v>34</v>
      </c>
      <c r="AN38" s="195">
        <v>34</v>
      </c>
      <c r="AO38" s="214">
        <v>174</v>
      </c>
      <c r="AP38" s="99">
        <f t="shared" si="42"/>
        <v>511.76470588235293</v>
      </c>
      <c r="AQ38" s="210">
        <f t="shared" si="16"/>
        <v>1372.75</v>
      </c>
      <c r="AR38" s="210">
        <f t="shared" si="17"/>
        <v>1372.75</v>
      </c>
      <c r="AS38" s="210">
        <f t="shared" si="18"/>
        <v>1784</v>
      </c>
      <c r="AT38" s="210">
        <f t="shared" si="43"/>
        <v>129.95811327627027</v>
      </c>
      <c r="AU38" s="214">
        <v>400</v>
      </c>
      <c r="AV38" s="195">
        <v>400</v>
      </c>
      <c r="AW38" s="214">
        <v>439</v>
      </c>
      <c r="AX38" s="99">
        <f t="shared" si="45"/>
        <v>109.74999999999999</v>
      </c>
      <c r="AY38" s="210">
        <f t="shared" si="21"/>
        <v>400</v>
      </c>
      <c r="AZ38" s="210">
        <f t="shared" si="22"/>
        <v>400</v>
      </c>
      <c r="BA38" s="210">
        <f t="shared" si="23"/>
        <v>439</v>
      </c>
      <c r="BB38" s="210">
        <f t="shared" si="46"/>
        <v>109.74999999999999</v>
      </c>
    </row>
    <row r="39" spans="1:54" s="358" customFormat="1" ht="31.5" x14ac:dyDescent="0.2">
      <c r="A39" s="342" t="s">
        <v>342</v>
      </c>
      <c r="B39" s="356" t="s">
        <v>339</v>
      </c>
      <c r="C39" s="357">
        <v>850</v>
      </c>
      <c r="D39" s="346">
        <v>850</v>
      </c>
      <c r="E39" s="357">
        <v>559</v>
      </c>
      <c r="F39" s="345">
        <f>(E39+E40)/D39*100</f>
        <v>116.35294117647059</v>
      </c>
      <c r="G39" s="357">
        <v>202</v>
      </c>
      <c r="H39" s="357">
        <f t="shared" si="98"/>
        <v>202</v>
      </c>
      <c r="I39" s="357">
        <v>184</v>
      </c>
      <c r="J39" s="345">
        <f>(I39+I40)/H39*100</f>
        <v>100</v>
      </c>
      <c r="K39" s="359">
        <f t="shared" si="27"/>
        <v>1052</v>
      </c>
      <c r="L39" s="359">
        <f t="shared" si="28"/>
        <v>1052</v>
      </c>
      <c r="M39" s="359">
        <f t="shared" si="29"/>
        <v>743</v>
      </c>
      <c r="N39" s="349">
        <f t="shared" si="30"/>
        <v>70.627376425855516</v>
      </c>
      <c r="O39" s="357">
        <v>8</v>
      </c>
      <c r="P39" s="346">
        <f t="shared" si="31"/>
        <v>8</v>
      </c>
      <c r="Q39" s="357">
        <v>8</v>
      </c>
      <c r="R39" s="345">
        <f t="shared" si="32"/>
        <v>100</v>
      </c>
      <c r="S39" s="357">
        <v>45</v>
      </c>
      <c r="T39" s="346">
        <f t="shared" si="33"/>
        <v>45</v>
      </c>
      <c r="U39" s="357">
        <v>45</v>
      </c>
      <c r="V39" s="345">
        <f t="shared" si="34"/>
        <v>100</v>
      </c>
      <c r="W39" s="357">
        <v>451</v>
      </c>
      <c r="X39" s="346">
        <v>451</v>
      </c>
      <c r="Y39" s="361">
        <v>109</v>
      </c>
      <c r="Z39" s="345">
        <f>(Y39+Y40)/X39*100</f>
        <v>160.08869179600887</v>
      </c>
      <c r="AA39" s="354">
        <f t="shared" si="36"/>
        <v>504</v>
      </c>
      <c r="AB39" s="354">
        <f t="shared" si="36"/>
        <v>504</v>
      </c>
      <c r="AC39" s="354">
        <f t="shared" si="36"/>
        <v>162</v>
      </c>
      <c r="AD39" s="354">
        <f t="shared" si="37"/>
        <v>32.142857142857146</v>
      </c>
      <c r="AE39" s="357">
        <v>62</v>
      </c>
      <c r="AF39" s="346">
        <v>62</v>
      </c>
      <c r="AG39" s="361">
        <v>31</v>
      </c>
      <c r="AH39" s="345">
        <f>(AG39+AG40)/AF39*100</f>
        <v>129.03225806451613</v>
      </c>
      <c r="AI39" s="357">
        <v>87</v>
      </c>
      <c r="AJ39" s="346">
        <v>87</v>
      </c>
      <c r="AK39" s="361">
        <v>56</v>
      </c>
      <c r="AL39" s="345">
        <f>(AK39+AK40)/AJ39*100</f>
        <v>114.94252873563218</v>
      </c>
      <c r="AM39" s="357">
        <v>40</v>
      </c>
      <c r="AN39" s="346">
        <v>40</v>
      </c>
      <c r="AO39" s="361">
        <v>146</v>
      </c>
      <c r="AP39" s="345">
        <f>(AO39+AO40)/AN39*100</f>
        <v>675</v>
      </c>
      <c r="AQ39" s="354">
        <f t="shared" si="16"/>
        <v>1745</v>
      </c>
      <c r="AR39" s="354">
        <f t="shared" si="17"/>
        <v>1745</v>
      </c>
      <c r="AS39" s="354">
        <f t="shared" si="18"/>
        <v>1138</v>
      </c>
      <c r="AT39" s="354">
        <f t="shared" si="43"/>
        <v>65.214899713467048</v>
      </c>
      <c r="AU39" s="357">
        <v>571</v>
      </c>
      <c r="AV39" s="346">
        <v>571</v>
      </c>
      <c r="AW39" s="357">
        <v>94</v>
      </c>
      <c r="AX39" s="345">
        <f>(AW39+AW40)/AV39*100</f>
        <v>97.197898423817861</v>
      </c>
      <c r="AY39" s="354">
        <f t="shared" si="21"/>
        <v>571</v>
      </c>
      <c r="AZ39" s="354">
        <f t="shared" si="22"/>
        <v>571</v>
      </c>
      <c r="BA39" s="354">
        <f t="shared" si="23"/>
        <v>94</v>
      </c>
      <c r="BB39" s="354">
        <f t="shared" si="46"/>
        <v>16.462346760070051</v>
      </c>
    </row>
    <row r="40" spans="1:54" ht="31.5" x14ac:dyDescent="0.2">
      <c r="A40" s="338" t="s">
        <v>343</v>
      </c>
      <c r="B40" s="201"/>
      <c r="C40" s="214"/>
      <c r="D40" s="97"/>
      <c r="E40" s="217">
        <f>989-E39</f>
        <v>430</v>
      </c>
      <c r="F40" s="99"/>
      <c r="G40" s="214"/>
      <c r="H40" s="195"/>
      <c r="I40" s="217">
        <v>18</v>
      </c>
      <c r="J40" s="99"/>
      <c r="K40" s="236">
        <f t="shared" ref="K40" si="99">G40+C40</f>
        <v>0</v>
      </c>
      <c r="L40" s="236">
        <f t="shared" ref="L40" si="100">H40+D40</f>
        <v>0</v>
      </c>
      <c r="M40" s="236">
        <f t="shared" ref="M40" si="101">I40+E40</f>
        <v>448</v>
      </c>
      <c r="N40" s="235">
        <f t="shared" ref="N40" si="102">IF(L40=0,0,M40/L40*100)</f>
        <v>0</v>
      </c>
      <c r="O40" s="214"/>
      <c r="P40" s="115"/>
      <c r="Q40" s="214"/>
      <c r="R40" s="99"/>
      <c r="S40" s="214"/>
      <c r="T40" s="115"/>
      <c r="U40" s="214"/>
      <c r="V40" s="99"/>
      <c r="W40" s="214"/>
      <c r="X40" s="115"/>
      <c r="Y40" s="337">
        <f>722-Y39</f>
        <v>613</v>
      </c>
      <c r="Z40" s="99"/>
      <c r="AA40" s="210">
        <f t="shared" ref="AA40" si="103">S40+O40+W40</f>
        <v>0</v>
      </c>
      <c r="AB40" s="210">
        <f t="shared" ref="AB40" si="104">T40+P40+X40</f>
        <v>0</v>
      </c>
      <c r="AC40" s="210">
        <f t="shared" ref="AC40" si="105">U40+Q40+Y40</f>
        <v>613</v>
      </c>
      <c r="AD40" s="210">
        <f t="shared" ref="AD40" si="106">IF(AB40=0,0,AC40/AB40*100)</f>
        <v>0</v>
      </c>
      <c r="AE40" s="214"/>
      <c r="AF40" s="195"/>
      <c r="AG40" s="337">
        <f>80-AG39</f>
        <v>49</v>
      </c>
      <c r="AH40" s="99"/>
      <c r="AI40" s="214"/>
      <c r="AJ40" s="195"/>
      <c r="AK40" s="337">
        <f>100-AK39</f>
        <v>44</v>
      </c>
      <c r="AL40" s="99"/>
      <c r="AM40" s="214"/>
      <c r="AN40" s="195"/>
      <c r="AO40" s="337">
        <f>270-AO39</f>
        <v>124</v>
      </c>
      <c r="AP40" s="99"/>
      <c r="AQ40" s="210">
        <f t="shared" ref="AQ40" si="107">SUM(AM40,AI40,AE40,AA40,K40)</f>
        <v>0</v>
      </c>
      <c r="AR40" s="210">
        <f t="shared" ref="AR40" si="108">SUM(AN40,AJ40,AF40,AB40,L40)</f>
        <v>0</v>
      </c>
      <c r="AS40" s="210">
        <f t="shared" ref="AS40" si="109">SUM(AO40,AK40,AG40,AC40,M40)</f>
        <v>1278</v>
      </c>
      <c r="AT40" s="210">
        <f t="shared" ref="AT40" si="110">IF(AR40=0,0,AS40/AR40*100)</f>
        <v>0</v>
      </c>
      <c r="AU40" s="214"/>
      <c r="AV40" s="195"/>
      <c r="AW40" s="217">
        <f>555-AW39</f>
        <v>461</v>
      </c>
      <c r="AX40" s="99"/>
      <c r="AY40" s="210">
        <f t="shared" ref="AY40" si="111">SUM(AU40)</f>
        <v>0</v>
      </c>
      <c r="AZ40" s="210">
        <f t="shared" ref="AZ40" si="112">SUM(AV40)</f>
        <v>0</v>
      </c>
      <c r="BA40" s="210">
        <f t="shared" ref="BA40" si="113">SUM(AW40)</f>
        <v>461</v>
      </c>
      <c r="BB40" s="210">
        <f t="shared" ref="BB40" si="114">IF(AZ40=0,0,BA40/AZ40*100)</f>
        <v>0</v>
      </c>
    </row>
    <row r="41" spans="1:54" s="17" customFormat="1" ht="30" x14ac:dyDescent="0.2">
      <c r="A41" s="201" t="s">
        <v>344</v>
      </c>
      <c r="B41" s="197" t="s">
        <v>3</v>
      </c>
      <c r="C41" s="310">
        <v>600</v>
      </c>
      <c r="D41" s="304">
        <v>600</v>
      </c>
      <c r="E41" s="217">
        <v>53</v>
      </c>
      <c r="F41" s="99">
        <f>(E41+E42)/D41*100</f>
        <v>37.166666666666664</v>
      </c>
      <c r="G41" s="310">
        <v>48</v>
      </c>
      <c r="H41" s="304">
        <f t="shared" si="98"/>
        <v>48</v>
      </c>
      <c r="I41" s="217">
        <v>48</v>
      </c>
      <c r="J41" s="99">
        <f>(I41+I42)/H41*100</f>
        <v>100</v>
      </c>
      <c r="K41" s="311">
        <f t="shared" si="27"/>
        <v>648</v>
      </c>
      <c r="L41" s="311">
        <f t="shared" si="28"/>
        <v>648</v>
      </c>
      <c r="M41" s="311">
        <f t="shared" si="29"/>
        <v>101</v>
      </c>
      <c r="N41" s="305">
        <f t="shared" si="30"/>
        <v>15.586419753086419</v>
      </c>
      <c r="O41" s="310"/>
      <c r="P41" s="304">
        <f t="shared" si="31"/>
        <v>0</v>
      </c>
      <c r="Q41" s="310">
        <v>0</v>
      </c>
      <c r="R41" s="213">
        <f t="shared" si="32"/>
        <v>0</v>
      </c>
      <c r="S41" s="310"/>
      <c r="T41" s="304">
        <f t="shared" si="33"/>
        <v>0</v>
      </c>
      <c r="U41" s="310">
        <v>0</v>
      </c>
      <c r="V41" s="213">
        <f t="shared" si="34"/>
        <v>0</v>
      </c>
      <c r="W41" s="310">
        <v>180</v>
      </c>
      <c r="X41" s="331">
        <v>180</v>
      </c>
      <c r="Y41" s="337">
        <v>7</v>
      </c>
      <c r="Z41" s="99">
        <f>(Y41+Y42)/X41*100</f>
        <v>471.11111111111114</v>
      </c>
      <c r="AA41" s="309">
        <f t="shared" si="36"/>
        <v>180</v>
      </c>
      <c r="AB41" s="309">
        <f t="shared" si="36"/>
        <v>180</v>
      </c>
      <c r="AC41" s="309">
        <f t="shared" si="36"/>
        <v>7</v>
      </c>
      <c r="AD41" s="309">
        <f t="shared" si="37"/>
        <v>3.8888888888888888</v>
      </c>
      <c r="AE41" s="310">
        <v>100</v>
      </c>
      <c r="AF41" s="304">
        <v>100</v>
      </c>
      <c r="AG41" s="337">
        <v>30</v>
      </c>
      <c r="AH41" s="99">
        <f>(AG41+AG42)/AF41*100</f>
        <v>80</v>
      </c>
      <c r="AI41" s="310">
        <v>41</v>
      </c>
      <c r="AJ41" s="304">
        <v>41</v>
      </c>
      <c r="AK41" s="337">
        <v>31</v>
      </c>
      <c r="AL41" s="99">
        <f>(AK41+AK42)/AJ41*100</f>
        <v>173.17073170731706</v>
      </c>
      <c r="AM41" s="310">
        <v>200</v>
      </c>
      <c r="AN41" s="304">
        <v>200</v>
      </c>
      <c r="AO41" s="337">
        <v>35</v>
      </c>
      <c r="AP41" s="99">
        <f>(AO41+AO42)/AN41*100</f>
        <v>62</v>
      </c>
      <c r="AQ41" s="309">
        <f t="shared" si="16"/>
        <v>1169</v>
      </c>
      <c r="AR41" s="309">
        <f t="shared" si="17"/>
        <v>1169</v>
      </c>
      <c r="AS41" s="309">
        <f t="shared" si="18"/>
        <v>204</v>
      </c>
      <c r="AT41" s="309">
        <f t="shared" si="43"/>
        <v>17.450812660393499</v>
      </c>
      <c r="AU41" s="310">
        <v>650</v>
      </c>
      <c r="AV41" s="304">
        <v>650</v>
      </c>
      <c r="AW41" s="217">
        <v>23</v>
      </c>
      <c r="AX41" s="99">
        <f>(AW41+AW42)/AV41*100</f>
        <v>60.615384615384613</v>
      </c>
      <c r="AY41" s="309">
        <f t="shared" si="21"/>
        <v>650</v>
      </c>
      <c r="AZ41" s="309">
        <f t="shared" si="22"/>
        <v>650</v>
      </c>
      <c r="BA41" s="309">
        <f t="shared" si="23"/>
        <v>23</v>
      </c>
      <c r="BB41" s="309">
        <f t="shared" si="46"/>
        <v>3.5384615384615383</v>
      </c>
    </row>
    <row r="42" spans="1:54" s="17" customFormat="1" ht="31.5" x14ac:dyDescent="0.25">
      <c r="A42" s="45" t="s">
        <v>345</v>
      </c>
      <c r="B42" s="197"/>
      <c r="C42" s="310"/>
      <c r="D42" s="304"/>
      <c r="E42" s="217">
        <f>223-E41</f>
        <v>170</v>
      </c>
      <c r="F42" s="213"/>
      <c r="G42" s="310"/>
      <c r="H42" s="304"/>
      <c r="I42" s="337"/>
      <c r="J42" s="213"/>
      <c r="K42" s="311">
        <f t="shared" ref="K42" si="115">G42+C42</f>
        <v>0</v>
      </c>
      <c r="L42" s="311">
        <f t="shared" ref="L42" si="116">H42+D42</f>
        <v>0</v>
      </c>
      <c r="M42" s="311">
        <f t="shared" ref="M42" si="117">I42+E42</f>
        <v>170</v>
      </c>
      <c r="N42" s="305">
        <f t="shared" ref="N42" si="118">IF(L42=0,0,M42/L42*100)</f>
        <v>0</v>
      </c>
      <c r="O42" s="310"/>
      <c r="P42" s="304"/>
      <c r="Q42" s="310"/>
      <c r="R42" s="213"/>
      <c r="S42" s="310"/>
      <c r="T42" s="304"/>
      <c r="U42" s="310"/>
      <c r="V42" s="213"/>
      <c r="W42" s="310"/>
      <c r="X42" s="331"/>
      <c r="Y42" s="337">
        <f>848-Y41</f>
        <v>841</v>
      </c>
      <c r="Z42" s="213"/>
      <c r="AA42" s="309">
        <f t="shared" ref="AA42" si="119">S42+O42+W42</f>
        <v>0</v>
      </c>
      <c r="AB42" s="309">
        <f t="shared" ref="AB42" si="120">T42+P42+X42</f>
        <v>0</v>
      </c>
      <c r="AC42" s="309">
        <f t="shared" ref="AC42" si="121">U42+Q42+Y42</f>
        <v>841</v>
      </c>
      <c r="AD42" s="309">
        <f t="shared" ref="AD42" si="122">IF(AB42=0,0,AC42/AB42*100)</f>
        <v>0</v>
      </c>
      <c r="AE42" s="310"/>
      <c r="AF42" s="304"/>
      <c r="AG42" s="337">
        <f>80-AG41</f>
        <v>50</v>
      </c>
      <c r="AH42" s="213"/>
      <c r="AI42" s="310"/>
      <c r="AJ42" s="304"/>
      <c r="AK42" s="337">
        <f>71-AK41</f>
        <v>40</v>
      </c>
      <c r="AL42" s="213"/>
      <c r="AM42" s="310"/>
      <c r="AN42" s="304"/>
      <c r="AO42" s="337">
        <f>124-AO41</f>
        <v>89</v>
      </c>
      <c r="AP42" s="213"/>
      <c r="AQ42" s="309">
        <f t="shared" ref="AQ42" si="123">SUM(AM42,AI42,AE42,AA42,K42)</f>
        <v>0</v>
      </c>
      <c r="AR42" s="309">
        <f t="shared" ref="AR42" si="124">SUM(AN42,AJ42,AF42,AB42,L42)</f>
        <v>0</v>
      </c>
      <c r="AS42" s="309">
        <f t="shared" ref="AS42" si="125">SUM(AO42,AK42,AG42,AC42,M42)</f>
        <v>1190</v>
      </c>
      <c r="AT42" s="309">
        <f t="shared" ref="AT42" si="126">IF(AR42=0,0,AS42/AR42*100)</f>
        <v>0</v>
      </c>
      <c r="AU42" s="310"/>
      <c r="AV42" s="304"/>
      <c r="AW42" s="217">
        <f>394-AW41</f>
        <v>371</v>
      </c>
      <c r="AX42" s="213"/>
      <c r="AY42" s="309">
        <f t="shared" ref="AY42" si="127">SUM(AU42)</f>
        <v>0</v>
      </c>
      <c r="AZ42" s="309">
        <f t="shared" ref="AZ42" si="128">SUM(AV42)</f>
        <v>0</v>
      </c>
      <c r="BA42" s="309">
        <f t="shared" ref="BA42" si="129">SUM(AW42)</f>
        <v>371</v>
      </c>
      <c r="BB42" s="309">
        <f t="shared" ref="BB42" si="130">IF(AZ42=0,0,BA42/AZ42*100)</f>
        <v>0</v>
      </c>
    </row>
    <row r="43" spans="1:54" ht="47.25" x14ac:dyDescent="0.25">
      <c r="A43" s="173" t="s">
        <v>148</v>
      </c>
      <c r="B43" s="197" t="s">
        <v>3</v>
      </c>
      <c r="C43" s="214">
        <f t="shared" ref="C43:G43" si="131">C44*7+C45*8+C46*9+C47*9</f>
        <v>1036</v>
      </c>
      <c r="D43" s="214">
        <f t="shared" si="131"/>
        <v>1036</v>
      </c>
      <c r="E43" s="214">
        <f t="shared" ref="E43:I43" si="132">E44*7+E45*8+E46*9+E47*9</f>
        <v>1014</v>
      </c>
      <c r="F43" s="99">
        <f t="shared" si="25"/>
        <v>97.876447876447884</v>
      </c>
      <c r="G43" s="214">
        <f t="shared" si="131"/>
        <v>0</v>
      </c>
      <c r="H43" s="97">
        <f t="shared" si="81"/>
        <v>0</v>
      </c>
      <c r="I43" s="214">
        <f t="shared" si="132"/>
        <v>0</v>
      </c>
      <c r="J43" s="99">
        <f t="shared" si="26"/>
        <v>0</v>
      </c>
      <c r="K43" s="236">
        <f t="shared" si="27"/>
        <v>1036</v>
      </c>
      <c r="L43" s="236">
        <f t="shared" si="28"/>
        <v>1036</v>
      </c>
      <c r="M43" s="236">
        <f t="shared" si="29"/>
        <v>1014</v>
      </c>
      <c r="N43" s="235">
        <f t="shared" si="30"/>
        <v>97.876447876447884</v>
      </c>
      <c r="O43" s="214">
        <f t="shared" ref="O43" si="133">O44*7+O45*8+O46*9+O47*9</f>
        <v>0</v>
      </c>
      <c r="P43" s="115">
        <f t="shared" si="31"/>
        <v>0</v>
      </c>
      <c r="Q43" s="214">
        <f t="shared" ref="Q43" si="134">Q44*7+Q45*8+Q46*9+Q47*9</f>
        <v>0</v>
      </c>
      <c r="R43" s="99">
        <f t="shared" si="32"/>
        <v>0</v>
      </c>
      <c r="S43" s="214">
        <f t="shared" ref="S43" si="135">S44*7+S45*8+S46*9+S47*9</f>
        <v>0</v>
      </c>
      <c r="T43" s="115">
        <f t="shared" si="33"/>
        <v>0</v>
      </c>
      <c r="U43" s="214">
        <f t="shared" ref="U43" si="136">U44*7+U45*8+U46*9+U47*9</f>
        <v>0</v>
      </c>
      <c r="V43" s="99">
        <f t="shared" si="34"/>
        <v>0</v>
      </c>
      <c r="W43" s="214">
        <f t="shared" ref="W43:Y43" si="137">W44*7+W45*8+W46*9+W47*9</f>
        <v>418</v>
      </c>
      <c r="X43" s="214">
        <f t="shared" si="137"/>
        <v>418</v>
      </c>
      <c r="Y43" s="214">
        <f t="shared" si="137"/>
        <v>368</v>
      </c>
      <c r="Z43" s="99">
        <f t="shared" si="35"/>
        <v>88.038277511961724</v>
      </c>
      <c r="AA43" s="210">
        <f t="shared" si="36"/>
        <v>418</v>
      </c>
      <c r="AB43" s="210">
        <f t="shared" si="36"/>
        <v>418</v>
      </c>
      <c r="AC43" s="210">
        <f t="shared" si="36"/>
        <v>368</v>
      </c>
      <c r="AD43" s="210">
        <f t="shared" si="37"/>
        <v>88.038277511961724</v>
      </c>
      <c r="AE43" s="214">
        <f t="shared" ref="AE43:AF43" si="138">AE44*7+AE45*8+AE46*9+AE47*9</f>
        <v>68</v>
      </c>
      <c r="AF43" s="214">
        <f t="shared" si="138"/>
        <v>68</v>
      </c>
      <c r="AG43" s="214">
        <f t="shared" ref="AG43" si="139">AG44*7+AG45*8+AG46*9+AG47*9</f>
        <v>84</v>
      </c>
      <c r="AH43" s="99">
        <f t="shared" si="39"/>
        <v>123.52941176470588</v>
      </c>
      <c r="AI43" s="214">
        <f t="shared" ref="AI43" si="140">AI44*7+AI45*8+AI46*9+AI47*9</f>
        <v>0</v>
      </c>
      <c r="AJ43" s="97">
        <f t="shared" si="12"/>
        <v>0</v>
      </c>
      <c r="AK43" s="214">
        <f t="shared" ref="AK43" si="141">AK44*7+AK45*8+AK46*9+AK47*9</f>
        <v>0</v>
      </c>
      <c r="AL43" s="99">
        <f t="shared" si="40"/>
        <v>0</v>
      </c>
      <c r="AM43" s="214">
        <f t="shared" ref="AM43:AN43" si="142">AM44*7+AM45*8+AM46*9+AM47*9</f>
        <v>288</v>
      </c>
      <c r="AN43" s="214">
        <f t="shared" si="142"/>
        <v>288</v>
      </c>
      <c r="AO43" s="214">
        <f t="shared" ref="AO43" si="143">AO44*7+AO45*8+AO46*9+AO47*9</f>
        <v>270</v>
      </c>
      <c r="AP43" s="99">
        <f t="shared" si="42"/>
        <v>93.75</v>
      </c>
      <c r="AQ43" s="210">
        <f t="shared" si="16"/>
        <v>1810</v>
      </c>
      <c r="AR43" s="210">
        <f t="shared" si="17"/>
        <v>1810</v>
      </c>
      <c r="AS43" s="210">
        <f t="shared" si="18"/>
        <v>1736</v>
      </c>
      <c r="AT43" s="210">
        <f t="shared" si="43"/>
        <v>95.911602209944746</v>
      </c>
      <c r="AU43" s="214">
        <f t="shared" ref="AU43:AV43" si="144">AU44*7+AU45*8+AU46*9+AU47*9</f>
        <v>279</v>
      </c>
      <c r="AV43" s="214">
        <f t="shared" si="144"/>
        <v>279</v>
      </c>
      <c r="AW43" s="214">
        <f t="shared" ref="AW43" si="145">AW44*7+AW45*8+AW46*9+AW47*9</f>
        <v>99</v>
      </c>
      <c r="AX43" s="99">
        <f t="shared" si="45"/>
        <v>35.483870967741936</v>
      </c>
      <c r="AY43" s="210">
        <f t="shared" si="21"/>
        <v>279</v>
      </c>
      <c r="AZ43" s="210">
        <f t="shared" si="22"/>
        <v>279</v>
      </c>
      <c r="BA43" s="210">
        <f t="shared" si="23"/>
        <v>99</v>
      </c>
      <c r="BB43" s="210">
        <f t="shared" si="46"/>
        <v>35.483870967741936</v>
      </c>
    </row>
    <row r="44" spans="1:54" ht="15.75" x14ac:dyDescent="0.25">
      <c r="A44" s="169" t="s">
        <v>149</v>
      </c>
      <c r="B44" s="201" t="s">
        <v>339</v>
      </c>
      <c r="C44" s="214">
        <v>1</v>
      </c>
      <c r="D44" s="97">
        <v>1</v>
      </c>
      <c r="E44" s="214">
        <v>12</v>
      </c>
      <c r="F44" s="99">
        <f t="shared" si="25"/>
        <v>1200</v>
      </c>
      <c r="G44" s="214"/>
      <c r="H44" s="97">
        <f t="shared" si="81"/>
        <v>0</v>
      </c>
      <c r="I44" s="214"/>
      <c r="J44" s="99">
        <f t="shared" si="26"/>
        <v>0</v>
      </c>
      <c r="K44" s="236">
        <f t="shared" si="27"/>
        <v>1</v>
      </c>
      <c r="L44" s="236">
        <f t="shared" si="28"/>
        <v>1</v>
      </c>
      <c r="M44" s="236">
        <f t="shared" si="29"/>
        <v>12</v>
      </c>
      <c r="N44" s="235">
        <f t="shared" si="30"/>
        <v>1200</v>
      </c>
      <c r="O44" s="214"/>
      <c r="P44" s="115">
        <f t="shared" si="31"/>
        <v>0</v>
      </c>
      <c r="Q44" s="214"/>
      <c r="R44" s="99">
        <f t="shared" si="32"/>
        <v>0</v>
      </c>
      <c r="S44" s="214"/>
      <c r="T44" s="115">
        <f t="shared" si="33"/>
        <v>0</v>
      </c>
      <c r="U44" s="214"/>
      <c r="V44" s="99">
        <f t="shared" si="34"/>
        <v>0</v>
      </c>
      <c r="W44" s="214">
        <v>10</v>
      </c>
      <c r="X44" s="115">
        <v>10</v>
      </c>
      <c r="Y44" s="214">
        <v>4</v>
      </c>
      <c r="Z44" s="99">
        <f t="shared" si="35"/>
        <v>40</v>
      </c>
      <c r="AA44" s="210">
        <f t="shared" si="36"/>
        <v>10</v>
      </c>
      <c r="AB44" s="210">
        <f t="shared" si="36"/>
        <v>10</v>
      </c>
      <c r="AC44" s="210">
        <f t="shared" si="36"/>
        <v>4</v>
      </c>
      <c r="AD44" s="210">
        <f t="shared" si="37"/>
        <v>40</v>
      </c>
      <c r="AE44" s="215">
        <v>0</v>
      </c>
      <c r="AF44" s="97"/>
      <c r="AG44" s="214">
        <v>1</v>
      </c>
      <c r="AH44" s="99">
        <f t="shared" si="39"/>
        <v>0</v>
      </c>
      <c r="AI44" s="214"/>
      <c r="AJ44" s="97">
        <f t="shared" si="12"/>
        <v>0</v>
      </c>
      <c r="AK44" s="214"/>
      <c r="AL44" s="99">
        <f t="shared" si="40"/>
        <v>0</v>
      </c>
      <c r="AM44" s="214"/>
      <c r="AN44" s="97"/>
      <c r="AO44" s="214">
        <v>0</v>
      </c>
      <c r="AP44" s="99">
        <f t="shared" si="42"/>
        <v>0</v>
      </c>
      <c r="AQ44" s="210">
        <f t="shared" si="16"/>
        <v>11</v>
      </c>
      <c r="AR44" s="210">
        <f t="shared" si="17"/>
        <v>11</v>
      </c>
      <c r="AS44" s="210">
        <f t="shared" si="18"/>
        <v>17</v>
      </c>
      <c r="AT44" s="210">
        <f t="shared" si="43"/>
        <v>154.54545454545453</v>
      </c>
      <c r="AU44" s="214"/>
      <c r="AV44" s="97"/>
      <c r="AW44" s="214">
        <v>0</v>
      </c>
      <c r="AX44" s="99">
        <f t="shared" si="45"/>
        <v>0</v>
      </c>
      <c r="AY44" s="210">
        <f t="shared" si="21"/>
        <v>0</v>
      </c>
      <c r="AZ44" s="210">
        <f t="shared" si="22"/>
        <v>0</v>
      </c>
      <c r="BA44" s="210">
        <f t="shared" si="23"/>
        <v>0</v>
      </c>
      <c r="BB44" s="210">
        <f t="shared" si="46"/>
        <v>0</v>
      </c>
    </row>
    <row r="45" spans="1:54" ht="15.75" x14ac:dyDescent="0.25">
      <c r="A45" s="169" t="s">
        <v>150</v>
      </c>
      <c r="B45" s="201" t="s">
        <v>339</v>
      </c>
      <c r="C45" s="214">
        <v>15</v>
      </c>
      <c r="D45" s="97">
        <v>15</v>
      </c>
      <c r="E45" s="214">
        <v>6</v>
      </c>
      <c r="F45" s="99">
        <f t="shared" si="25"/>
        <v>40</v>
      </c>
      <c r="G45" s="214"/>
      <c r="H45" s="97">
        <f t="shared" si="81"/>
        <v>0</v>
      </c>
      <c r="I45" s="214"/>
      <c r="J45" s="99">
        <f t="shared" si="26"/>
        <v>0</v>
      </c>
      <c r="K45" s="236">
        <f t="shared" si="27"/>
        <v>15</v>
      </c>
      <c r="L45" s="236">
        <f t="shared" si="28"/>
        <v>15</v>
      </c>
      <c r="M45" s="236">
        <f t="shared" si="29"/>
        <v>6</v>
      </c>
      <c r="N45" s="235">
        <f t="shared" si="30"/>
        <v>40</v>
      </c>
      <c r="O45" s="214"/>
      <c r="P45" s="115">
        <f t="shared" si="31"/>
        <v>0</v>
      </c>
      <c r="Q45" s="214"/>
      <c r="R45" s="99">
        <f t="shared" si="32"/>
        <v>0</v>
      </c>
      <c r="S45" s="214"/>
      <c r="T45" s="115">
        <f t="shared" si="33"/>
        <v>0</v>
      </c>
      <c r="U45" s="214"/>
      <c r="V45" s="99">
        <f t="shared" si="34"/>
        <v>0</v>
      </c>
      <c r="W45" s="214">
        <v>3</v>
      </c>
      <c r="X45" s="115">
        <v>3</v>
      </c>
      <c r="Y45" s="214">
        <v>2</v>
      </c>
      <c r="Z45" s="99">
        <f t="shared" si="35"/>
        <v>66.666666666666657</v>
      </c>
      <c r="AA45" s="210">
        <f t="shared" si="36"/>
        <v>3</v>
      </c>
      <c r="AB45" s="210">
        <f t="shared" si="36"/>
        <v>3</v>
      </c>
      <c r="AC45" s="210">
        <f t="shared" si="36"/>
        <v>2</v>
      </c>
      <c r="AD45" s="210">
        <f t="shared" si="37"/>
        <v>66.666666666666657</v>
      </c>
      <c r="AE45" s="215">
        <v>4</v>
      </c>
      <c r="AF45" s="97">
        <v>4</v>
      </c>
      <c r="AG45" s="214">
        <v>4</v>
      </c>
      <c r="AH45" s="99">
        <f t="shared" si="39"/>
        <v>100</v>
      </c>
      <c r="AI45" s="214"/>
      <c r="AJ45" s="97">
        <f t="shared" si="12"/>
        <v>0</v>
      </c>
      <c r="AK45" s="214"/>
      <c r="AL45" s="99">
        <f t="shared" si="40"/>
        <v>0</v>
      </c>
      <c r="AM45" s="214"/>
      <c r="AN45" s="97"/>
      <c r="AO45" s="214">
        <v>0</v>
      </c>
      <c r="AP45" s="99">
        <f t="shared" si="42"/>
        <v>0</v>
      </c>
      <c r="AQ45" s="210">
        <f t="shared" si="16"/>
        <v>22</v>
      </c>
      <c r="AR45" s="210">
        <f t="shared" si="17"/>
        <v>22</v>
      </c>
      <c r="AS45" s="210">
        <f t="shared" si="18"/>
        <v>12</v>
      </c>
      <c r="AT45" s="210">
        <f t="shared" si="43"/>
        <v>54.54545454545454</v>
      </c>
      <c r="AU45" s="214"/>
      <c r="AV45" s="97"/>
      <c r="AW45" s="214">
        <v>0</v>
      </c>
      <c r="AX45" s="99">
        <f t="shared" si="45"/>
        <v>0</v>
      </c>
      <c r="AY45" s="210">
        <f t="shared" si="21"/>
        <v>0</v>
      </c>
      <c r="AZ45" s="210">
        <f t="shared" si="22"/>
        <v>0</v>
      </c>
      <c r="BA45" s="210">
        <f t="shared" si="23"/>
        <v>0</v>
      </c>
      <c r="BB45" s="210">
        <f t="shared" si="46"/>
        <v>0</v>
      </c>
    </row>
    <row r="46" spans="1:54" ht="15.75" x14ac:dyDescent="0.25">
      <c r="A46" s="169" t="s">
        <v>151</v>
      </c>
      <c r="B46" s="201" t="s">
        <v>339</v>
      </c>
      <c r="C46" s="214">
        <v>63</v>
      </c>
      <c r="D46" s="97">
        <v>63</v>
      </c>
      <c r="E46" s="214">
        <v>60</v>
      </c>
      <c r="F46" s="99">
        <f t="shared" si="25"/>
        <v>95.238095238095227</v>
      </c>
      <c r="G46" s="214"/>
      <c r="H46" s="97">
        <f t="shared" ref="D46:H61" si="146">ROUND(G46/12*$A$7,0)</f>
        <v>0</v>
      </c>
      <c r="I46" s="214"/>
      <c r="J46" s="99">
        <f t="shared" si="26"/>
        <v>0</v>
      </c>
      <c r="K46" s="236">
        <f t="shared" si="27"/>
        <v>63</v>
      </c>
      <c r="L46" s="236">
        <f t="shared" si="28"/>
        <v>63</v>
      </c>
      <c r="M46" s="236">
        <f t="shared" si="29"/>
        <v>60</v>
      </c>
      <c r="N46" s="235">
        <f t="shared" si="30"/>
        <v>95.238095238095227</v>
      </c>
      <c r="O46" s="214"/>
      <c r="P46" s="115">
        <f t="shared" si="31"/>
        <v>0</v>
      </c>
      <c r="Q46" s="214"/>
      <c r="R46" s="99">
        <f t="shared" si="32"/>
        <v>0</v>
      </c>
      <c r="S46" s="214"/>
      <c r="T46" s="115">
        <f t="shared" si="33"/>
        <v>0</v>
      </c>
      <c r="U46" s="214"/>
      <c r="V46" s="99">
        <f t="shared" si="34"/>
        <v>0</v>
      </c>
      <c r="W46" s="214">
        <v>21</v>
      </c>
      <c r="X46" s="115">
        <v>21</v>
      </c>
      <c r="Y46" s="214">
        <v>28</v>
      </c>
      <c r="Z46" s="99">
        <f t="shared" si="35"/>
        <v>133.33333333333331</v>
      </c>
      <c r="AA46" s="210">
        <f t="shared" si="36"/>
        <v>21</v>
      </c>
      <c r="AB46" s="210">
        <f t="shared" si="36"/>
        <v>21</v>
      </c>
      <c r="AC46" s="210">
        <f t="shared" si="36"/>
        <v>28</v>
      </c>
      <c r="AD46" s="210">
        <f t="shared" si="37"/>
        <v>133.33333333333331</v>
      </c>
      <c r="AE46" s="215">
        <v>3</v>
      </c>
      <c r="AF46" s="97">
        <v>3</v>
      </c>
      <c r="AG46" s="214">
        <v>3</v>
      </c>
      <c r="AH46" s="99">
        <f t="shared" si="39"/>
        <v>100</v>
      </c>
      <c r="AI46" s="214"/>
      <c r="AJ46" s="97">
        <f t="shared" si="12"/>
        <v>0</v>
      </c>
      <c r="AK46" s="214"/>
      <c r="AL46" s="99">
        <f t="shared" si="40"/>
        <v>0</v>
      </c>
      <c r="AM46" s="214">
        <v>22</v>
      </c>
      <c r="AN46" s="97">
        <v>22</v>
      </c>
      <c r="AO46" s="214">
        <v>22</v>
      </c>
      <c r="AP46" s="99">
        <f t="shared" si="42"/>
        <v>100</v>
      </c>
      <c r="AQ46" s="210">
        <f t="shared" si="16"/>
        <v>109</v>
      </c>
      <c r="AR46" s="210">
        <f t="shared" si="17"/>
        <v>109</v>
      </c>
      <c r="AS46" s="210">
        <f t="shared" si="18"/>
        <v>113</v>
      </c>
      <c r="AT46" s="210">
        <f t="shared" si="43"/>
        <v>103.6697247706422</v>
      </c>
      <c r="AU46" s="214">
        <v>20</v>
      </c>
      <c r="AV46" s="97">
        <v>20</v>
      </c>
      <c r="AW46" s="214">
        <v>7</v>
      </c>
      <c r="AX46" s="99">
        <f t="shared" si="45"/>
        <v>35</v>
      </c>
      <c r="AY46" s="210">
        <f t="shared" si="21"/>
        <v>20</v>
      </c>
      <c r="AZ46" s="210">
        <f t="shared" si="22"/>
        <v>20</v>
      </c>
      <c r="BA46" s="210">
        <f t="shared" si="23"/>
        <v>7</v>
      </c>
      <c r="BB46" s="210">
        <f t="shared" si="46"/>
        <v>35</v>
      </c>
    </row>
    <row r="47" spans="1:54" ht="15.75" x14ac:dyDescent="0.25">
      <c r="A47" s="169" t="s">
        <v>152</v>
      </c>
      <c r="B47" s="201" t="s">
        <v>339</v>
      </c>
      <c r="C47" s="214">
        <v>38</v>
      </c>
      <c r="D47" s="97">
        <v>38</v>
      </c>
      <c r="E47" s="214">
        <v>38</v>
      </c>
      <c r="F47" s="99">
        <f t="shared" si="25"/>
        <v>100</v>
      </c>
      <c r="G47" s="214"/>
      <c r="H47" s="97">
        <f t="shared" si="146"/>
        <v>0</v>
      </c>
      <c r="I47" s="214"/>
      <c r="J47" s="99">
        <f t="shared" si="26"/>
        <v>0</v>
      </c>
      <c r="K47" s="236">
        <f t="shared" si="27"/>
        <v>38</v>
      </c>
      <c r="L47" s="236">
        <f t="shared" si="28"/>
        <v>38</v>
      </c>
      <c r="M47" s="236">
        <f t="shared" si="29"/>
        <v>38</v>
      </c>
      <c r="N47" s="235">
        <f t="shared" si="30"/>
        <v>100</v>
      </c>
      <c r="O47" s="214"/>
      <c r="P47" s="115">
        <f t="shared" si="31"/>
        <v>0</v>
      </c>
      <c r="Q47" s="214"/>
      <c r="R47" s="99">
        <f t="shared" si="32"/>
        <v>0</v>
      </c>
      <c r="S47" s="214"/>
      <c r="T47" s="115">
        <f t="shared" si="33"/>
        <v>0</v>
      </c>
      <c r="U47" s="214"/>
      <c r="V47" s="99">
        <f t="shared" si="34"/>
        <v>0</v>
      </c>
      <c r="W47" s="214">
        <v>15</v>
      </c>
      <c r="X47" s="115">
        <v>15</v>
      </c>
      <c r="Y47" s="214">
        <v>8</v>
      </c>
      <c r="Z47" s="99">
        <f t="shared" si="35"/>
        <v>53.333333333333336</v>
      </c>
      <c r="AA47" s="210">
        <f t="shared" si="36"/>
        <v>15</v>
      </c>
      <c r="AB47" s="210">
        <f t="shared" si="36"/>
        <v>15</v>
      </c>
      <c r="AC47" s="210">
        <f t="shared" si="36"/>
        <v>8</v>
      </c>
      <c r="AD47" s="210">
        <f t="shared" si="37"/>
        <v>53.333333333333336</v>
      </c>
      <c r="AE47" s="215">
        <v>1</v>
      </c>
      <c r="AF47" s="97">
        <v>1</v>
      </c>
      <c r="AG47" s="214">
        <v>2</v>
      </c>
      <c r="AH47" s="99">
        <f t="shared" si="39"/>
        <v>200</v>
      </c>
      <c r="AI47" s="214"/>
      <c r="AJ47" s="97">
        <f t="shared" si="12"/>
        <v>0</v>
      </c>
      <c r="AK47" s="214"/>
      <c r="AL47" s="99">
        <f t="shared" si="40"/>
        <v>0</v>
      </c>
      <c r="AM47" s="214">
        <v>10</v>
      </c>
      <c r="AN47" s="97">
        <v>10</v>
      </c>
      <c r="AO47" s="214">
        <v>8</v>
      </c>
      <c r="AP47" s="99">
        <f t="shared" si="42"/>
        <v>80</v>
      </c>
      <c r="AQ47" s="210">
        <f t="shared" si="16"/>
        <v>64</v>
      </c>
      <c r="AR47" s="210">
        <f t="shared" si="17"/>
        <v>64</v>
      </c>
      <c r="AS47" s="210">
        <f t="shared" si="18"/>
        <v>56</v>
      </c>
      <c r="AT47" s="210">
        <f t="shared" si="43"/>
        <v>87.5</v>
      </c>
      <c r="AU47" s="214">
        <v>11</v>
      </c>
      <c r="AV47" s="97">
        <v>11</v>
      </c>
      <c r="AW47" s="214">
        <v>4</v>
      </c>
      <c r="AX47" s="99">
        <f t="shared" si="45"/>
        <v>36.363636363636367</v>
      </c>
      <c r="AY47" s="210">
        <f t="shared" si="21"/>
        <v>11</v>
      </c>
      <c r="AZ47" s="210">
        <f t="shared" si="22"/>
        <v>11</v>
      </c>
      <c r="BA47" s="210">
        <f t="shared" si="23"/>
        <v>4</v>
      </c>
      <c r="BB47" s="210">
        <f t="shared" si="46"/>
        <v>36.363636363636367</v>
      </c>
    </row>
    <row r="48" spans="1:54" ht="31.5" x14ac:dyDescent="0.25">
      <c r="A48" s="173" t="s">
        <v>153</v>
      </c>
      <c r="B48" s="197" t="s">
        <v>3</v>
      </c>
      <c r="C48" s="214">
        <f t="shared" ref="C48:G48" si="147">C49*7+C50*8+C51*9+C52*9</f>
        <v>900</v>
      </c>
      <c r="D48" s="214">
        <f t="shared" si="147"/>
        <v>900</v>
      </c>
      <c r="E48" s="214">
        <f t="shared" si="147"/>
        <v>1053</v>
      </c>
      <c r="F48" s="99">
        <f t="shared" si="25"/>
        <v>117</v>
      </c>
      <c r="G48" s="214">
        <f t="shared" si="147"/>
        <v>0</v>
      </c>
      <c r="H48" s="97">
        <f t="shared" si="146"/>
        <v>0</v>
      </c>
      <c r="I48" s="214">
        <f t="shared" ref="I48" si="148">I49*7+I50*8+I51*9+I52*9</f>
        <v>0</v>
      </c>
      <c r="J48" s="99">
        <f t="shared" si="26"/>
        <v>0</v>
      </c>
      <c r="K48" s="236">
        <f t="shared" si="27"/>
        <v>900</v>
      </c>
      <c r="L48" s="236">
        <f t="shared" si="28"/>
        <v>900</v>
      </c>
      <c r="M48" s="236">
        <f t="shared" si="29"/>
        <v>1053</v>
      </c>
      <c r="N48" s="235">
        <f t="shared" si="30"/>
        <v>117</v>
      </c>
      <c r="O48" s="214">
        <f t="shared" ref="O48" si="149">O49*7+O50*8+O51*9+O52*9</f>
        <v>0</v>
      </c>
      <c r="P48" s="115">
        <f t="shared" si="31"/>
        <v>0</v>
      </c>
      <c r="Q48" s="214">
        <f t="shared" ref="Q48" si="150">Q49*7+Q50*8+Q51*9+Q52*9</f>
        <v>0</v>
      </c>
      <c r="R48" s="99">
        <f t="shared" si="32"/>
        <v>0</v>
      </c>
      <c r="S48" s="214">
        <f t="shared" ref="S48" si="151">S49*7+S50*8+S51*9+S52*9</f>
        <v>0</v>
      </c>
      <c r="T48" s="115">
        <f t="shared" si="33"/>
        <v>0</v>
      </c>
      <c r="U48" s="214">
        <f t="shared" ref="U48" si="152">U49*7+U50*8+U51*9+U52*9</f>
        <v>0</v>
      </c>
      <c r="V48" s="99">
        <f t="shared" si="34"/>
        <v>0</v>
      </c>
      <c r="W48" s="214">
        <f t="shared" ref="W48:Y48" si="153">W49*7+W50*8+W51*9+W52*9</f>
        <v>1662</v>
      </c>
      <c r="X48" s="214">
        <f t="shared" si="153"/>
        <v>1662</v>
      </c>
      <c r="Y48" s="214">
        <f t="shared" si="153"/>
        <v>1677</v>
      </c>
      <c r="Z48" s="99">
        <f t="shared" si="35"/>
        <v>100.90252707581226</v>
      </c>
      <c r="AA48" s="210">
        <f t="shared" si="36"/>
        <v>1662</v>
      </c>
      <c r="AB48" s="210">
        <f t="shared" si="36"/>
        <v>1662</v>
      </c>
      <c r="AC48" s="210">
        <f t="shared" si="36"/>
        <v>1677</v>
      </c>
      <c r="AD48" s="210">
        <f t="shared" si="37"/>
        <v>100.90252707581226</v>
      </c>
      <c r="AE48" s="214">
        <f t="shared" ref="AE48:AF48" si="154">AE49*7+AE50*8+AE51*9+AE52*9</f>
        <v>198</v>
      </c>
      <c r="AF48" s="214">
        <f t="shared" si="154"/>
        <v>198</v>
      </c>
      <c r="AG48" s="214">
        <f t="shared" ref="AG48" si="155">AG49*7+AG50*8+AG51*9+AG52*9</f>
        <v>185</v>
      </c>
      <c r="AH48" s="99">
        <f t="shared" si="39"/>
        <v>93.434343434343432</v>
      </c>
      <c r="AI48" s="214">
        <f t="shared" ref="AI48" si="156">AI49*7+AI50*8+AI51*9+AI52*9</f>
        <v>0</v>
      </c>
      <c r="AJ48" s="97">
        <f t="shared" si="12"/>
        <v>0</v>
      </c>
      <c r="AK48" s="214">
        <f t="shared" ref="AK48" si="157">AK49*7+AK50*8+AK51*9+AK52*9</f>
        <v>0</v>
      </c>
      <c r="AL48" s="99">
        <f t="shared" si="40"/>
        <v>0</v>
      </c>
      <c r="AM48" s="214">
        <f t="shared" ref="AM48:AN48" si="158">AM49*7+AM50*8+AM51*9+AM52*9</f>
        <v>266</v>
      </c>
      <c r="AN48" s="214">
        <f t="shared" si="158"/>
        <v>266</v>
      </c>
      <c r="AO48" s="214">
        <f t="shared" ref="AO48" si="159">AO49*7+AO50*8+AO51*9+AO52*9</f>
        <v>277</v>
      </c>
      <c r="AP48" s="99">
        <f t="shared" si="42"/>
        <v>104.13533834586465</v>
      </c>
      <c r="AQ48" s="210">
        <f t="shared" si="16"/>
        <v>3026</v>
      </c>
      <c r="AR48" s="210">
        <f t="shared" si="17"/>
        <v>3026</v>
      </c>
      <c r="AS48" s="210">
        <f t="shared" si="18"/>
        <v>3192</v>
      </c>
      <c r="AT48" s="210">
        <f t="shared" si="43"/>
        <v>105.48578982154659</v>
      </c>
      <c r="AU48" s="214">
        <f t="shared" ref="AU48:AV48" si="160">AU49*7+AU50*8+AU51*9+AU52*9</f>
        <v>311</v>
      </c>
      <c r="AV48" s="214">
        <f t="shared" si="160"/>
        <v>311</v>
      </c>
      <c r="AW48" s="214">
        <f t="shared" ref="AW48" si="161">AW49*7+AW50*8+AW51*9+AW52*9</f>
        <v>0</v>
      </c>
      <c r="AX48" s="99">
        <f t="shared" si="45"/>
        <v>0</v>
      </c>
      <c r="AY48" s="210">
        <f t="shared" si="21"/>
        <v>311</v>
      </c>
      <c r="AZ48" s="210">
        <f t="shared" si="22"/>
        <v>311</v>
      </c>
      <c r="BA48" s="210">
        <f t="shared" si="23"/>
        <v>0</v>
      </c>
      <c r="BB48" s="210">
        <f t="shared" si="46"/>
        <v>0</v>
      </c>
    </row>
    <row r="49" spans="1:54" ht="15.75" x14ac:dyDescent="0.2">
      <c r="A49" s="169" t="s">
        <v>149</v>
      </c>
      <c r="B49" s="201" t="s">
        <v>339</v>
      </c>
      <c r="C49" s="214"/>
      <c r="D49" s="97">
        <f t="shared" si="146"/>
        <v>0</v>
      </c>
      <c r="E49" s="214">
        <v>11</v>
      </c>
      <c r="F49" s="99">
        <f t="shared" si="25"/>
        <v>0</v>
      </c>
      <c r="G49" s="214"/>
      <c r="H49" s="97">
        <f t="shared" si="146"/>
        <v>0</v>
      </c>
      <c r="I49" s="214"/>
      <c r="J49" s="99">
        <f t="shared" si="26"/>
        <v>0</v>
      </c>
      <c r="K49" s="236">
        <f t="shared" si="27"/>
        <v>0</v>
      </c>
      <c r="L49" s="236">
        <f t="shared" si="28"/>
        <v>0</v>
      </c>
      <c r="M49" s="236">
        <f t="shared" si="29"/>
        <v>11</v>
      </c>
      <c r="N49" s="235">
        <f t="shared" si="30"/>
        <v>0</v>
      </c>
      <c r="O49" s="214"/>
      <c r="P49" s="115">
        <f t="shared" si="31"/>
        <v>0</v>
      </c>
      <c r="Q49" s="214"/>
      <c r="R49" s="99">
        <f t="shared" si="32"/>
        <v>0</v>
      </c>
      <c r="S49" s="214"/>
      <c r="T49" s="115">
        <f t="shared" si="33"/>
        <v>0</v>
      </c>
      <c r="U49" s="214"/>
      <c r="V49" s="99">
        <f t="shared" si="34"/>
        <v>0</v>
      </c>
      <c r="W49" s="214">
        <v>11</v>
      </c>
      <c r="X49" s="115">
        <v>11</v>
      </c>
      <c r="Y49" s="214">
        <v>5</v>
      </c>
      <c r="Z49" s="99">
        <f t="shared" si="35"/>
        <v>45.454545454545453</v>
      </c>
      <c r="AA49" s="210">
        <f t="shared" si="36"/>
        <v>11</v>
      </c>
      <c r="AB49" s="210">
        <f t="shared" si="36"/>
        <v>11</v>
      </c>
      <c r="AC49" s="210">
        <f t="shared" si="36"/>
        <v>5</v>
      </c>
      <c r="AD49" s="210">
        <f t="shared" si="37"/>
        <v>45.454545454545453</v>
      </c>
      <c r="AE49" s="214">
        <v>2</v>
      </c>
      <c r="AF49" s="97">
        <v>2</v>
      </c>
      <c r="AG49" s="214">
        <v>0</v>
      </c>
      <c r="AH49" s="99">
        <f t="shared" si="39"/>
        <v>0</v>
      </c>
      <c r="AI49" s="214"/>
      <c r="AJ49" s="97">
        <f t="shared" si="12"/>
        <v>0</v>
      </c>
      <c r="AK49" s="214"/>
      <c r="AL49" s="99">
        <f t="shared" si="40"/>
        <v>0</v>
      </c>
      <c r="AM49" s="214">
        <v>1</v>
      </c>
      <c r="AN49" s="97">
        <v>1</v>
      </c>
      <c r="AO49" s="214">
        <v>0</v>
      </c>
      <c r="AP49" s="99">
        <f t="shared" si="42"/>
        <v>0</v>
      </c>
      <c r="AQ49" s="210">
        <f t="shared" si="16"/>
        <v>14</v>
      </c>
      <c r="AR49" s="210">
        <f t="shared" si="17"/>
        <v>14</v>
      </c>
      <c r="AS49" s="210">
        <f t="shared" si="18"/>
        <v>16</v>
      </c>
      <c r="AT49" s="210">
        <f t="shared" si="43"/>
        <v>114.28571428571428</v>
      </c>
      <c r="AU49" s="214">
        <v>3</v>
      </c>
      <c r="AV49" s="97">
        <v>3</v>
      </c>
      <c r="AW49" s="214"/>
      <c r="AX49" s="99">
        <f t="shared" si="45"/>
        <v>0</v>
      </c>
      <c r="AY49" s="210">
        <f t="shared" si="21"/>
        <v>3</v>
      </c>
      <c r="AZ49" s="210">
        <f t="shared" si="22"/>
        <v>3</v>
      </c>
      <c r="BA49" s="210">
        <f t="shared" si="23"/>
        <v>0</v>
      </c>
      <c r="BB49" s="210">
        <f t="shared" si="46"/>
        <v>0</v>
      </c>
    </row>
    <row r="50" spans="1:54" ht="15.75" x14ac:dyDescent="0.2">
      <c r="A50" s="169" t="s">
        <v>150</v>
      </c>
      <c r="B50" s="201" t="s">
        <v>339</v>
      </c>
      <c r="C50" s="214">
        <v>9</v>
      </c>
      <c r="D50" s="97">
        <v>9</v>
      </c>
      <c r="E50" s="214">
        <v>5</v>
      </c>
      <c r="F50" s="99">
        <f t="shared" si="25"/>
        <v>55.555555555555557</v>
      </c>
      <c r="G50" s="214"/>
      <c r="H50" s="97">
        <f t="shared" si="146"/>
        <v>0</v>
      </c>
      <c r="I50" s="214"/>
      <c r="J50" s="99">
        <f t="shared" si="26"/>
        <v>0</v>
      </c>
      <c r="K50" s="236">
        <f t="shared" si="27"/>
        <v>9</v>
      </c>
      <c r="L50" s="236">
        <f t="shared" si="28"/>
        <v>9</v>
      </c>
      <c r="M50" s="236">
        <f t="shared" si="29"/>
        <v>5</v>
      </c>
      <c r="N50" s="235">
        <f t="shared" si="30"/>
        <v>55.555555555555557</v>
      </c>
      <c r="O50" s="214"/>
      <c r="P50" s="115">
        <f t="shared" si="31"/>
        <v>0</v>
      </c>
      <c r="Q50" s="214"/>
      <c r="R50" s="99">
        <f t="shared" si="32"/>
        <v>0</v>
      </c>
      <c r="S50" s="214"/>
      <c r="T50" s="115">
        <f t="shared" si="33"/>
        <v>0</v>
      </c>
      <c r="U50" s="214"/>
      <c r="V50" s="99">
        <f t="shared" si="34"/>
        <v>0</v>
      </c>
      <c r="W50" s="214">
        <v>8</v>
      </c>
      <c r="X50" s="115">
        <v>8</v>
      </c>
      <c r="Y50" s="214">
        <v>14</v>
      </c>
      <c r="Z50" s="99">
        <f t="shared" si="35"/>
        <v>175</v>
      </c>
      <c r="AA50" s="210">
        <f t="shared" si="36"/>
        <v>8</v>
      </c>
      <c r="AB50" s="210">
        <f t="shared" si="36"/>
        <v>8</v>
      </c>
      <c r="AC50" s="210">
        <f t="shared" si="36"/>
        <v>14</v>
      </c>
      <c r="AD50" s="210">
        <f t="shared" si="37"/>
        <v>175</v>
      </c>
      <c r="AE50" s="214">
        <v>5</v>
      </c>
      <c r="AF50" s="97">
        <v>5</v>
      </c>
      <c r="AG50" s="214">
        <v>4</v>
      </c>
      <c r="AH50" s="99">
        <f t="shared" si="39"/>
        <v>80</v>
      </c>
      <c r="AI50" s="214"/>
      <c r="AJ50" s="97">
        <f t="shared" si="12"/>
        <v>0</v>
      </c>
      <c r="AK50" s="214"/>
      <c r="AL50" s="99">
        <f t="shared" si="40"/>
        <v>0</v>
      </c>
      <c r="AM50" s="214">
        <v>2</v>
      </c>
      <c r="AN50" s="97">
        <v>2</v>
      </c>
      <c r="AO50" s="214">
        <v>2</v>
      </c>
      <c r="AP50" s="99">
        <f t="shared" si="42"/>
        <v>100</v>
      </c>
      <c r="AQ50" s="210">
        <f t="shared" si="16"/>
        <v>24</v>
      </c>
      <c r="AR50" s="210">
        <f t="shared" si="17"/>
        <v>24</v>
      </c>
      <c r="AS50" s="210">
        <f t="shared" si="18"/>
        <v>25</v>
      </c>
      <c r="AT50" s="210">
        <f t="shared" si="43"/>
        <v>104.16666666666667</v>
      </c>
      <c r="AU50" s="214">
        <v>7</v>
      </c>
      <c r="AV50" s="97">
        <v>7</v>
      </c>
      <c r="AW50" s="214"/>
      <c r="AX50" s="99">
        <f t="shared" si="45"/>
        <v>0</v>
      </c>
      <c r="AY50" s="210">
        <f t="shared" si="21"/>
        <v>7</v>
      </c>
      <c r="AZ50" s="210">
        <f t="shared" si="22"/>
        <v>7</v>
      </c>
      <c r="BA50" s="210">
        <f t="shared" si="23"/>
        <v>0</v>
      </c>
      <c r="BB50" s="210">
        <f t="shared" si="46"/>
        <v>0</v>
      </c>
    </row>
    <row r="51" spans="1:54" ht="15.75" x14ac:dyDescent="0.2">
      <c r="A51" s="169" t="s">
        <v>151</v>
      </c>
      <c r="B51" s="201" t="s">
        <v>339</v>
      </c>
      <c r="C51" s="214">
        <v>64</v>
      </c>
      <c r="D51" s="97">
        <v>64</v>
      </c>
      <c r="E51" s="214">
        <v>65</v>
      </c>
      <c r="F51" s="99">
        <f t="shared" si="25"/>
        <v>101.5625</v>
      </c>
      <c r="G51" s="214"/>
      <c r="H51" s="97">
        <f t="shared" si="146"/>
        <v>0</v>
      </c>
      <c r="I51" s="214"/>
      <c r="J51" s="99">
        <f t="shared" si="26"/>
        <v>0</v>
      </c>
      <c r="K51" s="236">
        <f t="shared" si="27"/>
        <v>64</v>
      </c>
      <c r="L51" s="236">
        <f t="shared" si="28"/>
        <v>64</v>
      </c>
      <c r="M51" s="236">
        <f t="shared" si="29"/>
        <v>65</v>
      </c>
      <c r="N51" s="235">
        <f t="shared" si="30"/>
        <v>101.5625</v>
      </c>
      <c r="O51" s="214"/>
      <c r="P51" s="115">
        <f t="shared" si="31"/>
        <v>0</v>
      </c>
      <c r="Q51" s="214"/>
      <c r="R51" s="99">
        <f t="shared" si="32"/>
        <v>0</v>
      </c>
      <c r="S51" s="214"/>
      <c r="T51" s="115">
        <f t="shared" si="33"/>
        <v>0</v>
      </c>
      <c r="U51" s="214"/>
      <c r="V51" s="99">
        <f t="shared" si="34"/>
        <v>0</v>
      </c>
      <c r="W51" s="214">
        <v>124</v>
      </c>
      <c r="X51" s="115">
        <v>124</v>
      </c>
      <c r="Y51" s="214">
        <v>122</v>
      </c>
      <c r="Z51" s="99">
        <f t="shared" si="35"/>
        <v>98.387096774193552</v>
      </c>
      <c r="AA51" s="210">
        <f t="shared" si="36"/>
        <v>124</v>
      </c>
      <c r="AB51" s="210">
        <f t="shared" si="36"/>
        <v>124</v>
      </c>
      <c r="AC51" s="210">
        <f t="shared" si="36"/>
        <v>122</v>
      </c>
      <c r="AD51" s="210">
        <f t="shared" si="37"/>
        <v>98.387096774193552</v>
      </c>
      <c r="AE51" s="214">
        <v>7</v>
      </c>
      <c r="AF51" s="97">
        <v>7</v>
      </c>
      <c r="AG51" s="214">
        <v>13</v>
      </c>
      <c r="AH51" s="99">
        <f t="shared" si="39"/>
        <v>185.71428571428572</v>
      </c>
      <c r="AI51" s="214"/>
      <c r="AJ51" s="97">
        <f t="shared" si="12"/>
        <v>0</v>
      </c>
      <c r="AK51" s="214"/>
      <c r="AL51" s="99">
        <f t="shared" si="40"/>
        <v>0</v>
      </c>
      <c r="AM51" s="214">
        <v>17</v>
      </c>
      <c r="AN51" s="97">
        <v>17</v>
      </c>
      <c r="AO51" s="214">
        <v>18</v>
      </c>
      <c r="AP51" s="99">
        <f t="shared" si="42"/>
        <v>105.88235294117648</v>
      </c>
      <c r="AQ51" s="210">
        <f t="shared" si="16"/>
        <v>212</v>
      </c>
      <c r="AR51" s="210">
        <f t="shared" si="17"/>
        <v>212</v>
      </c>
      <c r="AS51" s="210">
        <f t="shared" si="18"/>
        <v>218</v>
      </c>
      <c r="AT51" s="210">
        <f t="shared" si="43"/>
        <v>102.8301886792453</v>
      </c>
      <c r="AU51" s="214">
        <v>20</v>
      </c>
      <c r="AV51" s="97">
        <v>20</v>
      </c>
      <c r="AW51" s="214"/>
      <c r="AX51" s="99">
        <f t="shared" si="45"/>
        <v>0</v>
      </c>
      <c r="AY51" s="210">
        <f t="shared" si="21"/>
        <v>20</v>
      </c>
      <c r="AZ51" s="210">
        <f t="shared" si="22"/>
        <v>20</v>
      </c>
      <c r="BA51" s="210">
        <f t="shared" si="23"/>
        <v>0</v>
      </c>
      <c r="BB51" s="210">
        <f t="shared" si="46"/>
        <v>0</v>
      </c>
    </row>
    <row r="52" spans="1:54" ht="15.75" x14ac:dyDescent="0.2">
      <c r="A52" s="169" t="s">
        <v>152</v>
      </c>
      <c r="B52" s="201" t="s">
        <v>339</v>
      </c>
      <c r="C52" s="214">
        <v>28</v>
      </c>
      <c r="D52" s="97">
        <v>28</v>
      </c>
      <c r="E52" s="214">
        <v>39</v>
      </c>
      <c r="F52" s="99">
        <f t="shared" si="25"/>
        <v>139.28571428571428</v>
      </c>
      <c r="G52" s="214"/>
      <c r="H52" s="97">
        <f t="shared" si="146"/>
        <v>0</v>
      </c>
      <c r="I52" s="214"/>
      <c r="J52" s="99">
        <f t="shared" si="26"/>
        <v>0</v>
      </c>
      <c r="K52" s="236">
        <f t="shared" si="27"/>
        <v>28</v>
      </c>
      <c r="L52" s="236">
        <f t="shared" si="28"/>
        <v>28</v>
      </c>
      <c r="M52" s="236">
        <f t="shared" si="29"/>
        <v>39</v>
      </c>
      <c r="N52" s="235">
        <f t="shared" si="30"/>
        <v>139.28571428571428</v>
      </c>
      <c r="O52" s="214"/>
      <c r="P52" s="115">
        <f t="shared" si="31"/>
        <v>0</v>
      </c>
      <c r="Q52" s="214"/>
      <c r="R52" s="99">
        <f t="shared" si="32"/>
        <v>0</v>
      </c>
      <c r="S52" s="214"/>
      <c r="T52" s="115">
        <f t="shared" si="33"/>
        <v>0</v>
      </c>
      <c r="U52" s="214"/>
      <c r="V52" s="99">
        <f t="shared" si="34"/>
        <v>0</v>
      </c>
      <c r="W52" s="214">
        <v>45</v>
      </c>
      <c r="X52" s="115">
        <v>45</v>
      </c>
      <c r="Y52" s="214">
        <v>48</v>
      </c>
      <c r="Z52" s="99">
        <f t="shared" si="35"/>
        <v>106.66666666666667</v>
      </c>
      <c r="AA52" s="210">
        <f t="shared" si="36"/>
        <v>45</v>
      </c>
      <c r="AB52" s="210">
        <f t="shared" si="36"/>
        <v>45</v>
      </c>
      <c r="AC52" s="210">
        <f t="shared" si="36"/>
        <v>48</v>
      </c>
      <c r="AD52" s="210">
        <f t="shared" si="37"/>
        <v>106.66666666666667</v>
      </c>
      <c r="AE52" s="214">
        <v>9</v>
      </c>
      <c r="AF52" s="97">
        <v>9</v>
      </c>
      <c r="AG52" s="214">
        <v>4</v>
      </c>
      <c r="AH52" s="99">
        <f t="shared" si="39"/>
        <v>44.444444444444443</v>
      </c>
      <c r="AI52" s="214"/>
      <c r="AJ52" s="97">
        <f t="shared" si="12"/>
        <v>0</v>
      </c>
      <c r="AK52" s="214"/>
      <c r="AL52" s="99">
        <f t="shared" si="40"/>
        <v>0</v>
      </c>
      <c r="AM52" s="214">
        <v>10</v>
      </c>
      <c r="AN52" s="97">
        <v>10</v>
      </c>
      <c r="AO52" s="214">
        <v>11</v>
      </c>
      <c r="AP52" s="99">
        <f t="shared" si="42"/>
        <v>110.00000000000001</v>
      </c>
      <c r="AQ52" s="210">
        <f t="shared" si="16"/>
        <v>92</v>
      </c>
      <c r="AR52" s="210">
        <f t="shared" si="17"/>
        <v>92</v>
      </c>
      <c r="AS52" s="210">
        <f t="shared" si="18"/>
        <v>102</v>
      </c>
      <c r="AT52" s="210">
        <f t="shared" si="43"/>
        <v>110.86956521739131</v>
      </c>
      <c r="AU52" s="214">
        <v>6</v>
      </c>
      <c r="AV52" s="97">
        <v>6</v>
      </c>
      <c r="AW52" s="214"/>
      <c r="AX52" s="99">
        <f t="shared" si="45"/>
        <v>0</v>
      </c>
      <c r="AY52" s="210">
        <f t="shared" si="21"/>
        <v>6</v>
      </c>
      <c r="AZ52" s="210">
        <f t="shared" si="22"/>
        <v>6</v>
      </c>
      <c r="BA52" s="210">
        <f t="shared" si="23"/>
        <v>0</v>
      </c>
      <c r="BB52" s="210">
        <f t="shared" si="46"/>
        <v>0</v>
      </c>
    </row>
    <row r="53" spans="1:54" ht="31.5" x14ac:dyDescent="0.25">
      <c r="A53" s="174" t="s">
        <v>154</v>
      </c>
      <c r="B53" s="199" t="s">
        <v>3</v>
      </c>
      <c r="C53" s="216">
        <f t="shared" ref="C53:H53" si="162">C54+C55+C70+C74</f>
        <v>31346</v>
      </c>
      <c r="D53" s="216">
        <f t="shared" si="162"/>
        <v>31346</v>
      </c>
      <c r="E53" s="216">
        <f t="shared" ref="E53:I53" si="163">E54+E55+E70+E74</f>
        <v>24751</v>
      </c>
      <c r="F53" s="163">
        <f t="shared" si="25"/>
        <v>78.96063293562176</v>
      </c>
      <c r="G53" s="216">
        <f t="shared" si="162"/>
        <v>218</v>
      </c>
      <c r="H53" s="216">
        <f t="shared" si="162"/>
        <v>218</v>
      </c>
      <c r="I53" s="216">
        <f t="shared" si="163"/>
        <v>218</v>
      </c>
      <c r="J53" s="163">
        <f t="shared" si="26"/>
        <v>100</v>
      </c>
      <c r="K53" s="236">
        <f t="shared" si="27"/>
        <v>31564</v>
      </c>
      <c r="L53" s="236">
        <f t="shared" si="28"/>
        <v>31564</v>
      </c>
      <c r="M53" s="236">
        <f t="shared" si="29"/>
        <v>24969</v>
      </c>
      <c r="N53" s="235">
        <f t="shared" si="30"/>
        <v>79.105943479913819</v>
      </c>
      <c r="O53" s="216">
        <f t="shared" ref="O53" si="164">O54+O55+O70+O74</f>
        <v>876</v>
      </c>
      <c r="P53" s="115">
        <f t="shared" si="31"/>
        <v>876</v>
      </c>
      <c r="Q53" s="216">
        <f t="shared" ref="Q53" si="165">Q54+Q55+Q70+Q74</f>
        <v>876</v>
      </c>
      <c r="R53" s="163">
        <f t="shared" si="32"/>
        <v>100</v>
      </c>
      <c r="S53" s="216">
        <f t="shared" ref="S53" si="166">S54+S55+S70+S74</f>
        <v>410</v>
      </c>
      <c r="T53" s="115">
        <f t="shared" si="33"/>
        <v>410</v>
      </c>
      <c r="U53" s="216">
        <f t="shared" ref="U53" si="167">U54+U55+U70+U74</f>
        <v>410</v>
      </c>
      <c r="V53" s="163">
        <f t="shared" si="34"/>
        <v>100</v>
      </c>
      <c r="W53" s="216">
        <f t="shared" ref="W53:X53" si="168">W54+W55+W70+W74</f>
        <v>13429</v>
      </c>
      <c r="X53" s="216">
        <f t="shared" si="168"/>
        <v>13429</v>
      </c>
      <c r="Y53" s="216">
        <f t="shared" ref="Y53" si="169">Y54+Y55+Y70+Y74</f>
        <v>8884</v>
      </c>
      <c r="Z53" s="163">
        <f t="shared" si="35"/>
        <v>66.155335468016972</v>
      </c>
      <c r="AA53" s="210">
        <f t="shared" si="36"/>
        <v>14715</v>
      </c>
      <c r="AB53" s="210">
        <f t="shared" si="36"/>
        <v>14715</v>
      </c>
      <c r="AC53" s="210">
        <f t="shared" si="36"/>
        <v>10170</v>
      </c>
      <c r="AD53" s="210">
        <f t="shared" si="37"/>
        <v>69.113149847094803</v>
      </c>
      <c r="AE53" s="216">
        <f t="shared" ref="AE53:AF53" si="170">AE54+AE55+AE70+AE74</f>
        <v>2799</v>
      </c>
      <c r="AF53" s="216">
        <f t="shared" si="170"/>
        <v>2799</v>
      </c>
      <c r="AG53" s="216">
        <f t="shared" ref="AG53" si="171">AG54+AG55+AG70+AG74</f>
        <v>4316</v>
      </c>
      <c r="AH53" s="163">
        <f t="shared" si="39"/>
        <v>154.19792783136833</v>
      </c>
      <c r="AI53" s="216">
        <f t="shared" ref="AI53:AJ53" si="172">AI54+AI55+AI70+AI74</f>
        <v>1142</v>
      </c>
      <c r="AJ53" s="216">
        <f t="shared" si="172"/>
        <v>1142</v>
      </c>
      <c r="AK53" s="216">
        <f t="shared" ref="AK53" si="173">AK54+AK55+AK70+AK74</f>
        <v>1278</v>
      </c>
      <c r="AL53" s="163">
        <f t="shared" si="40"/>
        <v>111.90893169877407</v>
      </c>
      <c r="AM53" s="216">
        <f t="shared" ref="AM53:AN53" si="174">AM54+AM55+AM70+AM74</f>
        <v>6830</v>
      </c>
      <c r="AN53" s="216">
        <f t="shared" si="174"/>
        <v>6830</v>
      </c>
      <c r="AO53" s="216">
        <f t="shared" ref="AO53" si="175">AO54+AO55+AO70+AO74</f>
        <v>4018</v>
      </c>
      <c r="AP53" s="163">
        <f t="shared" si="42"/>
        <v>58.828696925329425</v>
      </c>
      <c r="AQ53" s="210">
        <f t="shared" si="16"/>
        <v>57050</v>
      </c>
      <c r="AR53" s="210">
        <f t="shared" si="17"/>
        <v>57050</v>
      </c>
      <c r="AS53" s="210">
        <f t="shared" si="18"/>
        <v>44751</v>
      </c>
      <c r="AT53" s="210">
        <f t="shared" si="43"/>
        <v>78.441717791411051</v>
      </c>
      <c r="AU53" s="216">
        <f t="shared" ref="AU53:AV53" si="176">AU54+AU55+AU70+AU74</f>
        <v>4401</v>
      </c>
      <c r="AV53" s="216">
        <f t="shared" si="176"/>
        <v>4401</v>
      </c>
      <c r="AW53" s="216">
        <f t="shared" ref="AW53" si="177">AW54+AW55+AW70+AW74</f>
        <v>679</v>
      </c>
      <c r="AX53" s="163">
        <f t="shared" si="45"/>
        <v>15.428311747330154</v>
      </c>
      <c r="AY53" s="210">
        <f t="shared" si="21"/>
        <v>4401</v>
      </c>
      <c r="AZ53" s="210">
        <f t="shared" si="22"/>
        <v>4401</v>
      </c>
      <c r="BA53" s="210">
        <f t="shared" si="23"/>
        <v>679</v>
      </c>
      <c r="BB53" s="210">
        <f t="shared" si="46"/>
        <v>15.428311747330154</v>
      </c>
    </row>
    <row r="54" spans="1:54" s="275" customFormat="1" ht="31.5" x14ac:dyDescent="0.25">
      <c r="A54" s="265" t="s">
        <v>155</v>
      </c>
      <c r="B54" s="274"/>
      <c r="C54" s="269">
        <v>6959</v>
      </c>
      <c r="D54" s="195">
        <f t="shared" ref="D54" si="178">ROUND(C54/12*$A$7,0)</f>
        <v>6959</v>
      </c>
      <c r="E54" s="269">
        <v>989</v>
      </c>
      <c r="F54" s="99">
        <f t="shared" si="25"/>
        <v>14.211812041960052</v>
      </c>
      <c r="G54" s="269">
        <v>218</v>
      </c>
      <c r="H54" s="195">
        <f>G54</f>
        <v>218</v>
      </c>
      <c r="I54" s="269">
        <v>218</v>
      </c>
      <c r="J54" s="99">
        <f t="shared" si="26"/>
        <v>100</v>
      </c>
      <c r="K54" s="279">
        <f t="shared" si="27"/>
        <v>7177</v>
      </c>
      <c r="L54" s="279">
        <f t="shared" si="28"/>
        <v>7177</v>
      </c>
      <c r="M54" s="279">
        <f t="shared" si="29"/>
        <v>1207</v>
      </c>
      <c r="N54" s="278">
        <f t="shared" si="30"/>
        <v>16.817611815521804</v>
      </c>
      <c r="O54" s="269">
        <v>21</v>
      </c>
      <c r="P54" s="195">
        <f t="shared" si="31"/>
        <v>21</v>
      </c>
      <c r="Q54" s="269">
        <v>21</v>
      </c>
      <c r="R54" s="99">
        <f t="shared" si="32"/>
        <v>100</v>
      </c>
      <c r="S54" s="269">
        <v>142</v>
      </c>
      <c r="T54" s="195">
        <f t="shared" si="33"/>
        <v>142</v>
      </c>
      <c r="U54" s="269">
        <v>142</v>
      </c>
      <c r="V54" s="99">
        <f t="shared" si="34"/>
        <v>100</v>
      </c>
      <c r="W54" s="269">
        <v>2839</v>
      </c>
      <c r="X54" s="115">
        <v>2839</v>
      </c>
      <c r="Y54" s="269">
        <v>1449</v>
      </c>
      <c r="Z54" s="99">
        <f t="shared" si="35"/>
        <v>51.03909827404015</v>
      </c>
      <c r="AA54" s="152">
        <f t="shared" si="36"/>
        <v>3002</v>
      </c>
      <c r="AB54" s="152">
        <f t="shared" si="36"/>
        <v>3002</v>
      </c>
      <c r="AC54" s="152">
        <f t="shared" si="36"/>
        <v>1612</v>
      </c>
      <c r="AD54" s="152">
        <f t="shared" si="37"/>
        <v>53.697534976682213</v>
      </c>
      <c r="AE54" s="269">
        <v>200</v>
      </c>
      <c r="AF54" s="195">
        <f t="shared" si="38"/>
        <v>200</v>
      </c>
      <c r="AG54" s="269"/>
      <c r="AH54" s="99">
        <f t="shared" si="39"/>
        <v>0</v>
      </c>
      <c r="AI54" s="269">
        <v>55</v>
      </c>
      <c r="AJ54" s="195">
        <f t="shared" ref="AJ54" si="179">ROUND(AI54/12*$A$7,0)</f>
        <v>55</v>
      </c>
      <c r="AK54" s="269"/>
      <c r="AL54" s="99">
        <f t="shared" si="40"/>
        <v>0</v>
      </c>
      <c r="AM54" s="269">
        <v>75</v>
      </c>
      <c r="AN54" s="195">
        <f t="shared" si="41"/>
        <v>75</v>
      </c>
      <c r="AO54" s="269">
        <v>73</v>
      </c>
      <c r="AP54" s="99">
        <f t="shared" si="42"/>
        <v>97.333333333333343</v>
      </c>
      <c r="AQ54" s="152">
        <f t="shared" si="16"/>
        <v>10509</v>
      </c>
      <c r="AR54" s="152">
        <f t="shared" si="17"/>
        <v>10509</v>
      </c>
      <c r="AS54" s="152">
        <f t="shared" si="18"/>
        <v>2892</v>
      </c>
      <c r="AT54" s="152">
        <f t="shared" si="43"/>
        <v>27.519269197830432</v>
      </c>
      <c r="AU54" s="269">
        <v>58</v>
      </c>
      <c r="AV54" s="195">
        <f t="shared" ref="AV54" si="180">ROUND(AU54/12*$A$7,0)</f>
        <v>58</v>
      </c>
      <c r="AW54" s="269"/>
      <c r="AX54" s="99">
        <f t="shared" si="45"/>
        <v>0</v>
      </c>
      <c r="AY54" s="152">
        <f t="shared" si="21"/>
        <v>58</v>
      </c>
      <c r="AZ54" s="152">
        <f t="shared" si="22"/>
        <v>58</v>
      </c>
      <c r="BA54" s="152">
        <f t="shared" si="23"/>
        <v>0</v>
      </c>
      <c r="BB54" s="152">
        <f t="shared" si="46"/>
        <v>0</v>
      </c>
    </row>
    <row r="55" spans="1:54" ht="31.5" x14ac:dyDescent="0.25">
      <c r="A55" s="180" t="s">
        <v>156</v>
      </c>
      <c r="B55" s="196" t="s">
        <v>3</v>
      </c>
      <c r="C55" s="217">
        <f t="shared" ref="C55:G55" si="181">C56*4+C57+C58*3+C59*6+C60*2+C61*7+C62*2+C63*4+C64*8+C65*8+C66*3+C67*2+C68*7+C69*9</f>
        <v>14465</v>
      </c>
      <c r="D55" s="217">
        <f t="shared" si="181"/>
        <v>14465</v>
      </c>
      <c r="E55" s="217">
        <f t="shared" ref="E55:I55" si="182">E56*4+E57+E58*3+E59*6+E60*2+E61*7+E62*2+E63*4+E64*8+E65*8+E66*3+E67*2+E68*7+E69*9</f>
        <v>19037</v>
      </c>
      <c r="F55" s="117">
        <f t="shared" si="25"/>
        <v>131.60732803318356</v>
      </c>
      <c r="G55" s="217">
        <f t="shared" si="181"/>
        <v>0</v>
      </c>
      <c r="H55" s="115">
        <f t="shared" si="146"/>
        <v>0</v>
      </c>
      <c r="I55" s="217">
        <f t="shared" si="182"/>
        <v>0</v>
      </c>
      <c r="J55" s="117">
        <f t="shared" si="26"/>
        <v>0</v>
      </c>
      <c r="K55" s="236">
        <f t="shared" si="27"/>
        <v>14465</v>
      </c>
      <c r="L55" s="236">
        <f t="shared" si="28"/>
        <v>14465</v>
      </c>
      <c r="M55" s="236">
        <f t="shared" si="29"/>
        <v>19037</v>
      </c>
      <c r="N55" s="235">
        <f t="shared" si="30"/>
        <v>131.60732803318356</v>
      </c>
      <c r="O55" s="217">
        <f t="shared" ref="O55" si="183">O56*4+O57+O58*3+O59*6+O60*2+O61*7+O62*2+O63*4+O64*8+O65*8+O66*3+O67*2+O68*7+O69*9</f>
        <v>757</v>
      </c>
      <c r="P55" s="115">
        <f t="shared" si="31"/>
        <v>757</v>
      </c>
      <c r="Q55" s="217">
        <f t="shared" ref="Q55" si="184">Q56*4+Q57+Q58*3+Q59*6+Q60*2+Q61*7+Q62*2+Q63*4+Q64*8+Q65*8+Q66*3+Q67*2+Q68*7+Q69*9</f>
        <v>757</v>
      </c>
      <c r="R55" s="117">
        <f t="shared" si="32"/>
        <v>100</v>
      </c>
      <c r="S55" s="217">
        <f t="shared" ref="S55" si="185">S56*4+S57+S58*3+S59*6+S60*2+S61*7+S62*2+S63*4+S64*8+S65*8+S66*3+S67*2+S68*7+S69*9</f>
        <v>257</v>
      </c>
      <c r="T55" s="115">
        <f t="shared" si="33"/>
        <v>257</v>
      </c>
      <c r="U55" s="217">
        <f t="shared" ref="U55" si="186">U56*4+U57+U58*3+U59*6+U60*2+U61*7+U62*2+U63*4+U64*8+U65*8+U66*3+U67*2+U68*7+U69*9</f>
        <v>257</v>
      </c>
      <c r="V55" s="117">
        <f t="shared" si="34"/>
        <v>100</v>
      </c>
      <c r="W55" s="217">
        <f t="shared" ref="W55:X55" si="187">W56*4+W57+W58*3+W59*6+W60*2+W61*7+W62*2+W63*4+W64*8+W65*8+W66*3+W67*2+W68*7+W69*9</f>
        <v>7263</v>
      </c>
      <c r="X55" s="217">
        <f t="shared" si="187"/>
        <v>7263</v>
      </c>
      <c r="Y55" s="217">
        <f t="shared" ref="Y55" si="188">Y56*4+Y57+Y58*3+Y59*6+Y60*2+Y61*7+Y62*2+Y63*4+Y64*8+Y65*8+Y66*3+Y67*2+Y68*7+Y69*9</f>
        <v>5070</v>
      </c>
      <c r="Z55" s="117">
        <f t="shared" si="35"/>
        <v>69.805865344898805</v>
      </c>
      <c r="AA55" s="210">
        <f t="shared" si="36"/>
        <v>8277</v>
      </c>
      <c r="AB55" s="210">
        <f t="shared" si="36"/>
        <v>8277</v>
      </c>
      <c r="AC55" s="210">
        <f t="shared" si="36"/>
        <v>6084</v>
      </c>
      <c r="AD55" s="210">
        <f t="shared" si="37"/>
        <v>73.504893077201885</v>
      </c>
      <c r="AE55" s="217">
        <f t="shared" ref="AE55:AF55" si="189">AE56*4+AE57+AE58*3+AE59*6+AE60*2+AE61*7+AE62*2+AE63*4+AE64*8+AE65*8+AE66*3+AE67*2+AE68*7+AE69*9</f>
        <v>1609</v>
      </c>
      <c r="AF55" s="217">
        <f t="shared" si="189"/>
        <v>1609</v>
      </c>
      <c r="AG55" s="217">
        <f t="shared" ref="AG55" si="190">AG56*4+AG57+AG58*3+AG59*6+AG60*2+AG61*7+AG62*2+AG63*4+AG64*8+AG65*8+AG66*3+AG67*2+AG68*7+AG69*9</f>
        <v>1911</v>
      </c>
      <c r="AH55" s="117">
        <f t="shared" si="39"/>
        <v>118.76942200124302</v>
      </c>
      <c r="AI55" s="217">
        <f t="shared" ref="AI55" si="191">AI56*4+AI57+AI58*3+AI59*6+AI60*2+AI61*7+AI62*2+AI63*4+AI64*8+AI65*8+AI66*3+AI67*2+AI68*7+AI69*9</f>
        <v>333</v>
      </c>
      <c r="AJ55" s="217">
        <f>AJ56*4+AJ57+AJ58*3+AJ59*6+AJ60*2+AJ61*7+AJ62*2+AJ63*4+AJ64*8+AJ65*8+AJ66*3+AJ67*2+AJ68*7+AJ69*9</f>
        <v>333</v>
      </c>
      <c r="AK55" s="217">
        <f t="shared" ref="AK55" si="192">AK56*4+AK57+AK58*3+AK59*6+AK60*2+AK61*7+AK62*2+AK63*4+AK64*8+AK65*8+AK66*3+AK67*2+AK68*7+AK69*9</f>
        <v>619</v>
      </c>
      <c r="AL55" s="117">
        <f t="shared" si="40"/>
        <v>185.88588588588587</v>
      </c>
      <c r="AM55" s="217">
        <f t="shared" ref="AM55:AN55" si="193">AM56*4+AM57+AM58*3+AM59*6+AM60*2+AM61*7+AM62*2+AM63*4+AM64*8+AM65*8+AM66*3+AM67*2+AM68*7+AM69*9</f>
        <v>4997</v>
      </c>
      <c r="AN55" s="217">
        <f t="shared" si="193"/>
        <v>4997</v>
      </c>
      <c r="AO55" s="217">
        <f t="shared" ref="AO55" si="194">AO56*4+AO57+AO58*3+AO59*6+AO60*2+AO61*7+AO62*2+AO63*4+AO64*8+AO65*8+AO66*3+AO67*2+AO68*7+AO69*9</f>
        <v>2448</v>
      </c>
      <c r="AP55" s="117">
        <f t="shared" si="42"/>
        <v>48.98939363618171</v>
      </c>
      <c r="AQ55" s="117">
        <f t="shared" si="16"/>
        <v>29681</v>
      </c>
      <c r="AR55" s="117">
        <f t="shared" si="17"/>
        <v>29681</v>
      </c>
      <c r="AS55" s="117">
        <f t="shared" si="18"/>
        <v>30099</v>
      </c>
      <c r="AT55" s="117">
        <f t="shared" si="43"/>
        <v>101.40830834540616</v>
      </c>
      <c r="AU55" s="217">
        <f t="shared" ref="AU55:AV55" si="195">AU56*4+AU57+AU58*3+AU59*6+AU60*2+AU61*7+AU62*2+AU63*4+AU64*8+AU65*8+AU66*3+AU67*2+AU68*7+AU69*9</f>
        <v>3419</v>
      </c>
      <c r="AV55" s="217">
        <f t="shared" si="195"/>
        <v>3419</v>
      </c>
      <c r="AW55" s="217">
        <f t="shared" ref="AW55" si="196">AW56*4+AW57+AW58*3+AW59*6+AW60*2+AW61*7+AW62*2+AW63*4+AW64*8+AW65*8+AW66*3+AW67*2+AW68*7+AW69*9</f>
        <v>633</v>
      </c>
      <c r="AX55" s="117">
        <f t="shared" si="45"/>
        <v>18.514185434337527</v>
      </c>
      <c r="AY55" s="210">
        <f t="shared" si="21"/>
        <v>3419</v>
      </c>
      <c r="AZ55" s="210">
        <f t="shared" si="22"/>
        <v>3419</v>
      </c>
      <c r="BA55" s="210">
        <f t="shared" si="23"/>
        <v>633</v>
      </c>
      <c r="BB55" s="210">
        <f t="shared" si="46"/>
        <v>18.514185434337527</v>
      </c>
    </row>
    <row r="56" spans="1:54" ht="31.5" x14ac:dyDescent="0.2">
      <c r="A56" s="183" t="s">
        <v>157</v>
      </c>
      <c r="B56" s="201" t="s">
        <v>339</v>
      </c>
      <c r="C56" s="214">
        <v>202</v>
      </c>
      <c r="D56" s="97">
        <f t="shared" si="146"/>
        <v>202</v>
      </c>
      <c r="E56" s="214">
        <v>155</v>
      </c>
      <c r="F56" s="99">
        <f t="shared" si="25"/>
        <v>76.732673267326732</v>
      </c>
      <c r="G56" s="214"/>
      <c r="H56" s="97">
        <f t="shared" si="146"/>
        <v>0</v>
      </c>
      <c r="I56" s="214"/>
      <c r="J56" s="99">
        <f t="shared" si="26"/>
        <v>0</v>
      </c>
      <c r="K56" s="236">
        <f t="shared" si="27"/>
        <v>202</v>
      </c>
      <c r="L56" s="236">
        <f t="shared" si="28"/>
        <v>202</v>
      </c>
      <c r="M56" s="236">
        <f t="shared" si="29"/>
        <v>155</v>
      </c>
      <c r="N56" s="235">
        <f t="shared" si="30"/>
        <v>76.732673267326732</v>
      </c>
      <c r="O56" s="214"/>
      <c r="P56" s="115">
        <f t="shared" si="31"/>
        <v>0</v>
      </c>
      <c r="Q56" s="214">
        <v>0</v>
      </c>
      <c r="R56" s="99">
        <f t="shared" si="32"/>
        <v>0</v>
      </c>
      <c r="S56" s="214"/>
      <c r="T56" s="115">
        <f t="shared" si="33"/>
        <v>0</v>
      </c>
      <c r="U56" s="214">
        <v>0</v>
      </c>
      <c r="V56" s="99">
        <f t="shared" si="34"/>
        <v>0</v>
      </c>
      <c r="W56" s="214">
        <v>66</v>
      </c>
      <c r="X56" s="331">
        <v>66</v>
      </c>
      <c r="Y56" s="214">
        <v>2</v>
      </c>
      <c r="Z56" s="99">
        <f t="shared" si="35"/>
        <v>3.0303030303030303</v>
      </c>
      <c r="AA56" s="210">
        <f t="shared" si="36"/>
        <v>66</v>
      </c>
      <c r="AB56" s="210">
        <f t="shared" si="36"/>
        <v>66</v>
      </c>
      <c r="AC56" s="210">
        <f t="shared" si="36"/>
        <v>2</v>
      </c>
      <c r="AD56" s="210">
        <f t="shared" si="37"/>
        <v>3.0303030303030303</v>
      </c>
      <c r="AE56" s="214">
        <v>14</v>
      </c>
      <c r="AF56" s="97">
        <f t="shared" si="38"/>
        <v>14</v>
      </c>
      <c r="AG56" s="214">
        <v>0</v>
      </c>
      <c r="AH56" s="99">
        <f t="shared" si="39"/>
        <v>0</v>
      </c>
      <c r="AI56" s="214">
        <v>3</v>
      </c>
      <c r="AJ56" s="97">
        <f t="shared" si="12"/>
        <v>3</v>
      </c>
      <c r="AK56" s="214">
        <v>3</v>
      </c>
      <c r="AL56" s="99">
        <f t="shared" si="40"/>
        <v>100</v>
      </c>
      <c r="AM56" s="214">
        <v>57</v>
      </c>
      <c r="AN56" s="97">
        <v>57</v>
      </c>
      <c r="AO56" s="214">
        <v>1</v>
      </c>
      <c r="AP56" s="99">
        <f t="shared" si="42"/>
        <v>1.7543859649122806</v>
      </c>
      <c r="AQ56" s="210">
        <f t="shared" si="16"/>
        <v>342</v>
      </c>
      <c r="AR56" s="210">
        <f t="shared" si="17"/>
        <v>342</v>
      </c>
      <c r="AS56" s="210">
        <f t="shared" si="18"/>
        <v>161</v>
      </c>
      <c r="AT56" s="210">
        <f t="shared" si="43"/>
        <v>47.076023391812868</v>
      </c>
      <c r="AU56" s="214">
        <v>20</v>
      </c>
      <c r="AV56" s="97">
        <f t="shared" si="44"/>
        <v>20</v>
      </c>
      <c r="AW56" s="214">
        <v>0</v>
      </c>
      <c r="AX56" s="99">
        <f t="shared" si="45"/>
        <v>0</v>
      </c>
      <c r="AY56" s="210">
        <f t="shared" si="21"/>
        <v>20</v>
      </c>
      <c r="AZ56" s="210">
        <f t="shared" si="22"/>
        <v>20</v>
      </c>
      <c r="BA56" s="210">
        <f t="shared" si="23"/>
        <v>0</v>
      </c>
      <c r="BB56" s="210">
        <f t="shared" si="46"/>
        <v>0</v>
      </c>
    </row>
    <row r="57" spans="1:54" ht="63" x14ac:dyDescent="0.2">
      <c r="A57" s="183" t="s">
        <v>158</v>
      </c>
      <c r="B57" s="201" t="s">
        <v>339</v>
      </c>
      <c r="C57" s="214">
        <v>1729</v>
      </c>
      <c r="D57" s="97">
        <f t="shared" si="146"/>
        <v>1729</v>
      </c>
      <c r="E57" s="214">
        <v>2033</v>
      </c>
      <c r="F57" s="99">
        <f t="shared" si="25"/>
        <v>117.58241758241759</v>
      </c>
      <c r="G57" s="214"/>
      <c r="H57" s="97">
        <f t="shared" si="146"/>
        <v>0</v>
      </c>
      <c r="I57" s="214"/>
      <c r="J57" s="99">
        <f t="shared" si="26"/>
        <v>0</v>
      </c>
      <c r="K57" s="236">
        <f t="shared" si="27"/>
        <v>1729</v>
      </c>
      <c r="L57" s="236">
        <f t="shared" si="28"/>
        <v>1729</v>
      </c>
      <c r="M57" s="236">
        <f t="shared" si="29"/>
        <v>2033</v>
      </c>
      <c r="N57" s="235">
        <f t="shared" si="30"/>
        <v>117.58241758241759</v>
      </c>
      <c r="O57" s="214"/>
      <c r="P57" s="115">
        <f t="shared" si="31"/>
        <v>0</v>
      </c>
      <c r="Q57" s="214">
        <v>0</v>
      </c>
      <c r="R57" s="99">
        <f t="shared" si="32"/>
        <v>0</v>
      </c>
      <c r="S57" s="214">
        <v>56</v>
      </c>
      <c r="T57" s="115">
        <f t="shared" si="33"/>
        <v>56</v>
      </c>
      <c r="U57" s="214">
        <v>56</v>
      </c>
      <c r="V57" s="99">
        <f t="shared" si="34"/>
        <v>100</v>
      </c>
      <c r="W57" s="214">
        <v>868</v>
      </c>
      <c r="X57" s="331">
        <v>868</v>
      </c>
      <c r="Y57" s="214">
        <v>418</v>
      </c>
      <c r="Z57" s="99">
        <f t="shared" si="35"/>
        <v>48.156682027649772</v>
      </c>
      <c r="AA57" s="210">
        <f t="shared" si="36"/>
        <v>924</v>
      </c>
      <c r="AB57" s="210">
        <f t="shared" si="36"/>
        <v>924</v>
      </c>
      <c r="AC57" s="210">
        <f t="shared" si="36"/>
        <v>474</v>
      </c>
      <c r="AD57" s="210">
        <f t="shared" si="37"/>
        <v>51.298701298701296</v>
      </c>
      <c r="AE57" s="214">
        <v>70</v>
      </c>
      <c r="AF57" s="97">
        <f t="shared" si="38"/>
        <v>70</v>
      </c>
      <c r="AG57" s="214">
        <v>73</v>
      </c>
      <c r="AH57" s="99">
        <f t="shared" si="39"/>
        <v>104.28571428571429</v>
      </c>
      <c r="AI57" s="214">
        <v>110</v>
      </c>
      <c r="AJ57" s="97">
        <f t="shared" si="12"/>
        <v>110</v>
      </c>
      <c r="AK57" s="214">
        <v>138</v>
      </c>
      <c r="AL57" s="99">
        <f t="shared" si="40"/>
        <v>125.45454545454547</v>
      </c>
      <c r="AM57" s="214">
        <v>493</v>
      </c>
      <c r="AN57" s="97">
        <v>493</v>
      </c>
      <c r="AO57" s="214">
        <v>178</v>
      </c>
      <c r="AP57" s="99">
        <f t="shared" si="42"/>
        <v>36.105476673427994</v>
      </c>
      <c r="AQ57" s="210">
        <f t="shared" si="16"/>
        <v>3326</v>
      </c>
      <c r="AR57" s="210">
        <f t="shared" si="17"/>
        <v>3326</v>
      </c>
      <c r="AS57" s="210">
        <f t="shared" si="18"/>
        <v>2896</v>
      </c>
      <c r="AT57" s="210">
        <f t="shared" si="43"/>
        <v>87.071557426337947</v>
      </c>
      <c r="AU57" s="214">
        <v>273</v>
      </c>
      <c r="AV57" s="97">
        <f t="shared" si="44"/>
        <v>273</v>
      </c>
      <c r="AW57" s="214">
        <v>624</v>
      </c>
      <c r="AX57" s="99">
        <f t="shared" si="45"/>
        <v>228.57142857142856</v>
      </c>
      <c r="AY57" s="210">
        <f t="shared" si="21"/>
        <v>273</v>
      </c>
      <c r="AZ57" s="210">
        <f t="shared" si="22"/>
        <v>273</v>
      </c>
      <c r="BA57" s="210">
        <f t="shared" si="23"/>
        <v>624</v>
      </c>
      <c r="BB57" s="210">
        <f t="shared" si="46"/>
        <v>228.57142857142856</v>
      </c>
    </row>
    <row r="58" spans="1:54" ht="31.5" x14ac:dyDescent="0.2">
      <c r="A58" s="183" t="s">
        <v>198</v>
      </c>
      <c r="B58" s="201" t="s">
        <v>339</v>
      </c>
      <c r="C58" s="214">
        <v>234</v>
      </c>
      <c r="D58" s="97">
        <f t="shared" si="146"/>
        <v>234</v>
      </c>
      <c r="E58" s="214">
        <v>294</v>
      </c>
      <c r="F58" s="99">
        <f t="shared" si="25"/>
        <v>125.64102564102564</v>
      </c>
      <c r="G58" s="214"/>
      <c r="H58" s="97">
        <f t="shared" si="146"/>
        <v>0</v>
      </c>
      <c r="I58" s="214"/>
      <c r="J58" s="99">
        <f t="shared" si="26"/>
        <v>0</v>
      </c>
      <c r="K58" s="236">
        <f t="shared" si="27"/>
        <v>234</v>
      </c>
      <c r="L58" s="236">
        <f t="shared" si="28"/>
        <v>234</v>
      </c>
      <c r="M58" s="236">
        <f t="shared" si="29"/>
        <v>294</v>
      </c>
      <c r="N58" s="235">
        <f t="shared" si="30"/>
        <v>125.64102564102564</v>
      </c>
      <c r="O58" s="214"/>
      <c r="P58" s="115">
        <f t="shared" si="31"/>
        <v>0</v>
      </c>
      <c r="Q58" s="214">
        <v>0</v>
      </c>
      <c r="R58" s="99">
        <f t="shared" si="32"/>
        <v>0</v>
      </c>
      <c r="S58" s="214">
        <v>1</v>
      </c>
      <c r="T58" s="115">
        <f t="shared" si="33"/>
        <v>1</v>
      </c>
      <c r="U58" s="214">
        <v>1</v>
      </c>
      <c r="V58" s="99">
        <f t="shared" si="34"/>
        <v>100</v>
      </c>
      <c r="W58" s="214">
        <v>33</v>
      </c>
      <c r="X58" s="331">
        <v>33</v>
      </c>
      <c r="Y58" s="214">
        <v>17</v>
      </c>
      <c r="Z58" s="99">
        <f t="shared" si="35"/>
        <v>51.515151515151516</v>
      </c>
      <c r="AA58" s="210">
        <f t="shared" si="36"/>
        <v>34</v>
      </c>
      <c r="AB58" s="210">
        <f t="shared" si="36"/>
        <v>34</v>
      </c>
      <c r="AC58" s="210">
        <f t="shared" si="36"/>
        <v>18</v>
      </c>
      <c r="AD58" s="210">
        <f t="shared" si="37"/>
        <v>52.941176470588239</v>
      </c>
      <c r="AE58" s="214">
        <v>28</v>
      </c>
      <c r="AF58" s="97">
        <f t="shared" si="38"/>
        <v>28</v>
      </c>
      <c r="AG58" s="214">
        <v>0</v>
      </c>
      <c r="AH58" s="99">
        <f t="shared" si="39"/>
        <v>0</v>
      </c>
      <c r="AI58" s="214">
        <v>6</v>
      </c>
      <c r="AJ58" s="97">
        <f t="shared" si="12"/>
        <v>6</v>
      </c>
      <c r="AK58" s="214">
        <v>9</v>
      </c>
      <c r="AL58" s="99">
        <f t="shared" si="40"/>
        <v>150</v>
      </c>
      <c r="AM58" s="214">
        <v>85</v>
      </c>
      <c r="AN58" s="97">
        <v>85</v>
      </c>
      <c r="AO58" s="214">
        <v>2</v>
      </c>
      <c r="AP58" s="99">
        <f t="shared" si="42"/>
        <v>2.3529411764705883</v>
      </c>
      <c r="AQ58" s="210">
        <f t="shared" si="16"/>
        <v>387</v>
      </c>
      <c r="AR58" s="210">
        <f t="shared" si="17"/>
        <v>387</v>
      </c>
      <c r="AS58" s="210">
        <f t="shared" si="18"/>
        <v>323</v>
      </c>
      <c r="AT58" s="210">
        <f t="shared" si="43"/>
        <v>83.462532299741596</v>
      </c>
      <c r="AU58" s="214">
        <v>64</v>
      </c>
      <c r="AV58" s="97">
        <f t="shared" si="44"/>
        <v>64</v>
      </c>
      <c r="AW58" s="214">
        <v>1</v>
      </c>
      <c r="AX58" s="99">
        <f t="shared" si="45"/>
        <v>1.5625</v>
      </c>
      <c r="AY58" s="210">
        <f t="shared" si="21"/>
        <v>64</v>
      </c>
      <c r="AZ58" s="210">
        <f t="shared" si="22"/>
        <v>64</v>
      </c>
      <c r="BA58" s="210">
        <f t="shared" si="23"/>
        <v>1</v>
      </c>
      <c r="BB58" s="210">
        <f t="shared" si="46"/>
        <v>1.5625</v>
      </c>
    </row>
    <row r="59" spans="1:54" ht="31.5" x14ac:dyDescent="0.2">
      <c r="A59" s="183" t="s">
        <v>159</v>
      </c>
      <c r="B59" s="201" t="s">
        <v>339</v>
      </c>
      <c r="C59" s="214">
        <v>123</v>
      </c>
      <c r="D59" s="97">
        <f t="shared" si="146"/>
        <v>123</v>
      </c>
      <c r="E59" s="214">
        <v>57</v>
      </c>
      <c r="F59" s="99">
        <f t="shared" si="25"/>
        <v>46.341463414634148</v>
      </c>
      <c r="G59" s="214"/>
      <c r="H59" s="97">
        <f t="shared" si="146"/>
        <v>0</v>
      </c>
      <c r="I59" s="214"/>
      <c r="J59" s="99">
        <f t="shared" si="26"/>
        <v>0</v>
      </c>
      <c r="K59" s="236">
        <f t="shared" si="27"/>
        <v>123</v>
      </c>
      <c r="L59" s="236">
        <f t="shared" si="28"/>
        <v>123</v>
      </c>
      <c r="M59" s="236">
        <f t="shared" si="29"/>
        <v>57</v>
      </c>
      <c r="N59" s="235">
        <f t="shared" si="30"/>
        <v>46.341463414634148</v>
      </c>
      <c r="O59" s="214">
        <v>5</v>
      </c>
      <c r="P59" s="115">
        <f t="shared" si="31"/>
        <v>5</v>
      </c>
      <c r="Q59" s="214">
        <v>5</v>
      </c>
      <c r="R59" s="99">
        <f t="shared" si="32"/>
        <v>100</v>
      </c>
      <c r="S59" s="214">
        <v>1</v>
      </c>
      <c r="T59" s="115">
        <f t="shared" si="33"/>
        <v>1</v>
      </c>
      <c r="U59" s="214">
        <v>1</v>
      </c>
      <c r="V59" s="99">
        <f t="shared" si="34"/>
        <v>100</v>
      </c>
      <c r="W59" s="214">
        <v>58</v>
      </c>
      <c r="X59" s="331">
        <v>58</v>
      </c>
      <c r="Y59" s="214">
        <v>40</v>
      </c>
      <c r="Z59" s="99">
        <f t="shared" si="35"/>
        <v>68.965517241379317</v>
      </c>
      <c r="AA59" s="210">
        <f t="shared" si="36"/>
        <v>64</v>
      </c>
      <c r="AB59" s="210">
        <f t="shared" si="36"/>
        <v>64</v>
      </c>
      <c r="AC59" s="210">
        <f t="shared" si="36"/>
        <v>46</v>
      </c>
      <c r="AD59" s="210">
        <f t="shared" si="37"/>
        <v>71.875</v>
      </c>
      <c r="AE59" s="214">
        <v>21</v>
      </c>
      <c r="AF59" s="97">
        <f t="shared" si="38"/>
        <v>21</v>
      </c>
      <c r="AG59" s="214">
        <v>6</v>
      </c>
      <c r="AH59" s="99">
        <f t="shared" si="39"/>
        <v>28.571428571428569</v>
      </c>
      <c r="AI59" s="214">
        <v>2</v>
      </c>
      <c r="AJ59" s="97">
        <f t="shared" si="12"/>
        <v>2</v>
      </c>
      <c r="AK59" s="214">
        <v>9</v>
      </c>
      <c r="AL59" s="99">
        <f t="shared" si="40"/>
        <v>450</v>
      </c>
      <c r="AM59" s="214">
        <v>57</v>
      </c>
      <c r="AN59" s="97">
        <v>57</v>
      </c>
      <c r="AO59" s="214">
        <v>3</v>
      </c>
      <c r="AP59" s="99">
        <f t="shared" si="42"/>
        <v>5.2631578947368416</v>
      </c>
      <c r="AQ59" s="210">
        <f t="shared" si="16"/>
        <v>267</v>
      </c>
      <c r="AR59" s="210">
        <f t="shared" si="17"/>
        <v>267</v>
      </c>
      <c r="AS59" s="210">
        <f t="shared" si="18"/>
        <v>121</v>
      </c>
      <c r="AT59" s="210">
        <f t="shared" si="43"/>
        <v>45.31835205992509</v>
      </c>
      <c r="AU59" s="214">
        <v>30</v>
      </c>
      <c r="AV59" s="97">
        <f t="shared" si="44"/>
        <v>30</v>
      </c>
      <c r="AW59" s="214">
        <v>0</v>
      </c>
      <c r="AX59" s="99">
        <f t="shared" si="45"/>
        <v>0</v>
      </c>
      <c r="AY59" s="210">
        <f t="shared" si="21"/>
        <v>30</v>
      </c>
      <c r="AZ59" s="210">
        <f t="shared" si="22"/>
        <v>30</v>
      </c>
      <c r="BA59" s="210">
        <f t="shared" si="23"/>
        <v>0</v>
      </c>
      <c r="BB59" s="210">
        <f t="shared" si="46"/>
        <v>0</v>
      </c>
    </row>
    <row r="60" spans="1:54" ht="31.5" x14ac:dyDescent="0.2">
      <c r="A60" s="183" t="s">
        <v>160</v>
      </c>
      <c r="B60" s="201" t="s">
        <v>339</v>
      </c>
      <c r="C60" s="214">
        <v>118</v>
      </c>
      <c r="D60" s="97">
        <f t="shared" si="146"/>
        <v>118</v>
      </c>
      <c r="E60" s="214">
        <v>115</v>
      </c>
      <c r="F60" s="99">
        <f t="shared" si="25"/>
        <v>97.457627118644069</v>
      </c>
      <c r="G60" s="214"/>
      <c r="H60" s="97">
        <f t="shared" si="146"/>
        <v>0</v>
      </c>
      <c r="I60" s="214"/>
      <c r="J60" s="99">
        <f t="shared" si="26"/>
        <v>0</v>
      </c>
      <c r="K60" s="236">
        <f t="shared" si="27"/>
        <v>118</v>
      </c>
      <c r="L60" s="236">
        <f t="shared" si="28"/>
        <v>118</v>
      </c>
      <c r="M60" s="236">
        <f t="shared" si="29"/>
        <v>115</v>
      </c>
      <c r="N60" s="235">
        <f t="shared" si="30"/>
        <v>97.457627118644069</v>
      </c>
      <c r="O60" s="214">
        <v>3</v>
      </c>
      <c r="P60" s="115">
        <f t="shared" si="31"/>
        <v>3</v>
      </c>
      <c r="Q60" s="214">
        <v>3</v>
      </c>
      <c r="R60" s="99">
        <f t="shared" si="32"/>
        <v>100</v>
      </c>
      <c r="S60" s="214">
        <v>4</v>
      </c>
      <c r="T60" s="115">
        <f t="shared" si="33"/>
        <v>4</v>
      </c>
      <c r="U60" s="214">
        <v>4</v>
      </c>
      <c r="V60" s="99">
        <f t="shared" si="34"/>
        <v>100</v>
      </c>
      <c r="W60" s="214">
        <v>84</v>
      </c>
      <c r="X60" s="331">
        <v>84</v>
      </c>
      <c r="Y60" s="214">
        <v>67</v>
      </c>
      <c r="Z60" s="99">
        <f t="shared" si="35"/>
        <v>79.761904761904773</v>
      </c>
      <c r="AA60" s="210">
        <f t="shared" si="36"/>
        <v>91</v>
      </c>
      <c r="AB60" s="210">
        <f t="shared" si="36"/>
        <v>91</v>
      </c>
      <c r="AC60" s="210">
        <f t="shared" si="36"/>
        <v>74</v>
      </c>
      <c r="AD60" s="210">
        <f t="shared" si="37"/>
        <v>81.318681318681314</v>
      </c>
      <c r="AE60" s="214">
        <v>19</v>
      </c>
      <c r="AF60" s="97">
        <f t="shared" si="38"/>
        <v>19</v>
      </c>
      <c r="AG60" s="214">
        <v>23</v>
      </c>
      <c r="AH60" s="99">
        <f t="shared" si="39"/>
        <v>121.05263157894737</v>
      </c>
      <c r="AI60" s="214">
        <v>4</v>
      </c>
      <c r="AJ60" s="97">
        <f t="shared" si="12"/>
        <v>4</v>
      </c>
      <c r="AK60" s="214">
        <v>5</v>
      </c>
      <c r="AL60" s="99">
        <f t="shared" si="40"/>
        <v>125</v>
      </c>
      <c r="AM60" s="214">
        <v>57</v>
      </c>
      <c r="AN60" s="97">
        <v>57</v>
      </c>
      <c r="AO60" s="214">
        <v>1</v>
      </c>
      <c r="AP60" s="99">
        <f t="shared" si="42"/>
        <v>1.7543859649122806</v>
      </c>
      <c r="AQ60" s="210">
        <f t="shared" si="16"/>
        <v>289</v>
      </c>
      <c r="AR60" s="210">
        <f t="shared" si="17"/>
        <v>289</v>
      </c>
      <c r="AS60" s="210">
        <f t="shared" si="18"/>
        <v>218</v>
      </c>
      <c r="AT60" s="210">
        <f t="shared" si="43"/>
        <v>75.432525951557096</v>
      </c>
      <c r="AU60" s="214">
        <v>30</v>
      </c>
      <c r="AV60" s="97">
        <f t="shared" si="44"/>
        <v>30</v>
      </c>
      <c r="AW60" s="214">
        <v>1</v>
      </c>
      <c r="AX60" s="99">
        <f t="shared" si="45"/>
        <v>3.3333333333333335</v>
      </c>
      <c r="AY60" s="210">
        <f t="shared" si="21"/>
        <v>30</v>
      </c>
      <c r="AZ60" s="210">
        <f t="shared" si="22"/>
        <v>30</v>
      </c>
      <c r="BA60" s="210">
        <f t="shared" si="23"/>
        <v>1</v>
      </c>
      <c r="BB60" s="210">
        <f t="shared" si="46"/>
        <v>3.3333333333333335</v>
      </c>
    </row>
    <row r="61" spans="1:54" ht="31.5" x14ac:dyDescent="0.2">
      <c r="A61" s="183" t="s">
        <v>161</v>
      </c>
      <c r="B61" s="201" t="s">
        <v>339</v>
      </c>
      <c r="C61" s="214">
        <v>137</v>
      </c>
      <c r="D61" s="97">
        <f t="shared" si="146"/>
        <v>137</v>
      </c>
      <c r="E61" s="214">
        <v>215</v>
      </c>
      <c r="F61" s="99">
        <f t="shared" si="25"/>
        <v>156.93430656934305</v>
      </c>
      <c r="G61" s="214"/>
      <c r="H61" s="97">
        <f t="shared" si="146"/>
        <v>0</v>
      </c>
      <c r="I61" s="214"/>
      <c r="J61" s="99">
        <f t="shared" si="26"/>
        <v>0</v>
      </c>
      <c r="K61" s="236">
        <f t="shared" si="27"/>
        <v>137</v>
      </c>
      <c r="L61" s="236">
        <f t="shared" si="28"/>
        <v>137</v>
      </c>
      <c r="M61" s="236">
        <f t="shared" si="29"/>
        <v>215</v>
      </c>
      <c r="N61" s="235">
        <f t="shared" si="30"/>
        <v>156.93430656934305</v>
      </c>
      <c r="O61" s="214">
        <v>9</v>
      </c>
      <c r="P61" s="115">
        <f t="shared" si="31"/>
        <v>9</v>
      </c>
      <c r="Q61" s="214">
        <v>9</v>
      </c>
      <c r="R61" s="99">
        <f t="shared" si="32"/>
        <v>100</v>
      </c>
      <c r="S61" s="214">
        <v>3</v>
      </c>
      <c r="T61" s="115">
        <f t="shared" si="33"/>
        <v>3</v>
      </c>
      <c r="U61" s="214">
        <v>3</v>
      </c>
      <c r="V61" s="99">
        <f t="shared" si="34"/>
        <v>100</v>
      </c>
      <c r="W61" s="214">
        <v>93</v>
      </c>
      <c r="X61" s="331">
        <v>93</v>
      </c>
      <c r="Y61" s="214">
        <v>77</v>
      </c>
      <c r="Z61" s="99">
        <f t="shared" si="35"/>
        <v>82.795698924731184</v>
      </c>
      <c r="AA61" s="210">
        <f t="shared" si="36"/>
        <v>105</v>
      </c>
      <c r="AB61" s="210">
        <f t="shared" si="36"/>
        <v>105</v>
      </c>
      <c r="AC61" s="210">
        <f t="shared" si="36"/>
        <v>89</v>
      </c>
      <c r="AD61" s="210">
        <f t="shared" si="37"/>
        <v>84.761904761904759</v>
      </c>
      <c r="AE61" s="214">
        <v>21</v>
      </c>
      <c r="AF61" s="97">
        <f t="shared" si="38"/>
        <v>21</v>
      </c>
      <c r="AG61" s="214">
        <v>25</v>
      </c>
      <c r="AH61" s="99">
        <f t="shared" si="39"/>
        <v>119.04761904761905</v>
      </c>
      <c r="AI61" s="214">
        <v>2</v>
      </c>
      <c r="AJ61" s="97">
        <f t="shared" si="12"/>
        <v>2</v>
      </c>
      <c r="AK61" s="214">
        <v>5</v>
      </c>
      <c r="AL61" s="99">
        <f t="shared" si="40"/>
        <v>250</v>
      </c>
      <c r="AM61" s="214">
        <v>55</v>
      </c>
      <c r="AN61" s="97">
        <v>55</v>
      </c>
      <c r="AO61" s="214">
        <v>1</v>
      </c>
      <c r="AP61" s="99">
        <f t="shared" si="42"/>
        <v>1.8181818181818181</v>
      </c>
      <c r="AQ61" s="210">
        <f t="shared" si="16"/>
        <v>320</v>
      </c>
      <c r="AR61" s="210">
        <f t="shared" si="17"/>
        <v>320</v>
      </c>
      <c r="AS61" s="210">
        <f t="shared" si="18"/>
        <v>335</v>
      </c>
      <c r="AT61" s="210">
        <f t="shared" si="43"/>
        <v>104.6875</v>
      </c>
      <c r="AU61" s="214">
        <v>31</v>
      </c>
      <c r="AV61" s="97">
        <f t="shared" si="44"/>
        <v>31</v>
      </c>
      <c r="AW61" s="214">
        <v>0</v>
      </c>
      <c r="AX61" s="99">
        <f t="shared" si="45"/>
        <v>0</v>
      </c>
      <c r="AY61" s="210">
        <f t="shared" si="21"/>
        <v>31</v>
      </c>
      <c r="AZ61" s="210">
        <f t="shared" si="22"/>
        <v>31</v>
      </c>
      <c r="BA61" s="210">
        <f t="shared" si="23"/>
        <v>0</v>
      </c>
      <c r="BB61" s="210">
        <f t="shared" si="46"/>
        <v>0</v>
      </c>
    </row>
    <row r="62" spans="1:54" ht="31.5" x14ac:dyDescent="0.2">
      <c r="A62" s="183" t="s">
        <v>162</v>
      </c>
      <c r="B62" s="201" t="s">
        <v>339</v>
      </c>
      <c r="C62" s="214">
        <v>124</v>
      </c>
      <c r="D62" s="97">
        <f t="shared" ref="D62:H77" si="197">ROUND(C62/12*$A$7,0)</f>
        <v>124</v>
      </c>
      <c r="E62" s="214">
        <v>467</v>
      </c>
      <c r="F62" s="99">
        <f t="shared" si="25"/>
        <v>376.61290322580646</v>
      </c>
      <c r="G62" s="214"/>
      <c r="H62" s="97">
        <f t="shared" si="197"/>
        <v>0</v>
      </c>
      <c r="I62" s="214"/>
      <c r="J62" s="99">
        <f t="shared" si="26"/>
        <v>0</v>
      </c>
      <c r="K62" s="236">
        <f t="shared" si="27"/>
        <v>124</v>
      </c>
      <c r="L62" s="236">
        <f t="shared" si="28"/>
        <v>124</v>
      </c>
      <c r="M62" s="236">
        <f t="shared" si="29"/>
        <v>467</v>
      </c>
      <c r="N62" s="235">
        <f t="shared" si="30"/>
        <v>376.61290322580646</v>
      </c>
      <c r="O62" s="214">
        <v>13</v>
      </c>
      <c r="P62" s="115">
        <f t="shared" si="31"/>
        <v>13</v>
      </c>
      <c r="Q62" s="214">
        <v>13</v>
      </c>
      <c r="R62" s="99">
        <f t="shared" si="32"/>
        <v>100</v>
      </c>
      <c r="S62" s="214">
        <v>12</v>
      </c>
      <c r="T62" s="115">
        <f t="shared" si="33"/>
        <v>12</v>
      </c>
      <c r="U62" s="214">
        <v>12</v>
      </c>
      <c r="V62" s="99">
        <f t="shared" si="34"/>
        <v>100</v>
      </c>
      <c r="W62" s="214">
        <v>245</v>
      </c>
      <c r="X62" s="331">
        <v>245</v>
      </c>
      <c r="Y62" s="214">
        <v>254</v>
      </c>
      <c r="Z62" s="99">
        <f t="shared" si="35"/>
        <v>103.67346938775511</v>
      </c>
      <c r="AA62" s="210">
        <f t="shared" si="36"/>
        <v>270</v>
      </c>
      <c r="AB62" s="210">
        <f t="shared" si="36"/>
        <v>270</v>
      </c>
      <c r="AC62" s="210">
        <f t="shared" si="36"/>
        <v>279</v>
      </c>
      <c r="AD62" s="210">
        <f t="shared" si="37"/>
        <v>103.33333333333334</v>
      </c>
      <c r="AE62" s="214">
        <v>34</v>
      </c>
      <c r="AF62" s="97">
        <f t="shared" si="38"/>
        <v>34</v>
      </c>
      <c r="AG62" s="214">
        <v>48</v>
      </c>
      <c r="AH62" s="99">
        <f t="shared" si="39"/>
        <v>141.1764705882353</v>
      </c>
      <c r="AI62" s="214">
        <v>11</v>
      </c>
      <c r="AJ62" s="97">
        <f t="shared" si="12"/>
        <v>11</v>
      </c>
      <c r="AK62" s="214">
        <v>16</v>
      </c>
      <c r="AL62" s="99">
        <f t="shared" si="40"/>
        <v>145.45454545454547</v>
      </c>
      <c r="AM62" s="214">
        <v>68</v>
      </c>
      <c r="AN62" s="97">
        <v>68</v>
      </c>
      <c r="AO62" s="214">
        <v>4</v>
      </c>
      <c r="AP62" s="99">
        <f t="shared" si="42"/>
        <v>5.8823529411764701</v>
      </c>
      <c r="AQ62" s="210">
        <f t="shared" si="16"/>
        <v>507</v>
      </c>
      <c r="AR62" s="210">
        <f t="shared" si="17"/>
        <v>507</v>
      </c>
      <c r="AS62" s="210">
        <f t="shared" si="18"/>
        <v>814</v>
      </c>
      <c r="AT62" s="210">
        <f t="shared" si="43"/>
        <v>160.55226824457594</v>
      </c>
      <c r="AU62" s="214">
        <v>35</v>
      </c>
      <c r="AV62" s="97">
        <f t="shared" si="44"/>
        <v>35</v>
      </c>
      <c r="AW62" s="214">
        <v>2</v>
      </c>
      <c r="AX62" s="99">
        <f t="shared" si="45"/>
        <v>5.7142857142857144</v>
      </c>
      <c r="AY62" s="210">
        <f t="shared" si="21"/>
        <v>35</v>
      </c>
      <c r="AZ62" s="210">
        <f t="shared" si="22"/>
        <v>35</v>
      </c>
      <c r="BA62" s="210">
        <f t="shared" si="23"/>
        <v>2</v>
      </c>
      <c r="BB62" s="210">
        <f t="shared" si="46"/>
        <v>5.7142857142857144</v>
      </c>
    </row>
    <row r="63" spans="1:54" ht="31.5" x14ac:dyDescent="0.2">
      <c r="A63" s="183" t="s">
        <v>163</v>
      </c>
      <c r="B63" s="201" t="s">
        <v>339</v>
      </c>
      <c r="C63" s="214">
        <v>154</v>
      </c>
      <c r="D63" s="97">
        <f t="shared" si="197"/>
        <v>154</v>
      </c>
      <c r="E63" s="214">
        <v>248</v>
      </c>
      <c r="F63" s="99">
        <f t="shared" si="25"/>
        <v>161.03896103896105</v>
      </c>
      <c r="G63" s="214"/>
      <c r="H63" s="97">
        <f t="shared" si="197"/>
        <v>0</v>
      </c>
      <c r="I63" s="214"/>
      <c r="J63" s="99">
        <f t="shared" si="26"/>
        <v>0</v>
      </c>
      <c r="K63" s="236">
        <f t="shared" si="27"/>
        <v>154</v>
      </c>
      <c r="L63" s="236">
        <f t="shared" si="28"/>
        <v>154</v>
      </c>
      <c r="M63" s="236">
        <f t="shared" si="29"/>
        <v>248</v>
      </c>
      <c r="N63" s="235">
        <f t="shared" si="30"/>
        <v>161.03896103896105</v>
      </c>
      <c r="O63" s="214">
        <v>1</v>
      </c>
      <c r="P63" s="115">
        <f t="shared" si="31"/>
        <v>1</v>
      </c>
      <c r="Q63" s="214">
        <v>1</v>
      </c>
      <c r="R63" s="99">
        <f t="shared" si="32"/>
        <v>100</v>
      </c>
      <c r="S63" s="214">
        <v>3</v>
      </c>
      <c r="T63" s="115">
        <f t="shared" si="33"/>
        <v>3</v>
      </c>
      <c r="U63" s="214">
        <v>3</v>
      </c>
      <c r="V63" s="99">
        <f t="shared" si="34"/>
        <v>100</v>
      </c>
      <c r="W63" s="214">
        <v>110</v>
      </c>
      <c r="X63" s="331">
        <v>110</v>
      </c>
      <c r="Y63" s="214">
        <v>131</v>
      </c>
      <c r="Z63" s="99">
        <f t="shared" si="35"/>
        <v>119.09090909090909</v>
      </c>
      <c r="AA63" s="210">
        <f t="shared" si="36"/>
        <v>114</v>
      </c>
      <c r="AB63" s="210">
        <f t="shared" si="36"/>
        <v>114</v>
      </c>
      <c r="AC63" s="210">
        <f t="shared" si="36"/>
        <v>135</v>
      </c>
      <c r="AD63" s="210">
        <f t="shared" si="37"/>
        <v>118.42105263157893</v>
      </c>
      <c r="AE63" s="214">
        <v>21</v>
      </c>
      <c r="AF63" s="97">
        <f t="shared" si="38"/>
        <v>21</v>
      </c>
      <c r="AG63" s="214">
        <v>20</v>
      </c>
      <c r="AH63" s="99">
        <f t="shared" si="39"/>
        <v>95.238095238095227</v>
      </c>
      <c r="AI63" s="214">
        <v>5</v>
      </c>
      <c r="AJ63" s="97">
        <f t="shared" si="12"/>
        <v>5</v>
      </c>
      <c r="AK63" s="214">
        <v>7</v>
      </c>
      <c r="AL63" s="99">
        <f t="shared" si="40"/>
        <v>140</v>
      </c>
      <c r="AM63" s="214">
        <v>58</v>
      </c>
      <c r="AN63" s="97">
        <v>58</v>
      </c>
      <c r="AO63" s="214">
        <v>0</v>
      </c>
      <c r="AP63" s="99">
        <f t="shared" si="42"/>
        <v>0</v>
      </c>
      <c r="AQ63" s="210">
        <f t="shared" si="16"/>
        <v>352</v>
      </c>
      <c r="AR63" s="210">
        <f t="shared" si="17"/>
        <v>352</v>
      </c>
      <c r="AS63" s="210">
        <f t="shared" si="18"/>
        <v>410</v>
      </c>
      <c r="AT63" s="210">
        <f t="shared" si="43"/>
        <v>116.47727272727273</v>
      </c>
      <c r="AU63" s="214">
        <v>43</v>
      </c>
      <c r="AV63" s="97">
        <f t="shared" si="44"/>
        <v>43</v>
      </c>
      <c r="AW63" s="214">
        <v>0</v>
      </c>
      <c r="AX63" s="99">
        <f t="shared" si="45"/>
        <v>0</v>
      </c>
      <c r="AY63" s="210">
        <f t="shared" si="21"/>
        <v>43</v>
      </c>
      <c r="AZ63" s="210">
        <f t="shared" si="22"/>
        <v>43</v>
      </c>
      <c r="BA63" s="210">
        <f t="shared" si="23"/>
        <v>0</v>
      </c>
      <c r="BB63" s="210">
        <f t="shared" si="46"/>
        <v>0</v>
      </c>
    </row>
    <row r="64" spans="1:54" ht="31.5" x14ac:dyDescent="0.2">
      <c r="A64" s="183" t="s">
        <v>164</v>
      </c>
      <c r="B64" s="201" t="s">
        <v>339</v>
      </c>
      <c r="C64" s="214">
        <v>126</v>
      </c>
      <c r="D64" s="97">
        <f t="shared" si="197"/>
        <v>126</v>
      </c>
      <c r="E64" s="214">
        <v>8</v>
      </c>
      <c r="F64" s="99">
        <f t="shared" si="25"/>
        <v>6.3492063492063489</v>
      </c>
      <c r="G64" s="214"/>
      <c r="H64" s="97">
        <f t="shared" si="197"/>
        <v>0</v>
      </c>
      <c r="I64" s="214"/>
      <c r="J64" s="99">
        <f t="shared" si="26"/>
        <v>0</v>
      </c>
      <c r="K64" s="236">
        <f t="shared" si="27"/>
        <v>126</v>
      </c>
      <c r="L64" s="236">
        <f t="shared" si="28"/>
        <v>126</v>
      </c>
      <c r="M64" s="236">
        <f t="shared" si="29"/>
        <v>8</v>
      </c>
      <c r="N64" s="235">
        <f t="shared" si="30"/>
        <v>6.3492063492063489</v>
      </c>
      <c r="O64" s="214">
        <v>9</v>
      </c>
      <c r="P64" s="115">
        <f t="shared" si="31"/>
        <v>9</v>
      </c>
      <c r="Q64" s="214">
        <v>9</v>
      </c>
      <c r="R64" s="99">
        <f t="shared" si="32"/>
        <v>100</v>
      </c>
      <c r="S64" s="214">
        <v>6</v>
      </c>
      <c r="T64" s="115">
        <f t="shared" si="33"/>
        <v>6</v>
      </c>
      <c r="U64" s="214">
        <v>6</v>
      </c>
      <c r="V64" s="99">
        <f t="shared" si="34"/>
        <v>100</v>
      </c>
      <c r="W64" s="214">
        <v>79</v>
      </c>
      <c r="X64" s="331">
        <v>79</v>
      </c>
      <c r="Y64" s="214">
        <v>52</v>
      </c>
      <c r="Z64" s="99">
        <f t="shared" si="35"/>
        <v>65.822784810126578</v>
      </c>
      <c r="AA64" s="210">
        <f t="shared" si="36"/>
        <v>94</v>
      </c>
      <c r="AB64" s="210">
        <f t="shared" si="36"/>
        <v>94</v>
      </c>
      <c r="AC64" s="210">
        <f t="shared" si="36"/>
        <v>67</v>
      </c>
      <c r="AD64" s="210">
        <f t="shared" si="37"/>
        <v>71.276595744680847</v>
      </c>
      <c r="AE64" s="214">
        <v>16</v>
      </c>
      <c r="AF64" s="97">
        <f t="shared" si="38"/>
        <v>16</v>
      </c>
      <c r="AG64" s="214">
        <v>28</v>
      </c>
      <c r="AH64" s="99">
        <f t="shared" si="39"/>
        <v>175</v>
      </c>
      <c r="AI64" s="214">
        <v>2</v>
      </c>
      <c r="AJ64" s="97">
        <f t="shared" si="12"/>
        <v>2</v>
      </c>
      <c r="AK64" s="214">
        <v>8</v>
      </c>
      <c r="AL64" s="99">
        <f t="shared" si="40"/>
        <v>400</v>
      </c>
      <c r="AM64" s="214">
        <v>56</v>
      </c>
      <c r="AN64" s="97">
        <v>56</v>
      </c>
      <c r="AO64" s="214">
        <v>20</v>
      </c>
      <c r="AP64" s="99">
        <f t="shared" si="42"/>
        <v>35.714285714285715</v>
      </c>
      <c r="AQ64" s="210">
        <f t="shared" si="16"/>
        <v>294</v>
      </c>
      <c r="AR64" s="210">
        <f t="shared" si="17"/>
        <v>294</v>
      </c>
      <c r="AS64" s="210">
        <f t="shared" si="18"/>
        <v>131</v>
      </c>
      <c r="AT64" s="210">
        <f t="shared" si="43"/>
        <v>44.557823129251702</v>
      </c>
      <c r="AU64" s="214">
        <v>28</v>
      </c>
      <c r="AV64" s="97">
        <f t="shared" si="44"/>
        <v>28</v>
      </c>
      <c r="AW64" s="214">
        <v>0</v>
      </c>
      <c r="AX64" s="99">
        <f t="shared" si="45"/>
        <v>0</v>
      </c>
      <c r="AY64" s="210">
        <f t="shared" si="21"/>
        <v>28</v>
      </c>
      <c r="AZ64" s="210">
        <f t="shared" si="22"/>
        <v>28</v>
      </c>
      <c r="BA64" s="210">
        <f t="shared" si="23"/>
        <v>0</v>
      </c>
      <c r="BB64" s="210">
        <f t="shared" si="46"/>
        <v>0</v>
      </c>
    </row>
    <row r="65" spans="1:54" ht="31.5" x14ac:dyDescent="0.2">
      <c r="A65" s="183" t="s">
        <v>165</v>
      </c>
      <c r="B65" s="201" t="s">
        <v>339</v>
      </c>
      <c r="C65" s="214">
        <v>140</v>
      </c>
      <c r="D65" s="97">
        <f t="shared" si="197"/>
        <v>140</v>
      </c>
      <c r="E65" s="214">
        <v>214</v>
      </c>
      <c r="F65" s="99">
        <f t="shared" si="25"/>
        <v>152.85714285714283</v>
      </c>
      <c r="G65" s="214"/>
      <c r="H65" s="97">
        <f t="shared" si="197"/>
        <v>0</v>
      </c>
      <c r="I65" s="214"/>
      <c r="J65" s="99">
        <f t="shared" si="26"/>
        <v>0</v>
      </c>
      <c r="K65" s="236">
        <f t="shared" si="27"/>
        <v>140</v>
      </c>
      <c r="L65" s="236">
        <f t="shared" si="28"/>
        <v>140</v>
      </c>
      <c r="M65" s="236">
        <f t="shared" si="29"/>
        <v>214</v>
      </c>
      <c r="N65" s="235">
        <f t="shared" si="30"/>
        <v>152.85714285714283</v>
      </c>
      <c r="O65" s="214">
        <v>28</v>
      </c>
      <c r="P65" s="115">
        <f t="shared" si="31"/>
        <v>28</v>
      </c>
      <c r="Q65" s="214">
        <v>28</v>
      </c>
      <c r="R65" s="99">
        <f t="shared" si="32"/>
        <v>100</v>
      </c>
      <c r="S65" s="214">
        <v>3</v>
      </c>
      <c r="T65" s="115">
        <f t="shared" si="33"/>
        <v>3</v>
      </c>
      <c r="U65" s="214">
        <v>3</v>
      </c>
      <c r="V65" s="99">
        <f t="shared" si="34"/>
        <v>100</v>
      </c>
      <c r="W65" s="214">
        <v>68</v>
      </c>
      <c r="X65" s="331">
        <v>68</v>
      </c>
      <c r="Y65" s="214">
        <v>55</v>
      </c>
      <c r="Z65" s="99">
        <f t="shared" si="35"/>
        <v>80.882352941176478</v>
      </c>
      <c r="AA65" s="210">
        <f t="shared" si="36"/>
        <v>99</v>
      </c>
      <c r="AB65" s="210">
        <f t="shared" si="36"/>
        <v>99</v>
      </c>
      <c r="AC65" s="210">
        <f t="shared" si="36"/>
        <v>86</v>
      </c>
      <c r="AD65" s="210">
        <f t="shared" si="37"/>
        <v>86.868686868686879</v>
      </c>
      <c r="AE65" s="214">
        <v>25</v>
      </c>
      <c r="AF65" s="97">
        <f t="shared" si="38"/>
        <v>25</v>
      </c>
      <c r="AG65" s="214">
        <v>23</v>
      </c>
      <c r="AH65" s="99">
        <f t="shared" si="39"/>
        <v>92</v>
      </c>
      <c r="AI65" s="214">
        <v>2</v>
      </c>
      <c r="AJ65" s="97">
        <f t="shared" si="12"/>
        <v>2</v>
      </c>
      <c r="AK65" s="214">
        <v>8</v>
      </c>
      <c r="AL65" s="99">
        <f t="shared" si="40"/>
        <v>400</v>
      </c>
      <c r="AM65" s="214">
        <v>50</v>
      </c>
      <c r="AN65" s="97">
        <v>50</v>
      </c>
      <c r="AO65" s="214">
        <v>37</v>
      </c>
      <c r="AP65" s="99">
        <f t="shared" si="42"/>
        <v>74</v>
      </c>
      <c r="AQ65" s="210">
        <f t="shared" si="16"/>
        <v>316</v>
      </c>
      <c r="AR65" s="210">
        <f t="shared" si="17"/>
        <v>316</v>
      </c>
      <c r="AS65" s="210">
        <f t="shared" si="18"/>
        <v>368</v>
      </c>
      <c r="AT65" s="210">
        <f t="shared" si="43"/>
        <v>116.45569620253164</v>
      </c>
      <c r="AU65" s="214">
        <v>29</v>
      </c>
      <c r="AV65" s="97">
        <f t="shared" si="44"/>
        <v>29</v>
      </c>
      <c r="AW65" s="214">
        <v>0</v>
      </c>
      <c r="AX65" s="99">
        <f t="shared" si="45"/>
        <v>0</v>
      </c>
      <c r="AY65" s="210">
        <f t="shared" si="21"/>
        <v>29</v>
      </c>
      <c r="AZ65" s="210">
        <f t="shared" si="22"/>
        <v>29</v>
      </c>
      <c r="BA65" s="210">
        <f t="shared" si="23"/>
        <v>0</v>
      </c>
      <c r="BB65" s="210">
        <f t="shared" si="46"/>
        <v>0</v>
      </c>
    </row>
    <row r="66" spans="1:54" ht="31.5" x14ac:dyDescent="0.2">
      <c r="A66" s="183" t="s">
        <v>166</v>
      </c>
      <c r="B66" s="201" t="s">
        <v>339</v>
      </c>
      <c r="C66" s="214">
        <v>102</v>
      </c>
      <c r="D66" s="97">
        <f t="shared" si="197"/>
        <v>102</v>
      </c>
      <c r="E66" s="214">
        <v>255</v>
      </c>
      <c r="F66" s="99">
        <f t="shared" si="25"/>
        <v>250</v>
      </c>
      <c r="G66" s="214"/>
      <c r="H66" s="97">
        <f t="shared" si="197"/>
        <v>0</v>
      </c>
      <c r="I66" s="214"/>
      <c r="J66" s="99">
        <f t="shared" si="26"/>
        <v>0</v>
      </c>
      <c r="K66" s="236">
        <f t="shared" si="27"/>
        <v>102</v>
      </c>
      <c r="L66" s="236">
        <f t="shared" si="28"/>
        <v>102</v>
      </c>
      <c r="M66" s="236">
        <f t="shared" si="29"/>
        <v>255</v>
      </c>
      <c r="N66" s="235">
        <f t="shared" si="30"/>
        <v>250</v>
      </c>
      <c r="O66" s="214">
        <v>6</v>
      </c>
      <c r="P66" s="115">
        <f t="shared" si="31"/>
        <v>6</v>
      </c>
      <c r="Q66" s="214">
        <v>6</v>
      </c>
      <c r="R66" s="99">
        <f t="shared" si="32"/>
        <v>100</v>
      </c>
      <c r="S66" s="214">
        <v>2</v>
      </c>
      <c r="T66" s="115">
        <f t="shared" si="33"/>
        <v>2</v>
      </c>
      <c r="U66" s="214">
        <v>2</v>
      </c>
      <c r="V66" s="99">
        <f t="shared" si="34"/>
        <v>100</v>
      </c>
      <c r="W66" s="214">
        <v>79</v>
      </c>
      <c r="X66" s="331">
        <v>79</v>
      </c>
      <c r="Y66" s="214">
        <v>106</v>
      </c>
      <c r="Z66" s="99">
        <f t="shared" si="35"/>
        <v>134.17721518987344</v>
      </c>
      <c r="AA66" s="210">
        <f t="shared" si="36"/>
        <v>87</v>
      </c>
      <c r="AB66" s="210">
        <f t="shared" si="36"/>
        <v>87</v>
      </c>
      <c r="AC66" s="210">
        <f t="shared" si="36"/>
        <v>114</v>
      </c>
      <c r="AD66" s="210">
        <f t="shared" si="37"/>
        <v>131.0344827586207</v>
      </c>
      <c r="AE66" s="214">
        <v>18</v>
      </c>
      <c r="AF66" s="97">
        <f t="shared" si="38"/>
        <v>18</v>
      </c>
      <c r="AG66" s="214">
        <v>36</v>
      </c>
      <c r="AH66" s="99">
        <f t="shared" si="39"/>
        <v>200</v>
      </c>
      <c r="AI66" s="214">
        <v>9</v>
      </c>
      <c r="AJ66" s="97">
        <f t="shared" si="12"/>
        <v>9</v>
      </c>
      <c r="AK66" s="214">
        <v>10</v>
      </c>
      <c r="AL66" s="99">
        <f t="shared" si="40"/>
        <v>111.11111111111111</v>
      </c>
      <c r="AM66" s="214">
        <v>54</v>
      </c>
      <c r="AN66" s="97">
        <v>54</v>
      </c>
      <c r="AO66" s="214">
        <v>4</v>
      </c>
      <c r="AP66" s="99">
        <f t="shared" si="42"/>
        <v>7.4074074074074066</v>
      </c>
      <c r="AQ66" s="210">
        <f t="shared" si="16"/>
        <v>270</v>
      </c>
      <c r="AR66" s="210">
        <f t="shared" si="17"/>
        <v>270</v>
      </c>
      <c r="AS66" s="210">
        <f t="shared" si="18"/>
        <v>419</v>
      </c>
      <c r="AT66" s="210">
        <f t="shared" si="43"/>
        <v>155.18518518518519</v>
      </c>
      <c r="AU66" s="214">
        <v>28</v>
      </c>
      <c r="AV66" s="97">
        <f t="shared" si="44"/>
        <v>28</v>
      </c>
      <c r="AW66" s="214">
        <v>0</v>
      </c>
      <c r="AX66" s="99">
        <f t="shared" si="45"/>
        <v>0</v>
      </c>
      <c r="AY66" s="210">
        <f t="shared" si="21"/>
        <v>28</v>
      </c>
      <c r="AZ66" s="210">
        <f t="shared" si="22"/>
        <v>28</v>
      </c>
      <c r="BA66" s="210">
        <f t="shared" si="23"/>
        <v>0</v>
      </c>
      <c r="BB66" s="210">
        <f t="shared" si="46"/>
        <v>0</v>
      </c>
    </row>
    <row r="67" spans="1:54" ht="31.5" x14ac:dyDescent="0.2">
      <c r="A67" s="183" t="s">
        <v>167</v>
      </c>
      <c r="B67" s="201" t="s">
        <v>339</v>
      </c>
      <c r="C67" s="214">
        <v>119</v>
      </c>
      <c r="D67" s="97">
        <f t="shared" si="197"/>
        <v>119</v>
      </c>
      <c r="E67" s="214">
        <v>241</v>
      </c>
      <c r="F67" s="99">
        <f t="shared" si="25"/>
        <v>202.52100840336135</v>
      </c>
      <c r="G67" s="214"/>
      <c r="H67" s="97">
        <f t="shared" si="197"/>
        <v>0</v>
      </c>
      <c r="I67" s="214"/>
      <c r="J67" s="99">
        <f t="shared" si="26"/>
        <v>0</v>
      </c>
      <c r="K67" s="236">
        <f t="shared" si="27"/>
        <v>119</v>
      </c>
      <c r="L67" s="236">
        <f t="shared" si="28"/>
        <v>119</v>
      </c>
      <c r="M67" s="236">
        <f t="shared" si="29"/>
        <v>241</v>
      </c>
      <c r="N67" s="235">
        <f t="shared" si="30"/>
        <v>202.52100840336135</v>
      </c>
      <c r="O67" s="214">
        <v>2</v>
      </c>
      <c r="P67" s="115">
        <f t="shared" si="31"/>
        <v>2</v>
      </c>
      <c r="Q67" s="214">
        <v>2</v>
      </c>
      <c r="R67" s="99">
        <f t="shared" si="32"/>
        <v>100</v>
      </c>
      <c r="S67" s="214">
        <v>5</v>
      </c>
      <c r="T67" s="115">
        <f t="shared" si="33"/>
        <v>5</v>
      </c>
      <c r="U67" s="214">
        <v>5</v>
      </c>
      <c r="V67" s="99">
        <f t="shared" si="34"/>
        <v>100</v>
      </c>
      <c r="W67" s="214">
        <v>93</v>
      </c>
      <c r="X67" s="331">
        <v>93</v>
      </c>
      <c r="Y67" s="214">
        <v>57</v>
      </c>
      <c r="Z67" s="99">
        <f t="shared" si="35"/>
        <v>61.29032258064516</v>
      </c>
      <c r="AA67" s="210">
        <f t="shared" si="36"/>
        <v>100</v>
      </c>
      <c r="AB67" s="210">
        <f t="shared" si="36"/>
        <v>100</v>
      </c>
      <c r="AC67" s="210">
        <f t="shared" si="36"/>
        <v>64</v>
      </c>
      <c r="AD67" s="210">
        <f t="shared" si="37"/>
        <v>64</v>
      </c>
      <c r="AE67" s="214">
        <v>12</v>
      </c>
      <c r="AF67" s="97">
        <f t="shared" si="38"/>
        <v>12</v>
      </c>
      <c r="AG67" s="214">
        <v>25</v>
      </c>
      <c r="AH67" s="99">
        <f t="shared" si="39"/>
        <v>208.33333333333334</v>
      </c>
      <c r="AI67" s="214">
        <v>5</v>
      </c>
      <c r="AJ67" s="97">
        <f t="shared" si="12"/>
        <v>5</v>
      </c>
      <c r="AK67" s="214">
        <v>9</v>
      </c>
      <c r="AL67" s="99">
        <f t="shared" si="40"/>
        <v>180</v>
      </c>
      <c r="AM67" s="214">
        <v>44</v>
      </c>
      <c r="AN67" s="97">
        <v>44</v>
      </c>
      <c r="AO67" s="214">
        <v>12</v>
      </c>
      <c r="AP67" s="99">
        <f t="shared" si="42"/>
        <v>27.27272727272727</v>
      </c>
      <c r="AQ67" s="210">
        <f t="shared" si="16"/>
        <v>280</v>
      </c>
      <c r="AR67" s="210">
        <f t="shared" si="17"/>
        <v>280</v>
      </c>
      <c r="AS67" s="210">
        <f t="shared" si="18"/>
        <v>351</v>
      </c>
      <c r="AT67" s="210">
        <f t="shared" si="43"/>
        <v>125.35714285714286</v>
      </c>
      <c r="AU67" s="214">
        <v>28</v>
      </c>
      <c r="AV67" s="97">
        <f t="shared" si="44"/>
        <v>28</v>
      </c>
      <c r="AW67" s="214">
        <v>0</v>
      </c>
      <c r="AX67" s="99">
        <f t="shared" si="45"/>
        <v>0</v>
      </c>
      <c r="AY67" s="210">
        <f t="shared" si="21"/>
        <v>28</v>
      </c>
      <c r="AZ67" s="210">
        <f t="shared" si="22"/>
        <v>28</v>
      </c>
      <c r="BA67" s="210">
        <f t="shared" si="23"/>
        <v>0</v>
      </c>
      <c r="BB67" s="210">
        <f t="shared" si="46"/>
        <v>0</v>
      </c>
    </row>
    <row r="68" spans="1:54" ht="31.5" x14ac:dyDescent="0.2">
      <c r="A68" s="183" t="s">
        <v>168</v>
      </c>
      <c r="B68" s="201" t="s">
        <v>339</v>
      </c>
      <c r="C68" s="214">
        <v>177</v>
      </c>
      <c r="D68" s="97">
        <f t="shared" si="197"/>
        <v>177</v>
      </c>
      <c r="E68" s="214">
        <v>271</v>
      </c>
      <c r="F68" s="99">
        <f t="shared" si="25"/>
        <v>153.10734463276836</v>
      </c>
      <c r="G68" s="214"/>
      <c r="H68" s="97">
        <f t="shared" si="197"/>
        <v>0</v>
      </c>
      <c r="I68" s="214"/>
      <c r="J68" s="99">
        <f t="shared" si="26"/>
        <v>0</v>
      </c>
      <c r="K68" s="236">
        <f t="shared" si="27"/>
        <v>177</v>
      </c>
      <c r="L68" s="236">
        <f t="shared" si="28"/>
        <v>177</v>
      </c>
      <c r="M68" s="236">
        <f t="shared" si="29"/>
        <v>271</v>
      </c>
      <c r="N68" s="235">
        <f t="shared" si="30"/>
        <v>153.10734463276836</v>
      </c>
      <c r="O68" s="214">
        <v>7</v>
      </c>
      <c r="P68" s="115">
        <f t="shared" si="31"/>
        <v>7</v>
      </c>
      <c r="Q68" s="214">
        <v>7</v>
      </c>
      <c r="R68" s="99">
        <f t="shared" si="32"/>
        <v>100</v>
      </c>
      <c r="S68" s="214">
        <v>3</v>
      </c>
      <c r="T68" s="115">
        <f t="shared" si="33"/>
        <v>3</v>
      </c>
      <c r="U68" s="214">
        <v>3</v>
      </c>
      <c r="V68" s="99">
        <f t="shared" si="34"/>
        <v>100</v>
      </c>
      <c r="W68" s="214">
        <v>65</v>
      </c>
      <c r="X68" s="331">
        <v>65</v>
      </c>
      <c r="Y68" s="214">
        <v>58</v>
      </c>
      <c r="Z68" s="99">
        <f t="shared" si="35"/>
        <v>89.230769230769241</v>
      </c>
      <c r="AA68" s="210">
        <f t="shared" si="36"/>
        <v>75</v>
      </c>
      <c r="AB68" s="210">
        <f t="shared" si="36"/>
        <v>75</v>
      </c>
      <c r="AC68" s="210">
        <f t="shared" si="36"/>
        <v>68</v>
      </c>
      <c r="AD68" s="210">
        <f t="shared" si="37"/>
        <v>90.666666666666657</v>
      </c>
      <c r="AE68" s="214">
        <v>14</v>
      </c>
      <c r="AF68" s="97">
        <f t="shared" si="38"/>
        <v>14</v>
      </c>
      <c r="AG68" s="214">
        <v>26</v>
      </c>
      <c r="AH68" s="99">
        <f t="shared" si="39"/>
        <v>185.71428571428572</v>
      </c>
      <c r="AI68" s="214">
        <v>3</v>
      </c>
      <c r="AJ68" s="97">
        <f t="shared" si="12"/>
        <v>3</v>
      </c>
      <c r="AK68" s="214">
        <v>5</v>
      </c>
      <c r="AL68" s="99">
        <f t="shared" si="40"/>
        <v>166.66666666666669</v>
      </c>
      <c r="AM68" s="214">
        <v>52</v>
      </c>
      <c r="AN68" s="97">
        <v>52</v>
      </c>
      <c r="AO68" s="214">
        <v>56</v>
      </c>
      <c r="AP68" s="99">
        <f t="shared" si="42"/>
        <v>107.69230769230769</v>
      </c>
      <c r="AQ68" s="210">
        <f t="shared" si="16"/>
        <v>321</v>
      </c>
      <c r="AR68" s="210">
        <f t="shared" si="17"/>
        <v>321</v>
      </c>
      <c r="AS68" s="210">
        <f t="shared" si="18"/>
        <v>426</v>
      </c>
      <c r="AT68" s="210">
        <f t="shared" si="43"/>
        <v>132.71028037383178</v>
      </c>
      <c r="AU68" s="214">
        <v>43</v>
      </c>
      <c r="AV68" s="97">
        <f t="shared" si="44"/>
        <v>43</v>
      </c>
      <c r="AW68" s="214">
        <v>0</v>
      </c>
      <c r="AX68" s="99">
        <f t="shared" si="45"/>
        <v>0</v>
      </c>
      <c r="AY68" s="210">
        <f t="shared" si="21"/>
        <v>43</v>
      </c>
      <c r="AZ68" s="210">
        <f t="shared" si="22"/>
        <v>43</v>
      </c>
      <c r="BA68" s="210">
        <f t="shared" si="23"/>
        <v>0</v>
      </c>
      <c r="BB68" s="210">
        <f t="shared" si="46"/>
        <v>0</v>
      </c>
    </row>
    <row r="69" spans="1:54" ht="31.5" x14ac:dyDescent="0.2">
      <c r="A69" s="183" t="s">
        <v>169</v>
      </c>
      <c r="B69" s="201" t="s">
        <v>339</v>
      </c>
      <c r="C69" s="214">
        <v>502</v>
      </c>
      <c r="D69" s="97">
        <f t="shared" si="197"/>
        <v>502</v>
      </c>
      <c r="E69" s="214">
        <v>731</v>
      </c>
      <c r="F69" s="99">
        <f t="shared" si="25"/>
        <v>145.61752988047809</v>
      </c>
      <c r="G69" s="214"/>
      <c r="H69" s="97">
        <f t="shared" si="197"/>
        <v>0</v>
      </c>
      <c r="I69" s="214"/>
      <c r="J69" s="99">
        <f t="shared" si="26"/>
        <v>0</v>
      </c>
      <c r="K69" s="236">
        <f t="shared" si="27"/>
        <v>502</v>
      </c>
      <c r="L69" s="236">
        <f t="shared" si="28"/>
        <v>502</v>
      </c>
      <c r="M69" s="236">
        <f t="shared" si="29"/>
        <v>731</v>
      </c>
      <c r="N69" s="235">
        <f t="shared" si="30"/>
        <v>145.61752988047809</v>
      </c>
      <c r="O69" s="214">
        <v>29</v>
      </c>
      <c r="P69" s="115">
        <f t="shared" si="31"/>
        <v>29</v>
      </c>
      <c r="Q69" s="214">
        <v>29</v>
      </c>
      <c r="R69" s="99">
        <f t="shared" si="32"/>
        <v>100</v>
      </c>
      <c r="S69" s="214">
        <v>2</v>
      </c>
      <c r="T69" s="115">
        <f t="shared" si="33"/>
        <v>2</v>
      </c>
      <c r="U69" s="214">
        <v>2</v>
      </c>
      <c r="V69" s="99">
        <f t="shared" si="34"/>
        <v>100</v>
      </c>
      <c r="W69" s="214">
        <v>209</v>
      </c>
      <c r="X69" s="331">
        <v>209</v>
      </c>
      <c r="Y69" s="214">
        <v>106</v>
      </c>
      <c r="Z69" s="99">
        <f t="shared" si="35"/>
        <v>50.717703349282296</v>
      </c>
      <c r="AA69" s="210">
        <f t="shared" si="36"/>
        <v>240</v>
      </c>
      <c r="AB69" s="210">
        <f t="shared" si="36"/>
        <v>240</v>
      </c>
      <c r="AC69" s="210">
        <f t="shared" si="36"/>
        <v>137</v>
      </c>
      <c r="AD69" s="210">
        <f t="shared" si="37"/>
        <v>57.083333333333329</v>
      </c>
      <c r="AE69" s="214">
        <v>48</v>
      </c>
      <c r="AF69" s="97">
        <f t="shared" si="38"/>
        <v>48</v>
      </c>
      <c r="AG69" s="214">
        <v>73</v>
      </c>
      <c r="AH69" s="99">
        <f t="shared" si="39"/>
        <v>152.08333333333331</v>
      </c>
      <c r="AI69" s="214">
        <v>3</v>
      </c>
      <c r="AJ69" s="97">
        <f t="shared" si="12"/>
        <v>3</v>
      </c>
      <c r="AK69" s="214">
        <v>8</v>
      </c>
      <c r="AL69" s="99">
        <f t="shared" si="40"/>
        <v>266.66666666666663</v>
      </c>
      <c r="AM69" s="214">
        <v>150</v>
      </c>
      <c r="AN69" s="97">
        <v>150</v>
      </c>
      <c r="AO69" s="214">
        <v>149</v>
      </c>
      <c r="AP69" s="99">
        <f t="shared" si="42"/>
        <v>99.333333333333329</v>
      </c>
      <c r="AQ69" s="210">
        <f t="shared" si="16"/>
        <v>943</v>
      </c>
      <c r="AR69" s="210">
        <f t="shared" si="17"/>
        <v>943</v>
      </c>
      <c r="AS69" s="210">
        <f t="shared" si="18"/>
        <v>1098</v>
      </c>
      <c r="AT69" s="210">
        <f t="shared" si="43"/>
        <v>116.43690349946978</v>
      </c>
      <c r="AU69" s="214">
        <v>142</v>
      </c>
      <c r="AV69" s="97">
        <f t="shared" si="44"/>
        <v>142</v>
      </c>
      <c r="AW69" s="214">
        <v>0</v>
      </c>
      <c r="AX69" s="99">
        <f t="shared" si="45"/>
        <v>0</v>
      </c>
      <c r="AY69" s="210">
        <f t="shared" si="21"/>
        <v>142</v>
      </c>
      <c r="AZ69" s="210">
        <f t="shared" si="22"/>
        <v>142</v>
      </c>
      <c r="BA69" s="210">
        <f t="shared" si="23"/>
        <v>0</v>
      </c>
      <c r="BB69" s="210">
        <f t="shared" si="46"/>
        <v>0</v>
      </c>
    </row>
    <row r="70" spans="1:54" ht="31.5" x14ac:dyDescent="0.2">
      <c r="A70" s="176" t="s">
        <v>170</v>
      </c>
      <c r="B70" s="197" t="s">
        <v>3</v>
      </c>
      <c r="C70" s="218">
        <f t="shared" ref="C70:G70" si="198">C71*7+C72*8+C73*8</f>
        <v>9442</v>
      </c>
      <c r="D70" s="218">
        <f t="shared" si="198"/>
        <v>9442</v>
      </c>
      <c r="E70" s="218">
        <f t="shared" ref="E70:I70" si="199">E71*7+E72*8+E73*8</f>
        <v>4202</v>
      </c>
      <c r="F70" s="179">
        <f t="shared" si="25"/>
        <v>44.503283202711295</v>
      </c>
      <c r="G70" s="218">
        <f t="shared" si="198"/>
        <v>0</v>
      </c>
      <c r="H70" s="184">
        <f t="shared" si="197"/>
        <v>0</v>
      </c>
      <c r="I70" s="218">
        <f t="shared" si="199"/>
        <v>0</v>
      </c>
      <c r="J70" s="179">
        <f t="shared" si="26"/>
        <v>0</v>
      </c>
      <c r="K70" s="236">
        <f t="shared" si="27"/>
        <v>9442</v>
      </c>
      <c r="L70" s="236">
        <f t="shared" si="28"/>
        <v>9442</v>
      </c>
      <c r="M70" s="236">
        <f t="shared" si="29"/>
        <v>4202</v>
      </c>
      <c r="N70" s="235">
        <f t="shared" si="30"/>
        <v>44.503283202711295</v>
      </c>
      <c r="O70" s="218">
        <f t="shared" ref="O70" si="200">O71*7+O72*8+O73*8</f>
        <v>98</v>
      </c>
      <c r="P70" s="115">
        <f t="shared" si="31"/>
        <v>98</v>
      </c>
      <c r="Q70" s="218">
        <f t="shared" ref="Q70" si="201">Q71*7+Q72*8+Q73*8</f>
        <v>98</v>
      </c>
      <c r="R70" s="179">
        <f t="shared" si="32"/>
        <v>100</v>
      </c>
      <c r="S70" s="218">
        <f t="shared" ref="S70" si="202">S71*7+S72*8+S73*8</f>
        <v>0</v>
      </c>
      <c r="T70" s="115">
        <f t="shared" si="33"/>
        <v>0</v>
      </c>
      <c r="U70" s="218">
        <f t="shared" ref="U70" si="203">U71*7+U72*8+U73*8</f>
        <v>0</v>
      </c>
      <c r="V70" s="179">
        <f t="shared" si="34"/>
        <v>0</v>
      </c>
      <c r="W70" s="218">
        <f t="shared" ref="W70:X70" si="204">W71*7+W72*8+W73*8</f>
        <v>2641</v>
      </c>
      <c r="X70" s="218">
        <f t="shared" si="204"/>
        <v>2641</v>
      </c>
      <c r="Y70" s="218">
        <f t="shared" ref="Y70" si="205">Y71*7+Y72*8+Y73*8</f>
        <v>1472</v>
      </c>
      <c r="Z70" s="179">
        <f t="shared" si="35"/>
        <v>55.736463460810306</v>
      </c>
      <c r="AA70" s="210">
        <f t="shared" si="36"/>
        <v>2739</v>
      </c>
      <c r="AB70" s="210">
        <f t="shared" si="36"/>
        <v>2739</v>
      </c>
      <c r="AC70" s="210">
        <f t="shared" si="36"/>
        <v>1570</v>
      </c>
      <c r="AD70" s="210">
        <f t="shared" si="37"/>
        <v>57.320189850310335</v>
      </c>
      <c r="AE70" s="218">
        <f t="shared" ref="AE70:AF70" si="206">AE71*7+AE72*8+AE73*8</f>
        <v>545</v>
      </c>
      <c r="AF70" s="218">
        <f t="shared" si="206"/>
        <v>545</v>
      </c>
      <c r="AG70" s="218">
        <f t="shared" ref="AG70" si="207">AG71*7+AG72*8+AG73*8</f>
        <v>1943</v>
      </c>
      <c r="AH70" s="179">
        <f t="shared" si="39"/>
        <v>356.51376146788988</v>
      </c>
      <c r="AI70" s="218">
        <f t="shared" ref="AI70:AJ70" si="208">AI71*7+AI72*8+AI73*8</f>
        <v>670</v>
      </c>
      <c r="AJ70" s="218">
        <f t="shared" si="208"/>
        <v>670</v>
      </c>
      <c r="AK70" s="218">
        <f t="shared" ref="AK70" si="209">AK71*7+AK72*8+AK73*8</f>
        <v>582</v>
      </c>
      <c r="AL70" s="179">
        <f t="shared" si="40"/>
        <v>86.865671641791039</v>
      </c>
      <c r="AM70" s="218">
        <f t="shared" ref="AM70:AN70" si="210">AM71*7+AM72*8+AM73*8</f>
        <v>1100</v>
      </c>
      <c r="AN70" s="218">
        <f t="shared" si="210"/>
        <v>1100</v>
      </c>
      <c r="AO70" s="218">
        <f t="shared" ref="AO70" si="211">AO71*7+AO72*8+AO73*8</f>
        <v>959</v>
      </c>
      <c r="AP70" s="179">
        <f t="shared" si="42"/>
        <v>87.181818181818187</v>
      </c>
      <c r="AQ70" s="210">
        <f t="shared" si="16"/>
        <v>14496</v>
      </c>
      <c r="AR70" s="210">
        <f t="shared" si="17"/>
        <v>14496</v>
      </c>
      <c r="AS70" s="210">
        <f t="shared" si="18"/>
        <v>9256</v>
      </c>
      <c r="AT70" s="210">
        <f t="shared" si="43"/>
        <v>63.852097130242825</v>
      </c>
      <c r="AU70" s="218">
        <f t="shared" ref="AU70:AV70" si="212">AU71*7+AU72*8+AU73*8</f>
        <v>809</v>
      </c>
      <c r="AV70" s="218">
        <f t="shared" si="212"/>
        <v>809</v>
      </c>
      <c r="AW70" s="218">
        <f t="shared" ref="AW70" si="213">AW71*7+AW72*8+AW73*8</f>
        <v>46</v>
      </c>
      <c r="AX70" s="179">
        <f t="shared" si="45"/>
        <v>5.6860321384425223</v>
      </c>
      <c r="AY70" s="210">
        <f t="shared" si="21"/>
        <v>809</v>
      </c>
      <c r="AZ70" s="210">
        <f t="shared" si="22"/>
        <v>809</v>
      </c>
      <c r="BA70" s="210">
        <f t="shared" si="23"/>
        <v>46</v>
      </c>
      <c r="BB70" s="210">
        <f t="shared" si="46"/>
        <v>5.6860321384425223</v>
      </c>
    </row>
    <row r="71" spans="1:54" ht="31.5" x14ac:dyDescent="0.2">
      <c r="A71" s="185" t="s">
        <v>171</v>
      </c>
      <c r="B71" s="201" t="s">
        <v>339</v>
      </c>
      <c r="C71" s="214">
        <v>462</v>
      </c>
      <c r="D71" s="97">
        <f t="shared" si="197"/>
        <v>462</v>
      </c>
      <c r="E71" s="214">
        <v>230</v>
      </c>
      <c r="F71" s="99">
        <f t="shared" si="25"/>
        <v>49.783549783549788</v>
      </c>
      <c r="G71" s="214"/>
      <c r="H71" s="97">
        <f t="shared" si="197"/>
        <v>0</v>
      </c>
      <c r="I71" s="214"/>
      <c r="J71" s="99">
        <f t="shared" si="26"/>
        <v>0</v>
      </c>
      <c r="K71" s="236">
        <f t="shared" si="27"/>
        <v>462</v>
      </c>
      <c r="L71" s="236">
        <f t="shared" si="28"/>
        <v>462</v>
      </c>
      <c r="M71" s="236">
        <f t="shared" si="29"/>
        <v>230</v>
      </c>
      <c r="N71" s="235">
        <f t="shared" si="30"/>
        <v>49.783549783549788</v>
      </c>
      <c r="O71" s="214">
        <v>14</v>
      </c>
      <c r="P71" s="115">
        <f t="shared" si="31"/>
        <v>14</v>
      </c>
      <c r="Q71" s="214">
        <v>14</v>
      </c>
      <c r="R71" s="99">
        <f t="shared" si="32"/>
        <v>100</v>
      </c>
      <c r="S71" s="214"/>
      <c r="T71" s="115">
        <f t="shared" si="33"/>
        <v>0</v>
      </c>
      <c r="U71" s="214"/>
      <c r="V71" s="99">
        <f t="shared" si="34"/>
        <v>0</v>
      </c>
      <c r="W71" s="214">
        <v>151</v>
      </c>
      <c r="X71" s="331">
        <v>151</v>
      </c>
      <c r="Y71" s="214">
        <v>40</v>
      </c>
      <c r="Z71" s="99">
        <f t="shared" si="35"/>
        <v>26.490066225165563</v>
      </c>
      <c r="AA71" s="210">
        <f t="shared" si="36"/>
        <v>165</v>
      </c>
      <c r="AB71" s="210">
        <f t="shared" si="36"/>
        <v>165</v>
      </c>
      <c r="AC71" s="210">
        <f t="shared" si="36"/>
        <v>54</v>
      </c>
      <c r="AD71" s="210">
        <f t="shared" si="37"/>
        <v>32.727272727272727</v>
      </c>
      <c r="AE71" s="214">
        <v>15</v>
      </c>
      <c r="AF71" s="97">
        <f t="shared" si="38"/>
        <v>15</v>
      </c>
      <c r="AG71" s="214">
        <v>97</v>
      </c>
      <c r="AH71" s="99">
        <f t="shared" si="39"/>
        <v>646.66666666666663</v>
      </c>
      <c r="AI71" s="214">
        <v>26</v>
      </c>
      <c r="AJ71" s="97">
        <f t="shared" si="12"/>
        <v>26</v>
      </c>
      <c r="AK71" s="214">
        <v>26</v>
      </c>
      <c r="AL71" s="99">
        <f t="shared" si="40"/>
        <v>100</v>
      </c>
      <c r="AM71" s="214">
        <v>52</v>
      </c>
      <c r="AN71" s="97">
        <f t="shared" si="41"/>
        <v>52</v>
      </c>
      <c r="AO71" s="214">
        <v>33</v>
      </c>
      <c r="AP71" s="99">
        <f t="shared" si="42"/>
        <v>63.46153846153846</v>
      </c>
      <c r="AQ71" s="210">
        <f t="shared" si="16"/>
        <v>720</v>
      </c>
      <c r="AR71" s="210">
        <f t="shared" si="17"/>
        <v>720</v>
      </c>
      <c r="AS71" s="210">
        <f t="shared" si="18"/>
        <v>440</v>
      </c>
      <c r="AT71" s="210">
        <f t="shared" si="43"/>
        <v>61.111111111111114</v>
      </c>
      <c r="AU71" s="214">
        <v>47</v>
      </c>
      <c r="AV71" s="97">
        <f t="shared" si="44"/>
        <v>47</v>
      </c>
      <c r="AW71" s="214">
        <v>2</v>
      </c>
      <c r="AX71" s="99">
        <f t="shared" si="45"/>
        <v>4.2553191489361701</v>
      </c>
      <c r="AY71" s="210">
        <f t="shared" si="21"/>
        <v>47</v>
      </c>
      <c r="AZ71" s="210">
        <f t="shared" si="22"/>
        <v>47</v>
      </c>
      <c r="BA71" s="210">
        <f t="shared" si="23"/>
        <v>2</v>
      </c>
      <c r="BB71" s="210">
        <f t="shared" si="46"/>
        <v>4.2553191489361701</v>
      </c>
    </row>
    <row r="72" spans="1:54" ht="47.25" x14ac:dyDescent="0.2">
      <c r="A72" s="185" t="s">
        <v>172</v>
      </c>
      <c r="B72" s="201" t="s">
        <v>339</v>
      </c>
      <c r="C72" s="214">
        <v>393</v>
      </c>
      <c r="D72" s="97">
        <f t="shared" si="197"/>
        <v>393</v>
      </c>
      <c r="E72" s="214">
        <v>324</v>
      </c>
      <c r="F72" s="99">
        <f t="shared" si="25"/>
        <v>82.44274809160305</v>
      </c>
      <c r="G72" s="214"/>
      <c r="H72" s="97">
        <f t="shared" si="197"/>
        <v>0</v>
      </c>
      <c r="I72" s="214"/>
      <c r="J72" s="99">
        <f t="shared" si="26"/>
        <v>0</v>
      </c>
      <c r="K72" s="236">
        <f t="shared" si="27"/>
        <v>393</v>
      </c>
      <c r="L72" s="236">
        <f t="shared" si="28"/>
        <v>393</v>
      </c>
      <c r="M72" s="236">
        <f t="shared" si="29"/>
        <v>324</v>
      </c>
      <c r="N72" s="235">
        <f t="shared" si="30"/>
        <v>82.44274809160305</v>
      </c>
      <c r="O72" s="214"/>
      <c r="P72" s="115">
        <f t="shared" si="31"/>
        <v>0</v>
      </c>
      <c r="Q72" s="214">
        <v>0</v>
      </c>
      <c r="R72" s="99">
        <f t="shared" si="32"/>
        <v>0</v>
      </c>
      <c r="S72" s="214"/>
      <c r="T72" s="115">
        <f t="shared" si="33"/>
        <v>0</v>
      </c>
      <c r="U72" s="214"/>
      <c r="V72" s="99">
        <f t="shared" si="34"/>
        <v>0</v>
      </c>
      <c r="W72" s="214">
        <v>198</v>
      </c>
      <c r="X72" s="331">
        <v>198</v>
      </c>
      <c r="Y72" s="214">
        <v>130</v>
      </c>
      <c r="Z72" s="99">
        <f t="shared" si="35"/>
        <v>65.656565656565661</v>
      </c>
      <c r="AA72" s="210">
        <f t="shared" si="36"/>
        <v>198</v>
      </c>
      <c r="AB72" s="210">
        <f t="shared" si="36"/>
        <v>198</v>
      </c>
      <c r="AC72" s="210">
        <f t="shared" si="36"/>
        <v>130</v>
      </c>
      <c r="AD72" s="210">
        <f t="shared" si="37"/>
        <v>65.656565656565661</v>
      </c>
      <c r="AE72" s="214">
        <v>25</v>
      </c>
      <c r="AF72" s="97">
        <f t="shared" si="38"/>
        <v>25</v>
      </c>
      <c r="AG72" s="214">
        <v>158</v>
      </c>
      <c r="AH72" s="99">
        <f t="shared" si="39"/>
        <v>632</v>
      </c>
      <c r="AI72" s="214">
        <v>29</v>
      </c>
      <c r="AJ72" s="97">
        <f t="shared" si="12"/>
        <v>29</v>
      </c>
      <c r="AK72" s="214">
        <v>19</v>
      </c>
      <c r="AL72" s="99">
        <f t="shared" si="40"/>
        <v>65.517241379310349</v>
      </c>
      <c r="AM72" s="214">
        <v>56</v>
      </c>
      <c r="AN72" s="97">
        <f t="shared" si="41"/>
        <v>56</v>
      </c>
      <c r="AO72" s="214">
        <v>91</v>
      </c>
      <c r="AP72" s="99">
        <f t="shared" si="42"/>
        <v>162.5</v>
      </c>
      <c r="AQ72" s="210">
        <f t="shared" si="16"/>
        <v>701</v>
      </c>
      <c r="AR72" s="210">
        <f t="shared" si="17"/>
        <v>701</v>
      </c>
      <c r="AS72" s="210">
        <f t="shared" si="18"/>
        <v>722</v>
      </c>
      <c r="AT72" s="210">
        <f t="shared" si="43"/>
        <v>102.99572039942939</v>
      </c>
      <c r="AU72" s="214">
        <v>40</v>
      </c>
      <c r="AV72" s="97">
        <f t="shared" si="44"/>
        <v>40</v>
      </c>
      <c r="AW72" s="214">
        <v>4</v>
      </c>
      <c r="AX72" s="99">
        <f t="shared" si="45"/>
        <v>10</v>
      </c>
      <c r="AY72" s="210">
        <f t="shared" si="21"/>
        <v>40</v>
      </c>
      <c r="AZ72" s="210">
        <f t="shared" si="22"/>
        <v>40</v>
      </c>
      <c r="BA72" s="210">
        <f t="shared" si="23"/>
        <v>4</v>
      </c>
      <c r="BB72" s="210">
        <f t="shared" si="46"/>
        <v>10</v>
      </c>
    </row>
    <row r="73" spans="1:54" ht="94.5" x14ac:dyDescent="0.2">
      <c r="A73" s="185" t="s">
        <v>173</v>
      </c>
      <c r="B73" s="201" t="s">
        <v>339</v>
      </c>
      <c r="C73" s="214">
        <v>383</v>
      </c>
      <c r="D73" s="97">
        <f t="shared" si="197"/>
        <v>383</v>
      </c>
      <c r="E73" s="214">
        <v>0</v>
      </c>
      <c r="F73" s="99">
        <f t="shared" si="25"/>
        <v>0</v>
      </c>
      <c r="G73" s="214"/>
      <c r="H73" s="97">
        <f t="shared" si="197"/>
        <v>0</v>
      </c>
      <c r="I73" s="214"/>
      <c r="J73" s="99">
        <f t="shared" si="26"/>
        <v>0</v>
      </c>
      <c r="K73" s="236">
        <f t="shared" si="27"/>
        <v>383</v>
      </c>
      <c r="L73" s="236">
        <f t="shared" si="28"/>
        <v>383</v>
      </c>
      <c r="M73" s="236">
        <f t="shared" si="29"/>
        <v>0</v>
      </c>
      <c r="N73" s="235">
        <f t="shared" si="30"/>
        <v>0</v>
      </c>
      <c r="O73" s="214"/>
      <c r="P73" s="115">
        <f t="shared" si="31"/>
        <v>0</v>
      </c>
      <c r="Q73" s="214">
        <v>0</v>
      </c>
      <c r="R73" s="99">
        <f t="shared" si="32"/>
        <v>0</v>
      </c>
      <c r="S73" s="214"/>
      <c r="T73" s="115">
        <f t="shared" si="33"/>
        <v>0</v>
      </c>
      <c r="U73" s="214"/>
      <c r="V73" s="99">
        <f t="shared" si="34"/>
        <v>0</v>
      </c>
      <c r="W73" s="214">
        <v>0</v>
      </c>
      <c r="X73" s="331">
        <v>0</v>
      </c>
      <c r="Y73" s="214">
        <v>19</v>
      </c>
      <c r="Z73" s="99">
        <f t="shared" si="35"/>
        <v>0</v>
      </c>
      <c r="AA73" s="210">
        <f t="shared" si="36"/>
        <v>0</v>
      </c>
      <c r="AB73" s="210">
        <f t="shared" si="36"/>
        <v>0</v>
      </c>
      <c r="AC73" s="210">
        <f t="shared" si="36"/>
        <v>19</v>
      </c>
      <c r="AD73" s="210">
        <f t="shared" si="37"/>
        <v>0</v>
      </c>
      <c r="AE73" s="214">
        <v>30</v>
      </c>
      <c r="AF73" s="97">
        <f t="shared" si="38"/>
        <v>30</v>
      </c>
      <c r="AG73" s="214">
        <v>0</v>
      </c>
      <c r="AH73" s="99">
        <f t="shared" si="39"/>
        <v>0</v>
      </c>
      <c r="AI73" s="214">
        <v>32</v>
      </c>
      <c r="AJ73" s="97">
        <f t="shared" si="12"/>
        <v>32</v>
      </c>
      <c r="AK73" s="214">
        <v>31</v>
      </c>
      <c r="AL73" s="99">
        <f t="shared" si="40"/>
        <v>96.875</v>
      </c>
      <c r="AM73" s="214">
        <v>36</v>
      </c>
      <c r="AN73" s="97">
        <f t="shared" si="41"/>
        <v>36</v>
      </c>
      <c r="AO73" s="214">
        <v>0</v>
      </c>
      <c r="AP73" s="99">
        <f t="shared" si="42"/>
        <v>0</v>
      </c>
      <c r="AQ73" s="210">
        <f t="shared" si="16"/>
        <v>481</v>
      </c>
      <c r="AR73" s="210">
        <f t="shared" si="17"/>
        <v>481</v>
      </c>
      <c r="AS73" s="210">
        <f t="shared" si="18"/>
        <v>50</v>
      </c>
      <c r="AT73" s="210">
        <f t="shared" si="43"/>
        <v>10.395010395010395</v>
      </c>
      <c r="AU73" s="214">
        <v>20</v>
      </c>
      <c r="AV73" s="97">
        <f t="shared" si="44"/>
        <v>20</v>
      </c>
      <c r="AW73" s="214">
        <v>0</v>
      </c>
      <c r="AX73" s="99">
        <f t="shared" si="45"/>
        <v>0</v>
      </c>
      <c r="AY73" s="210">
        <f t="shared" si="21"/>
        <v>20</v>
      </c>
      <c r="AZ73" s="210">
        <f t="shared" si="22"/>
        <v>20</v>
      </c>
      <c r="BA73" s="210">
        <f t="shared" si="23"/>
        <v>0</v>
      </c>
      <c r="BB73" s="210">
        <f t="shared" si="46"/>
        <v>0</v>
      </c>
    </row>
    <row r="74" spans="1:54" ht="31.5" x14ac:dyDescent="0.2">
      <c r="A74" s="176" t="s">
        <v>174</v>
      </c>
      <c r="B74" s="197" t="s">
        <v>3</v>
      </c>
      <c r="C74" s="218">
        <f t="shared" ref="C74:G74" si="214">C75+C76+C77</f>
        <v>480</v>
      </c>
      <c r="D74" s="184">
        <f t="shared" si="197"/>
        <v>480</v>
      </c>
      <c r="E74" s="218">
        <f t="shared" ref="E74:I74" si="215">E75+E76+E77</f>
        <v>523</v>
      </c>
      <c r="F74" s="179">
        <f t="shared" si="25"/>
        <v>108.95833333333333</v>
      </c>
      <c r="G74" s="218">
        <f t="shared" si="214"/>
        <v>0</v>
      </c>
      <c r="H74" s="184">
        <f t="shared" si="197"/>
        <v>0</v>
      </c>
      <c r="I74" s="218">
        <f t="shared" si="215"/>
        <v>0</v>
      </c>
      <c r="J74" s="179">
        <f t="shared" si="26"/>
        <v>0</v>
      </c>
      <c r="K74" s="236">
        <f t="shared" si="27"/>
        <v>480</v>
      </c>
      <c r="L74" s="236">
        <f t="shared" si="28"/>
        <v>480</v>
      </c>
      <c r="M74" s="236">
        <f t="shared" si="29"/>
        <v>523</v>
      </c>
      <c r="N74" s="235">
        <f t="shared" si="30"/>
        <v>108.95833333333333</v>
      </c>
      <c r="O74" s="218">
        <f t="shared" ref="O74" si="216">O75+O76+O77</f>
        <v>0</v>
      </c>
      <c r="P74" s="115">
        <f t="shared" si="31"/>
        <v>0</v>
      </c>
      <c r="Q74" s="218">
        <f t="shared" ref="Q74" si="217">Q75+Q76+Q77</f>
        <v>0</v>
      </c>
      <c r="R74" s="179">
        <f t="shared" si="32"/>
        <v>0</v>
      </c>
      <c r="S74" s="218">
        <f t="shared" ref="S74" si="218">S75+S76+S77</f>
        <v>11</v>
      </c>
      <c r="T74" s="115">
        <f t="shared" si="33"/>
        <v>11</v>
      </c>
      <c r="U74" s="218">
        <f t="shared" ref="U74" si="219">U75+U76+U77</f>
        <v>11</v>
      </c>
      <c r="V74" s="179">
        <f t="shared" si="34"/>
        <v>100</v>
      </c>
      <c r="W74" s="218">
        <f t="shared" ref="W74:X74" si="220">W75+W76+W77</f>
        <v>686</v>
      </c>
      <c r="X74" s="218">
        <f t="shared" si="220"/>
        <v>686</v>
      </c>
      <c r="Y74" s="218">
        <f t="shared" ref="Y74" si="221">Y75+Y76+Y77</f>
        <v>893</v>
      </c>
      <c r="Z74" s="179">
        <f t="shared" si="35"/>
        <v>130.17492711370261</v>
      </c>
      <c r="AA74" s="210">
        <f t="shared" si="36"/>
        <v>697</v>
      </c>
      <c r="AB74" s="210">
        <f t="shared" si="36"/>
        <v>697</v>
      </c>
      <c r="AC74" s="210">
        <f t="shared" si="36"/>
        <v>904</v>
      </c>
      <c r="AD74" s="210">
        <f t="shared" si="37"/>
        <v>129.69870875179339</v>
      </c>
      <c r="AE74" s="218">
        <f t="shared" ref="AE74:AF74" si="222">AE75+AE76+AE77</f>
        <v>445</v>
      </c>
      <c r="AF74" s="218">
        <f t="shared" si="222"/>
        <v>445</v>
      </c>
      <c r="AG74" s="218">
        <f t="shared" ref="AG74" si="223">AG75+AG76+AG77</f>
        <v>462</v>
      </c>
      <c r="AH74" s="179">
        <f t="shared" si="39"/>
        <v>103.82022471910113</v>
      </c>
      <c r="AI74" s="218">
        <f t="shared" ref="AI74:AJ74" si="224">AI75+AI76+AI77</f>
        <v>84</v>
      </c>
      <c r="AJ74" s="218">
        <f t="shared" si="224"/>
        <v>84</v>
      </c>
      <c r="AK74" s="218">
        <f t="shared" ref="AK74" si="225">AK75+AK76+AK77</f>
        <v>77</v>
      </c>
      <c r="AL74" s="179">
        <f t="shared" si="40"/>
        <v>91.666666666666657</v>
      </c>
      <c r="AM74" s="218">
        <f t="shared" ref="AM74:AN74" si="226">AM75+AM76+AM77</f>
        <v>658</v>
      </c>
      <c r="AN74" s="218">
        <f t="shared" si="226"/>
        <v>658</v>
      </c>
      <c r="AO74" s="218">
        <f t="shared" ref="AO74" si="227">AO75+AO76+AO77</f>
        <v>538</v>
      </c>
      <c r="AP74" s="179">
        <f t="shared" si="42"/>
        <v>81.762917933130694</v>
      </c>
      <c r="AQ74" s="210">
        <f t="shared" si="16"/>
        <v>2364</v>
      </c>
      <c r="AR74" s="210">
        <f t="shared" si="17"/>
        <v>2364</v>
      </c>
      <c r="AS74" s="210">
        <f t="shared" si="18"/>
        <v>2504</v>
      </c>
      <c r="AT74" s="210">
        <f t="shared" si="43"/>
        <v>105.92216582064297</v>
      </c>
      <c r="AU74" s="218">
        <f t="shared" ref="AU74:AV74" si="228">AU75+AU76+AU77</f>
        <v>115</v>
      </c>
      <c r="AV74" s="218">
        <f t="shared" si="228"/>
        <v>115</v>
      </c>
      <c r="AW74" s="218">
        <f t="shared" ref="AW74" si="229">AW75+AW76+AW77</f>
        <v>0</v>
      </c>
      <c r="AX74" s="179">
        <f t="shared" si="45"/>
        <v>0</v>
      </c>
      <c r="AY74" s="210">
        <f t="shared" si="21"/>
        <v>115</v>
      </c>
      <c r="AZ74" s="210">
        <f t="shared" si="22"/>
        <v>115</v>
      </c>
      <c r="BA74" s="210">
        <f t="shared" si="23"/>
        <v>0</v>
      </c>
      <c r="BB74" s="210">
        <f t="shared" si="46"/>
        <v>0</v>
      </c>
    </row>
    <row r="75" spans="1:54" ht="31.5" x14ac:dyDescent="0.2">
      <c r="A75" s="185" t="s">
        <v>175</v>
      </c>
      <c r="B75" s="201" t="s">
        <v>339</v>
      </c>
      <c r="C75" s="214">
        <v>480</v>
      </c>
      <c r="D75" s="97">
        <f t="shared" si="197"/>
        <v>480</v>
      </c>
      <c r="E75" s="214">
        <v>36</v>
      </c>
      <c r="F75" s="99">
        <f t="shared" si="25"/>
        <v>7.5</v>
      </c>
      <c r="G75" s="214"/>
      <c r="H75" s="97">
        <f t="shared" si="197"/>
        <v>0</v>
      </c>
      <c r="I75" s="214"/>
      <c r="J75" s="99">
        <f t="shared" si="26"/>
        <v>0</v>
      </c>
      <c r="K75" s="236">
        <f t="shared" si="27"/>
        <v>480</v>
      </c>
      <c r="L75" s="236">
        <f t="shared" si="28"/>
        <v>480</v>
      </c>
      <c r="M75" s="236">
        <f t="shared" si="29"/>
        <v>36</v>
      </c>
      <c r="N75" s="235">
        <f t="shared" si="30"/>
        <v>7.5</v>
      </c>
      <c r="O75" s="214"/>
      <c r="P75" s="115">
        <f t="shared" si="31"/>
        <v>0</v>
      </c>
      <c r="Q75" s="214"/>
      <c r="R75" s="99">
        <f t="shared" si="32"/>
        <v>0</v>
      </c>
      <c r="S75" s="214">
        <v>11</v>
      </c>
      <c r="T75" s="115">
        <f t="shared" si="33"/>
        <v>11</v>
      </c>
      <c r="U75" s="214">
        <v>11</v>
      </c>
      <c r="V75" s="99">
        <f t="shared" si="34"/>
        <v>100</v>
      </c>
      <c r="W75" s="214">
        <v>201</v>
      </c>
      <c r="X75" s="331">
        <v>201</v>
      </c>
      <c r="Y75" s="214">
        <v>226</v>
      </c>
      <c r="Z75" s="99">
        <f t="shared" si="35"/>
        <v>112.43781094527363</v>
      </c>
      <c r="AA75" s="210">
        <f t="shared" si="36"/>
        <v>212</v>
      </c>
      <c r="AB75" s="210">
        <f t="shared" si="36"/>
        <v>212</v>
      </c>
      <c r="AC75" s="210">
        <f t="shared" si="36"/>
        <v>237</v>
      </c>
      <c r="AD75" s="210">
        <f t="shared" si="37"/>
        <v>111.79245283018868</v>
      </c>
      <c r="AE75" s="214">
        <v>145</v>
      </c>
      <c r="AF75" s="97">
        <f t="shared" si="38"/>
        <v>145</v>
      </c>
      <c r="AG75" s="214">
        <v>184</v>
      </c>
      <c r="AH75" s="99">
        <f t="shared" si="39"/>
        <v>126.89655172413794</v>
      </c>
      <c r="AI75" s="214">
        <v>30</v>
      </c>
      <c r="AJ75" s="97">
        <f t="shared" si="12"/>
        <v>30</v>
      </c>
      <c r="AK75" s="214">
        <v>30</v>
      </c>
      <c r="AL75" s="99">
        <f t="shared" si="40"/>
        <v>100</v>
      </c>
      <c r="AM75" s="214">
        <v>181</v>
      </c>
      <c r="AN75" s="97">
        <f t="shared" si="41"/>
        <v>181</v>
      </c>
      <c r="AO75" s="214">
        <v>240</v>
      </c>
      <c r="AP75" s="99">
        <f t="shared" si="42"/>
        <v>132.59668508287291</v>
      </c>
      <c r="AQ75" s="210">
        <f t="shared" si="16"/>
        <v>1048</v>
      </c>
      <c r="AR75" s="210">
        <f t="shared" si="17"/>
        <v>1048</v>
      </c>
      <c r="AS75" s="210">
        <f t="shared" si="18"/>
        <v>727</v>
      </c>
      <c r="AT75" s="210">
        <f t="shared" si="43"/>
        <v>69.370229007633583</v>
      </c>
      <c r="AU75" s="214">
        <v>47</v>
      </c>
      <c r="AV75" s="97">
        <f t="shared" si="44"/>
        <v>47</v>
      </c>
      <c r="AW75" s="214"/>
      <c r="AX75" s="99">
        <f t="shared" si="45"/>
        <v>0</v>
      </c>
      <c r="AY75" s="210">
        <f t="shared" si="21"/>
        <v>47</v>
      </c>
      <c r="AZ75" s="210">
        <f t="shared" si="22"/>
        <v>47</v>
      </c>
      <c r="BA75" s="210">
        <f t="shared" si="23"/>
        <v>0</v>
      </c>
      <c r="BB75" s="210">
        <f t="shared" si="46"/>
        <v>0</v>
      </c>
    </row>
    <row r="76" spans="1:54" ht="47.25" x14ac:dyDescent="0.2">
      <c r="A76" s="185" t="s">
        <v>176</v>
      </c>
      <c r="B76" s="201" t="s">
        <v>339</v>
      </c>
      <c r="C76" s="214"/>
      <c r="D76" s="97">
        <f t="shared" si="197"/>
        <v>0</v>
      </c>
      <c r="E76" s="214">
        <v>487</v>
      </c>
      <c r="F76" s="99">
        <f t="shared" si="25"/>
        <v>0</v>
      </c>
      <c r="G76" s="214"/>
      <c r="H76" s="97">
        <f t="shared" si="197"/>
        <v>0</v>
      </c>
      <c r="I76" s="214"/>
      <c r="J76" s="99">
        <f t="shared" si="26"/>
        <v>0</v>
      </c>
      <c r="K76" s="236">
        <f t="shared" si="27"/>
        <v>0</v>
      </c>
      <c r="L76" s="236">
        <f t="shared" si="28"/>
        <v>0</v>
      </c>
      <c r="M76" s="236">
        <f t="shared" si="29"/>
        <v>487</v>
      </c>
      <c r="N76" s="235">
        <f t="shared" si="30"/>
        <v>0</v>
      </c>
      <c r="O76" s="214"/>
      <c r="P76" s="115">
        <f t="shared" si="31"/>
        <v>0</v>
      </c>
      <c r="Q76" s="214"/>
      <c r="R76" s="99">
        <f t="shared" si="32"/>
        <v>0</v>
      </c>
      <c r="S76" s="214"/>
      <c r="T76" s="115">
        <f t="shared" si="33"/>
        <v>0</v>
      </c>
      <c r="U76" s="214">
        <v>0</v>
      </c>
      <c r="V76" s="99">
        <f t="shared" si="34"/>
        <v>0</v>
      </c>
      <c r="W76" s="214">
        <v>415</v>
      </c>
      <c r="X76" s="331">
        <v>415</v>
      </c>
      <c r="Y76" s="214">
        <v>667</v>
      </c>
      <c r="Z76" s="99">
        <f t="shared" si="35"/>
        <v>160.72289156626508</v>
      </c>
      <c r="AA76" s="210">
        <f t="shared" si="36"/>
        <v>415</v>
      </c>
      <c r="AB76" s="210">
        <f t="shared" si="36"/>
        <v>415</v>
      </c>
      <c r="AC76" s="210">
        <f t="shared" si="36"/>
        <v>667</v>
      </c>
      <c r="AD76" s="210">
        <f t="shared" si="37"/>
        <v>160.72289156626508</v>
      </c>
      <c r="AE76" s="214">
        <v>300</v>
      </c>
      <c r="AF76" s="97">
        <f t="shared" si="38"/>
        <v>300</v>
      </c>
      <c r="AG76" s="214">
        <v>276</v>
      </c>
      <c r="AH76" s="99">
        <f t="shared" si="39"/>
        <v>92</v>
      </c>
      <c r="AI76" s="214">
        <v>34</v>
      </c>
      <c r="AJ76" s="97">
        <f t="shared" si="12"/>
        <v>34</v>
      </c>
      <c r="AK76" s="214">
        <v>27</v>
      </c>
      <c r="AL76" s="99">
        <f t="shared" si="40"/>
        <v>79.411764705882348</v>
      </c>
      <c r="AM76" s="214">
        <v>477</v>
      </c>
      <c r="AN76" s="97">
        <f t="shared" si="41"/>
        <v>477</v>
      </c>
      <c r="AO76" s="214">
        <v>298</v>
      </c>
      <c r="AP76" s="99">
        <f t="shared" si="42"/>
        <v>62.473794549266245</v>
      </c>
      <c r="AQ76" s="210">
        <f t="shared" si="16"/>
        <v>1226</v>
      </c>
      <c r="AR76" s="210">
        <f t="shared" si="17"/>
        <v>1226</v>
      </c>
      <c r="AS76" s="210">
        <f t="shared" si="18"/>
        <v>1755</v>
      </c>
      <c r="AT76" s="210">
        <f t="shared" si="43"/>
        <v>143.14845024469821</v>
      </c>
      <c r="AU76" s="214">
        <v>60</v>
      </c>
      <c r="AV76" s="97">
        <f t="shared" si="44"/>
        <v>60</v>
      </c>
      <c r="AW76" s="214"/>
      <c r="AX76" s="99">
        <f t="shared" si="45"/>
        <v>0</v>
      </c>
      <c r="AY76" s="210">
        <f t="shared" si="21"/>
        <v>60</v>
      </c>
      <c r="AZ76" s="210">
        <f t="shared" si="22"/>
        <v>60</v>
      </c>
      <c r="BA76" s="210">
        <f t="shared" si="23"/>
        <v>0</v>
      </c>
      <c r="BB76" s="210">
        <f t="shared" si="46"/>
        <v>0</v>
      </c>
    </row>
    <row r="77" spans="1:54" ht="94.5" x14ac:dyDescent="0.2">
      <c r="A77" s="185" t="s">
        <v>177</v>
      </c>
      <c r="B77" s="201" t="s">
        <v>339</v>
      </c>
      <c r="C77" s="214"/>
      <c r="D77" s="97">
        <f t="shared" si="197"/>
        <v>0</v>
      </c>
      <c r="E77" s="214">
        <v>0</v>
      </c>
      <c r="F77" s="99">
        <f t="shared" si="25"/>
        <v>0</v>
      </c>
      <c r="G77" s="214"/>
      <c r="H77" s="97">
        <f t="shared" si="197"/>
        <v>0</v>
      </c>
      <c r="I77" s="214"/>
      <c r="J77" s="99">
        <f t="shared" si="26"/>
        <v>0</v>
      </c>
      <c r="K77" s="236">
        <f t="shared" si="27"/>
        <v>0</v>
      </c>
      <c r="L77" s="236">
        <f t="shared" si="28"/>
        <v>0</v>
      </c>
      <c r="M77" s="236">
        <f t="shared" si="29"/>
        <v>0</v>
      </c>
      <c r="N77" s="235">
        <f t="shared" si="30"/>
        <v>0</v>
      </c>
      <c r="O77" s="214"/>
      <c r="P77" s="115">
        <f t="shared" si="31"/>
        <v>0</v>
      </c>
      <c r="Q77" s="214">
        <v>0</v>
      </c>
      <c r="R77" s="99">
        <f t="shared" si="32"/>
        <v>0</v>
      </c>
      <c r="S77" s="214"/>
      <c r="T77" s="115">
        <f t="shared" si="33"/>
        <v>0</v>
      </c>
      <c r="U77" s="214">
        <v>0</v>
      </c>
      <c r="V77" s="99">
        <f t="shared" si="34"/>
        <v>0</v>
      </c>
      <c r="W77" s="214">
        <v>70</v>
      </c>
      <c r="X77" s="331">
        <v>70</v>
      </c>
      <c r="Y77" s="214">
        <v>0</v>
      </c>
      <c r="Z77" s="99">
        <f t="shared" si="35"/>
        <v>0</v>
      </c>
      <c r="AA77" s="210">
        <f t="shared" si="36"/>
        <v>70</v>
      </c>
      <c r="AB77" s="210">
        <f t="shared" si="36"/>
        <v>70</v>
      </c>
      <c r="AC77" s="210">
        <f t="shared" si="36"/>
        <v>0</v>
      </c>
      <c r="AD77" s="210">
        <f t="shared" si="37"/>
        <v>0</v>
      </c>
      <c r="AE77" s="214"/>
      <c r="AF77" s="97">
        <f t="shared" si="38"/>
        <v>0</v>
      </c>
      <c r="AG77" s="214">
        <v>2</v>
      </c>
      <c r="AH77" s="99">
        <f t="shared" si="39"/>
        <v>0</v>
      </c>
      <c r="AI77" s="214">
        <v>20</v>
      </c>
      <c r="AJ77" s="97">
        <f t="shared" si="12"/>
        <v>20</v>
      </c>
      <c r="AK77" s="214">
        <v>20</v>
      </c>
      <c r="AL77" s="99">
        <f t="shared" si="40"/>
        <v>100</v>
      </c>
      <c r="AM77" s="214">
        <v>0</v>
      </c>
      <c r="AN77" s="97">
        <f t="shared" si="41"/>
        <v>0</v>
      </c>
      <c r="AO77" s="214">
        <v>0</v>
      </c>
      <c r="AP77" s="99">
        <f t="shared" si="42"/>
        <v>0</v>
      </c>
      <c r="AQ77" s="210">
        <f t="shared" si="16"/>
        <v>90</v>
      </c>
      <c r="AR77" s="210">
        <f t="shared" si="17"/>
        <v>90</v>
      </c>
      <c r="AS77" s="210">
        <f t="shared" si="18"/>
        <v>22</v>
      </c>
      <c r="AT77" s="210">
        <f t="shared" si="43"/>
        <v>24.444444444444443</v>
      </c>
      <c r="AU77" s="214">
        <v>8</v>
      </c>
      <c r="AV77" s="97">
        <f t="shared" si="44"/>
        <v>8</v>
      </c>
      <c r="AW77" s="214"/>
      <c r="AX77" s="99">
        <f t="shared" si="45"/>
        <v>0</v>
      </c>
      <c r="AY77" s="210">
        <f t="shared" si="21"/>
        <v>8</v>
      </c>
      <c r="AZ77" s="210">
        <f t="shared" si="22"/>
        <v>8</v>
      </c>
      <c r="BA77" s="210">
        <f t="shared" si="23"/>
        <v>0</v>
      </c>
      <c r="BB77" s="210">
        <f t="shared" si="46"/>
        <v>0</v>
      </c>
    </row>
    <row r="78" spans="1:54" ht="15.75" x14ac:dyDescent="0.25">
      <c r="A78" s="173" t="s">
        <v>178</v>
      </c>
      <c r="B78" s="201" t="s">
        <v>339</v>
      </c>
      <c r="C78" s="214"/>
      <c r="D78" s="97">
        <f t="shared" ref="D78:H88" si="230">ROUND(C78/12*$A$7,0)</f>
        <v>0</v>
      </c>
      <c r="E78" s="214"/>
      <c r="F78" s="99">
        <f t="shared" si="25"/>
        <v>0</v>
      </c>
      <c r="G78" s="214"/>
      <c r="H78" s="97">
        <f t="shared" si="230"/>
        <v>0</v>
      </c>
      <c r="I78" s="214"/>
      <c r="J78" s="99">
        <f t="shared" si="26"/>
        <v>0</v>
      </c>
      <c r="K78" s="236">
        <f t="shared" si="27"/>
        <v>0</v>
      </c>
      <c r="L78" s="236">
        <f t="shared" si="28"/>
        <v>0</v>
      </c>
      <c r="M78" s="236">
        <f t="shared" si="29"/>
        <v>0</v>
      </c>
      <c r="N78" s="235">
        <f t="shared" si="30"/>
        <v>0</v>
      </c>
      <c r="O78" s="214"/>
      <c r="P78" s="115">
        <f t="shared" si="31"/>
        <v>0</v>
      </c>
      <c r="Q78" s="214"/>
      <c r="R78" s="99">
        <f t="shared" si="32"/>
        <v>0</v>
      </c>
      <c r="S78" s="214"/>
      <c r="T78" s="115">
        <f t="shared" si="33"/>
        <v>0</v>
      </c>
      <c r="U78" s="214"/>
      <c r="V78" s="99">
        <f t="shared" si="34"/>
        <v>0</v>
      </c>
      <c r="W78" s="214">
        <v>400</v>
      </c>
      <c r="X78" s="331">
        <v>400</v>
      </c>
      <c r="Y78" s="214">
        <v>20</v>
      </c>
      <c r="Z78" s="99">
        <f t="shared" si="35"/>
        <v>5</v>
      </c>
      <c r="AA78" s="210">
        <f t="shared" si="36"/>
        <v>400</v>
      </c>
      <c r="AB78" s="210">
        <f t="shared" si="36"/>
        <v>400</v>
      </c>
      <c r="AC78" s="210">
        <f t="shared" si="36"/>
        <v>20</v>
      </c>
      <c r="AD78" s="210">
        <f t="shared" si="37"/>
        <v>5</v>
      </c>
      <c r="AE78" s="214"/>
      <c r="AF78" s="97">
        <f t="shared" ref="AF78:AF88" si="231">ROUND(AE78/12*$A$7,0)</f>
        <v>0</v>
      </c>
      <c r="AG78" s="214"/>
      <c r="AH78" s="99">
        <f t="shared" si="39"/>
        <v>0</v>
      </c>
      <c r="AI78" s="214"/>
      <c r="AJ78" s="97">
        <f t="shared" ref="AJ78:AJ88" si="232">ROUND(AI78/12*$A$7,0)</f>
        <v>0</v>
      </c>
      <c r="AK78" s="214"/>
      <c r="AL78" s="99">
        <f t="shared" si="40"/>
        <v>0</v>
      </c>
      <c r="AM78" s="214"/>
      <c r="AN78" s="97">
        <f t="shared" ref="AN78:AN88" si="233">ROUND(AM78/12*$A$7,0)</f>
        <v>0</v>
      </c>
      <c r="AO78" s="214"/>
      <c r="AP78" s="99">
        <f t="shared" si="42"/>
        <v>0</v>
      </c>
      <c r="AQ78" s="210">
        <f t="shared" ref="AQ78:AS89" si="234">SUM(AM78,AI78,AE78,AA78,K78)</f>
        <v>400</v>
      </c>
      <c r="AR78" s="210">
        <f t="shared" si="234"/>
        <v>400</v>
      </c>
      <c r="AS78" s="210">
        <f t="shared" si="234"/>
        <v>20</v>
      </c>
      <c r="AT78" s="210">
        <f t="shared" si="43"/>
        <v>5</v>
      </c>
      <c r="AU78" s="214"/>
      <c r="AV78" s="97">
        <f t="shared" ref="AV78:AV88" si="235">ROUND(AU78/12*$A$7,0)</f>
        <v>0</v>
      </c>
      <c r="AW78" s="214"/>
      <c r="AX78" s="99">
        <f t="shared" si="45"/>
        <v>0</v>
      </c>
      <c r="AY78" s="210">
        <f t="shared" ref="AY78:BA89" si="236">SUM(AU78)</f>
        <v>0</v>
      </c>
      <c r="AZ78" s="210">
        <f t="shared" si="236"/>
        <v>0</v>
      </c>
      <c r="BA78" s="210">
        <f t="shared" si="236"/>
        <v>0</v>
      </c>
      <c r="BB78" s="210">
        <f t="shared" si="46"/>
        <v>0</v>
      </c>
    </row>
    <row r="79" spans="1:54" ht="15.75" x14ac:dyDescent="0.25">
      <c r="A79" s="174" t="s">
        <v>131</v>
      </c>
      <c r="B79" s="202"/>
      <c r="C79" s="216"/>
      <c r="D79" s="162">
        <f t="shared" si="230"/>
        <v>0</v>
      </c>
      <c r="E79" s="216"/>
      <c r="F79" s="99">
        <f t="shared" ref="F79:F89" si="237">IF(D79=0,0,E79/D79*100)</f>
        <v>0</v>
      </c>
      <c r="G79" s="216"/>
      <c r="H79" s="162">
        <f t="shared" si="230"/>
        <v>0</v>
      </c>
      <c r="I79" s="216"/>
      <c r="J79" s="163">
        <f t="shared" ref="J79:J89" si="238">IF(H79=0,0,I79/H79*100)</f>
        <v>0</v>
      </c>
      <c r="K79" s="236">
        <f t="shared" ref="K79:K89" si="239">G79+C79</f>
        <v>0</v>
      </c>
      <c r="L79" s="236">
        <f t="shared" ref="L79:L89" si="240">H79+D79</f>
        <v>0</v>
      </c>
      <c r="M79" s="236">
        <f t="shared" ref="M79:M89" si="241">I79+E79</f>
        <v>0</v>
      </c>
      <c r="N79" s="235">
        <f t="shared" ref="N79:N89" si="242">IF(L79=0,0,M79/L79*100)</f>
        <v>0</v>
      </c>
      <c r="O79" s="216"/>
      <c r="P79" s="115">
        <f t="shared" ref="P79:P88" si="243">O79</f>
        <v>0</v>
      </c>
      <c r="Q79" s="216"/>
      <c r="R79" s="163">
        <f t="shared" ref="R79:R89" si="244">IF(P79=0,0,Q79/P79*100)</f>
        <v>0</v>
      </c>
      <c r="S79" s="216"/>
      <c r="T79" s="115">
        <f t="shared" ref="T79:T89" si="245">S79</f>
        <v>0</v>
      </c>
      <c r="U79" s="216"/>
      <c r="V79" s="163">
        <f t="shared" ref="V79:V89" si="246">IF(T79=0,0,U79/T79*100)</f>
        <v>0</v>
      </c>
      <c r="W79" s="216"/>
      <c r="X79" s="115"/>
      <c r="Y79" s="216"/>
      <c r="Z79" s="163">
        <f t="shared" ref="Z79:Z89" si="247">IF(X79=0,0,Y79/X79*100)</f>
        <v>0</v>
      </c>
      <c r="AA79" s="210">
        <f t="shared" ref="AA79:AC89" si="248">S79+O79+W79</f>
        <v>0</v>
      </c>
      <c r="AB79" s="210">
        <f t="shared" si="248"/>
        <v>0</v>
      </c>
      <c r="AC79" s="210">
        <f t="shared" si="248"/>
        <v>0</v>
      </c>
      <c r="AD79" s="210">
        <f t="shared" ref="AD79:AD89" si="249">IF(AB79=0,0,AC79/AB79*100)</f>
        <v>0</v>
      </c>
      <c r="AE79" s="216"/>
      <c r="AF79" s="162">
        <f t="shared" si="231"/>
        <v>0</v>
      </c>
      <c r="AG79" s="216"/>
      <c r="AH79" s="163">
        <f t="shared" ref="AH79:AH89" si="250">IF(AF79=0,0,AG79/AF79*100)</f>
        <v>0</v>
      </c>
      <c r="AI79" s="216"/>
      <c r="AJ79" s="162">
        <f t="shared" si="232"/>
        <v>0</v>
      </c>
      <c r="AK79" s="216"/>
      <c r="AL79" s="163">
        <f t="shared" ref="AL79:AL89" si="251">IF(AJ79=0,0,AK79/AJ79*100)</f>
        <v>0</v>
      </c>
      <c r="AM79" s="216"/>
      <c r="AN79" s="162">
        <f t="shared" si="233"/>
        <v>0</v>
      </c>
      <c r="AO79" s="216"/>
      <c r="AP79" s="163">
        <f t="shared" ref="AP79:AP89" si="252">IF(AN79=0,0,AO79/AN79*100)</f>
        <v>0</v>
      </c>
      <c r="AQ79" s="210">
        <f t="shared" si="234"/>
        <v>0</v>
      </c>
      <c r="AR79" s="210">
        <f t="shared" si="234"/>
        <v>0</v>
      </c>
      <c r="AS79" s="210">
        <f t="shared" si="234"/>
        <v>0</v>
      </c>
      <c r="AT79" s="210">
        <f t="shared" ref="AT79:AT89" si="253">IF(AR79=0,0,AS79/AR79*100)</f>
        <v>0</v>
      </c>
      <c r="AU79" s="216"/>
      <c r="AV79" s="162">
        <f t="shared" si="235"/>
        <v>0</v>
      </c>
      <c r="AW79" s="216"/>
      <c r="AX79" s="163">
        <f t="shared" ref="AX79:AX89" si="254">IF(AV79=0,0,AW79/AV79*100)</f>
        <v>0</v>
      </c>
      <c r="AY79" s="210">
        <f t="shared" si="236"/>
        <v>0</v>
      </c>
      <c r="AZ79" s="210">
        <f t="shared" si="236"/>
        <v>0</v>
      </c>
      <c r="BA79" s="210">
        <f t="shared" si="236"/>
        <v>0</v>
      </c>
      <c r="BB79" s="210">
        <f t="shared" ref="BB79:BB89" si="255">IF(AZ79=0,0,BA79/AZ79*100)</f>
        <v>0</v>
      </c>
    </row>
    <row r="80" spans="1:54" ht="31.5" x14ac:dyDescent="0.25">
      <c r="A80" s="174" t="s">
        <v>134</v>
      </c>
      <c r="B80" s="197" t="s">
        <v>3</v>
      </c>
      <c r="C80" s="216"/>
      <c r="D80" s="162">
        <f t="shared" si="230"/>
        <v>0</v>
      </c>
      <c r="E80" s="216"/>
      <c r="F80" s="99">
        <f t="shared" si="237"/>
        <v>0</v>
      </c>
      <c r="G80" s="216"/>
      <c r="H80" s="162">
        <f t="shared" si="230"/>
        <v>0</v>
      </c>
      <c r="I80" s="216"/>
      <c r="J80" s="163">
        <f t="shared" si="238"/>
        <v>0</v>
      </c>
      <c r="K80" s="236">
        <f t="shared" si="239"/>
        <v>0</v>
      </c>
      <c r="L80" s="236">
        <f t="shared" si="240"/>
        <v>0</v>
      </c>
      <c r="M80" s="236">
        <f t="shared" si="241"/>
        <v>0</v>
      </c>
      <c r="N80" s="235">
        <f t="shared" si="242"/>
        <v>0</v>
      </c>
      <c r="O80" s="216"/>
      <c r="P80" s="115">
        <f t="shared" si="243"/>
        <v>0</v>
      </c>
      <c r="Q80" s="216"/>
      <c r="R80" s="163">
        <f t="shared" si="244"/>
        <v>0</v>
      </c>
      <c r="S80" s="216"/>
      <c r="T80" s="115">
        <f t="shared" si="245"/>
        <v>0</v>
      </c>
      <c r="U80" s="216"/>
      <c r="V80" s="163">
        <f t="shared" si="246"/>
        <v>0</v>
      </c>
      <c r="W80" s="216"/>
      <c r="X80" s="115"/>
      <c r="Y80" s="216"/>
      <c r="Z80" s="163">
        <f t="shared" si="247"/>
        <v>0</v>
      </c>
      <c r="AA80" s="210">
        <f t="shared" si="248"/>
        <v>0</v>
      </c>
      <c r="AB80" s="210">
        <f t="shared" si="248"/>
        <v>0</v>
      </c>
      <c r="AC80" s="210">
        <f t="shared" si="248"/>
        <v>0</v>
      </c>
      <c r="AD80" s="210">
        <f t="shared" si="249"/>
        <v>0</v>
      </c>
      <c r="AE80" s="216"/>
      <c r="AF80" s="162">
        <f t="shared" si="231"/>
        <v>0</v>
      </c>
      <c r="AG80" s="216"/>
      <c r="AH80" s="163">
        <f t="shared" si="250"/>
        <v>0</v>
      </c>
      <c r="AI80" s="216"/>
      <c r="AJ80" s="162">
        <f t="shared" si="232"/>
        <v>0</v>
      </c>
      <c r="AK80" s="216"/>
      <c r="AL80" s="163">
        <f t="shared" si="251"/>
        <v>0</v>
      </c>
      <c r="AM80" s="216"/>
      <c r="AN80" s="162">
        <f t="shared" si="233"/>
        <v>0</v>
      </c>
      <c r="AO80" s="216"/>
      <c r="AP80" s="163">
        <f t="shared" si="252"/>
        <v>0</v>
      </c>
      <c r="AQ80" s="210">
        <f t="shared" si="234"/>
        <v>0</v>
      </c>
      <c r="AR80" s="210">
        <f t="shared" si="234"/>
        <v>0</v>
      </c>
      <c r="AS80" s="210">
        <f t="shared" si="234"/>
        <v>0</v>
      </c>
      <c r="AT80" s="210">
        <f t="shared" si="253"/>
        <v>0</v>
      </c>
      <c r="AU80" s="216"/>
      <c r="AV80" s="162">
        <f t="shared" si="235"/>
        <v>0</v>
      </c>
      <c r="AW80" s="216"/>
      <c r="AX80" s="163">
        <f t="shared" si="254"/>
        <v>0</v>
      </c>
      <c r="AY80" s="210">
        <f t="shared" si="236"/>
        <v>0</v>
      </c>
      <c r="AZ80" s="210">
        <f t="shared" si="236"/>
        <v>0</v>
      </c>
      <c r="BA80" s="210">
        <f t="shared" si="236"/>
        <v>0</v>
      </c>
      <c r="BB80" s="210">
        <f t="shared" si="255"/>
        <v>0</v>
      </c>
    </row>
    <row r="81" spans="1:54" ht="15.75" x14ac:dyDescent="0.25">
      <c r="A81" s="188" t="s">
        <v>135</v>
      </c>
      <c r="B81" s="203"/>
      <c r="C81" s="214"/>
      <c r="D81" s="97">
        <f t="shared" si="230"/>
        <v>0</v>
      </c>
      <c r="E81" s="214"/>
      <c r="F81" s="99">
        <f t="shared" si="237"/>
        <v>0</v>
      </c>
      <c r="G81" s="214"/>
      <c r="H81" s="97">
        <f t="shared" si="230"/>
        <v>0</v>
      </c>
      <c r="I81" s="214"/>
      <c r="J81" s="99">
        <f t="shared" si="238"/>
        <v>0</v>
      </c>
      <c r="K81" s="236">
        <f t="shared" si="239"/>
        <v>0</v>
      </c>
      <c r="L81" s="236">
        <f t="shared" si="240"/>
        <v>0</v>
      </c>
      <c r="M81" s="236">
        <f t="shared" si="241"/>
        <v>0</v>
      </c>
      <c r="N81" s="235">
        <f t="shared" si="242"/>
        <v>0</v>
      </c>
      <c r="O81" s="214"/>
      <c r="P81" s="115">
        <f t="shared" si="243"/>
        <v>0</v>
      </c>
      <c r="Q81" s="214"/>
      <c r="R81" s="99">
        <f t="shared" si="244"/>
        <v>0</v>
      </c>
      <c r="S81" s="214"/>
      <c r="T81" s="115">
        <f t="shared" si="245"/>
        <v>0</v>
      </c>
      <c r="U81" s="214"/>
      <c r="V81" s="99">
        <f t="shared" si="246"/>
        <v>0</v>
      </c>
      <c r="W81" s="214"/>
      <c r="X81" s="115"/>
      <c r="Y81" s="214"/>
      <c r="Z81" s="99">
        <f t="shared" si="247"/>
        <v>0</v>
      </c>
      <c r="AA81" s="210">
        <f t="shared" si="248"/>
        <v>0</v>
      </c>
      <c r="AB81" s="210">
        <f t="shared" si="248"/>
        <v>0</v>
      </c>
      <c r="AC81" s="210">
        <f t="shared" si="248"/>
        <v>0</v>
      </c>
      <c r="AD81" s="210">
        <f t="shared" si="249"/>
        <v>0</v>
      </c>
      <c r="AE81" s="214"/>
      <c r="AF81" s="97">
        <f t="shared" si="231"/>
        <v>0</v>
      </c>
      <c r="AG81" s="214"/>
      <c r="AH81" s="99">
        <f t="shared" si="250"/>
        <v>0</v>
      </c>
      <c r="AI81" s="214"/>
      <c r="AJ81" s="97">
        <f t="shared" si="232"/>
        <v>0</v>
      </c>
      <c r="AK81" s="214"/>
      <c r="AL81" s="99">
        <f t="shared" si="251"/>
        <v>0</v>
      </c>
      <c r="AM81" s="214"/>
      <c r="AN81" s="97">
        <f t="shared" si="233"/>
        <v>0</v>
      </c>
      <c r="AO81" s="214"/>
      <c r="AP81" s="99">
        <f t="shared" si="252"/>
        <v>0</v>
      </c>
      <c r="AQ81" s="210">
        <f t="shared" si="234"/>
        <v>0</v>
      </c>
      <c r="AR81" s="210">
        <f t="shared" si="234"/>
        <v>0</v>
      </c>
      <c r="AS81" s="210">
        <f t="shared" si="234"/>
        <v>0</v>
      </c>
      <c r="AT81" s="210">
        <f t="shared" si="253"/>
        <v>0</v>
      </c>
      <c r="AU81" s="214"/>
      <c r="AV81" s="97">
        <f t="shared" si="235"/>
        <v>0</v>
      </c>
      <c r="AW81" s="214"/>
      <c r="AX81" s="99">
        <f t="shared" si="254"/>
        <v>0</v>
      </c>
      <c r="AY81" s="210">
        <f t="shared" si="236"/>
        <v>0</v>
      </c>
      <c r="AZ81" s="210">
        <f t="shared" si="236"/>
        <v>0</v>
      </c>
      <c r="BA81" s="210">
        <f t="shared" si="236"/>
        <v>0</v>
      </c>
      <c r="BB81" s="210">
        <f t="shared" si="255"/>
        <v>0</v>
      </c>
    </row>
    <row r="82" spans="1:54" ht="15.75" x14ac:dyDescent="0.25">
      <c r="A82" s="188"/>
      <c r="B82" s="203"/>
      <c r="C82" s="214"/>
      <c r="D82" s="97"/>
      <c r="E82" s="214"/>
      <c r="F82" s="99">
        <f t="shared" si="237"/>
        <v>0</v>
      </c>
      <c r="G82" s="214"/>
      <c r="H82" s="97"/>
      <c r="I82" s="214"/>
      <c r="J82" s="99">
        <f t="shared" si="238"/>
        <v>0</v>
      </c>
      <c r="K82" s="236"/>
      <c r="L82" s="236"/>
      <c r="M82" s="236"/>
      <c r="N82" s="235">
        <f t="shared" si="242"/>
        <v>0</v>
      </c>
      <c r="O82" s="214"/>
      <c r="P82" s="115"/>
      <c r="Q82" s="214"/>
      <c r="R82" s="99">
        <f t="shared" si="244"/>
        <v>0</v>
      </c>
      <c r="S82" s="214"/>
      <c r="T82" s="115"/>
      <c r="U82" s="214"/>
      <c r="V82" s="99">
        <f t="shared" si="246"/>
        <v>0</v>
      </c>
      <c r="W82" s="214"/>
      <c r="X82" s="115"/>
      <c r="Y82" s="214"/>
      <c r="Z82" s="99">
        <f t="shared" si="247"/>
        <v>0</v>
      </c>
      <c r="AA82" s="210"/>
      <c r="AB82" s="210"/>
      <c r="AC82" s="210"/>
      <c r="AD82" s="210">
        <f t="shared" si="249"/>
        <v>0</v>
      </c>
      <c r="AE82" s="214"/>
      <c r="AF82" s="97"/>
      <c r="AG82" s="214"/>
      <c r="AH82" s="99">
        <f t="shared" si="250"/>
        <v>0</v>
      </c>
      <c r="AI82" s="214"/>
      <c r="AJ82" s="97"/>
      <c r="AK82" s="214"/>
      <c r="AL82" s="99">
        <f t="shared" si="251"/>
        <v>0</v>
      </c>
      <c r="AM82" s="214"/>
      <c r="AN82" s="97"/>
      <c r="AO82" s="214"/>
      <c r="AP82" s="99">
        <f t="shared" si="252"/>
        <v>0</v>
      </c>
      <c r="AQ82" s="210"/>
      <c r="AR82" s="210"/>
      <c r="AS82" s="210"/>
      <c r="AT82" s="210">
        <f t="shared" si="253"/>
        <v>0</v>
      </c>
      <c r="AU82" s="214"/>
      <c r="AV82" s="97"/>
      <c r="AW82" s="214"/>
      <c r="AX82" s="99">
        <f t="shared" si="254"/>
        <v>0</v>
      </c>
      <c r="AY82" s="210"/>
      <c r="AZ82" s="210"/>
      <c r="BA82" s="210"/>
      <c r="BB82" s="210">
        <f t="shared" si="255"/>
        <v>0</v>
      </c>
    </row>
    <row r="83" spans="1:54" ht="15.75" x14ac:dyDescent="0.25">
      <c r="A83" s="94" t="s">
        <v>187</v>
      </c>
      <c r="B83" s="203"/>
      <c r="C83" s="214">
        <f t="shared" ref="C83:H83" si="256">SUM(C25+C79*3.2+C80)</f>
        <v>38422.5</v>
      </c>
      <c r="D83" s="214">
        <f t="shared" si="256"/>
        <v>38422.5</v>
      </c>
      <c r="E83" s="214">
        <f t="shared" ref="E83:I83" si="257">SUM(E25+E79*3.2+E80)</f>
        <v>30657</v>
      </c>
      <c r="F83" s="99">
        <f t="shared" si="237"/>
        <v>79.789186023814167</v>
      </c>
      <c r="G83" s="214">
        <f t="shared" si="256"/>
        <v>1247</v>
      </c>
      <c r="H83" s="214">
        <f t="shared" si="256"/>
        <v>1247</v>
      </c>
      <c r="I83" s="214">
        <f t="shared" si="257"/>
        <v>1229</v>
      </c>
      <c r="J83" s="99">
        <f t="shared" si="238"/>
        <v>98.556535685645557</v>
      </c>
      <c r="K83" s="236">
        <f t="shared" si="239"/>
        <v>39669.5</v>
      </c>
      <c r="L83" s="236">
        <f t="shared" si="240"/>
        <v>39669.5</v>
      </c>
      <c r="M83" s="236">
        <f t="shared" si="241"/>
        <v>31886</v>
      </c>
      <c r="N83" s="235">
        <f t="shared" si="242"/>
        <v>80.379132582966761</v>
      </c>
      <c r="O83" s="214">
        <f t="shared" ref="O83" si="258">SUM(O25+O79*3.2+O80)</f>
        <v>978</v>
      </c>
      <c r="P83" s="115">
        <f t="shared" si="243"/>
        <v>978</v>
      </c>
      <c r="Q83" s="214">
        <f t="shared" ref="Q83" si="259">SUM(Q25+Q79*3.2+Q80)</f>
        <v>978</v>
      </c>
      <c r="R83" s="99">
        <f t="shared" si="244"/>
        <v>100</v>
      </c>
      <c r="S83" s="214">
        <f t="shared" ref="S83" si="260">SUM(S25+S79*3.2+S80)</f>
        <v>647</v>
      </c>
      <c r="T83" s="115">
        <f t="shared" si="245"/>
        <v>647</v>
      </c>
      <c r="U83" s="214">
        <f t="shared" ref="U83" si="261">SUM(U25+U79*3.2+U80)</f>
        <v>647</v>
      </c>
      <c r="V83" s="99">
        <f t="shared" si="246"/>
        <v>100</v>
      </c>
      <c r="W83" s="214">
        <f t="shared" ref="W83:X83" si="262">SUM(W25+W79*3.2+W80)</f>
        <v>18928</v>
      </c>
      <c r="X83" s="217">
        <f t="shared" si="262"/>
        <v>18928</v>
      </c>
      <c r="Y83" s="214">
        <f t="shared" ref="Y83" si="263">SUM(Y25+Y79*3.2+Y80)</f>
        <v>14100</v>
      </c>
      <c r="Z83" s="99">
        <f t="shared" si="247"/>
        <v>74.492814877430263</v>
      </c>
      <c r="AA83" s="210">
        <f t="shared" si="248"/>
        <v>20553</v>
      </c>
      <c r="AB83" s="210">
        <f t="shared" si="248"/>
        <v>20553</v>
      </c>
      <c r="AC83" s="210">
        <f t="shared" si="248"/>
        <v>15725</v>
      </c>
      <c r="AD83" s="210">
        <f t="shared" si="249"/>
        <v>76.509511993382958</v>
      </c>
      <c r="AE83" s="214">
        <f t="shared" ref="AE83:AF83" si="264">SUM(AE25+AE79*3.2+AE80)</f>
        <v>3577</v>
      </c>
      <c r="AF83" s="214">
        <f t="shared" si="264"/>
        <v>3577</v>
      </c>
      <c r="AG83" s="214">
        <f t="shared" ref="AG83" si="265">SUM(AG25+AG79*3.2+AG80)</f>
        <v>4989</v>
      </c>
      <c r="AH83" s="99">
        <f t="shared" si="250"/>
        <v>139.47441990494829</v>
      </c>
      <c r="AI83" s="214">
        <f t="shared" ref="AI83:AJ83" si="266">SUM(AI25+AI79*3.2+AI80)</f>
        <v>1611</v>
      </c>
      <c r="AJ83" s="214">
        <f t="shared" si="266"/>
        <v>1611</v>
      </c>
      <c r="AK83" s="214">
        <f t="shared" ref="AK83" si="267">SUM(AK25+AK79*3.2+AK80)</f>
        <v>1763</v>
      </c>
      <c r="AL83" s="99">
        <f t="shared" si="251"/>
        <v>109.43513345747982</v>
      </c>
      <c r="AM83" s="214">
        <f t="shared" ref="AM83:AN83" si="268">SUM(AM25+AM79*3.2+AM80)</f>
        <v>8624</v>
      </c>
      <c r="AN83" s="214">
        <f t="shared" si="268"/>
        <v>8624</v>
      </c>
      <c r="AO83" s="214">
        <f t="shared" ref="AO83" si="269">SUM(AO25+AO79*3.2+AO80)</f>
        <v>5684</v>
      </c>
      <c r="AP83" s="99">
        <f t="shared" si="252"/>
        <v>65.909090909090907</v>
      </c>
      <c r="AQ83" s="210">
        <f t="shared" si="234"/>
        <v>74034.5</v>
      </c>
      <c r="AR83" s="210">
        <f t="shared" si="234"/>
        <v>74034.5</v>
      </c>
      <c r="AS83" s="210">
        <f t="shared" si="234"/>
        <v>60047</v>
      </c>
      <c r="AT83" s="210">
        <f t="shared" si="253"/>
        <v>81.106781297908398</v>
      </c>
      <c r="AU83" s="214">
        <f t="shared" ref="AU83:AV83" si="270">SUM(AU25+AU79*3.2+AU80)</f>
        <v>9247</v>
      </c>
      <c r="AV83" s="214">
        <f t="shared" si="270"/>
        <v>9247</v>
      </c>
      <c r="AW83" s="214">
        <f t="shared" ref="AW83" si="271">SUM(AW25+AW79*3.2+AW80)</f>
        <v>3392</v>
      </c>
      <c r="AX83" s="99">
        <f t="shared" si="254"/>
        <v>36.682167189358708</v>
      </c>
      <c r="AY83" s="210">
        <f t="shared" si="236"/>
        <v>9247</v>
      </c>
      <c r="AZ83" s="210">
        <f t="shared" si="236"/>
        <v>9247</v>
      </c>
      <c r="BA83" s="210">
        <f t="shared" si="236"/>
        <v>3392</v>
      </c>
      <c r="BB83" s="210">
        <f t="shared" si="255"/>
        <v>36.682167189358708</v>
      </c>
    </row>
    <row r="84" spans="1:54" ht="15.75" x14ac:dyDescent="0.25">
      <c r="A84" s="94" t="s">
        <v>184</v>
      </c>
      <c r="B84" s="204"/>
      <c r="C84" s="214"/>
      <c r="D84" s="97">
        <f t="shared" si="230"/>
        <v>0</v>
      </c>
      <c r="E84" s="214"/>
      <c r="F84" s="99">
        <f t="shared" si="237"/>
        <v>0</v>
      </c>
      <c r="G84" s="214"/>
      <c r="H84" s="97">
        <f t="shared" si="230"/>
        <v>0</v>
      </c>
      <c r="I84" s="214"/>
      <c r="J84" s="99">
        <f t="shared" si="238"/>
        <v>0</v>
      </c>
      <c r="K84" s="236">
        <f t="shared" si="239"/>
        <v>0</v>
      </c>
      <c r="L84" s="236">
        <f t="shared" si="240"/>
        <v>0</v>
      </c>
      <c r="M84" s="236">
        <f t="shared" si="241"/>
        <v>0</v>
      </c>
      <c r="N84" s="235">
        <f t="shared" si="242"/>
        <v>0</v>
      </c>
      <c r="O84" s="214"/>
      <c r="P84" s="115">
        <f t="shared" si="243"/>
        <v>0</v>
      </c>
      <c r="Q84" s="214"/>
      <c r="R84" s="99">
        <f t="shared" si="244"/>
        <v>0</v>
      </c>
      <c r="S84" s="214"/>
      <c r="T84" s="115">
        <f t="shared" si="245"/>
        <v>0</v>
      </c>
      <c r="U84" s="214"/>
      <c r="V84" s="99">
        <f t="shared" si="246"/>
        <v>0</v>
      </c>
      <c r="W84" s="214"/>
      <c r="X84" s="115"/>
      <c r="Y84" s="214"/>
      <c r="Z84" s="99">
        <f t="shared" si="247"/>
        <v>0</v>
      </c>
      <c r="AA84" s="210">
        <f t="shared" si="248"/>
        <v>0</v>
      </c>
      <c r="AB84" s="210">
        <f t="shared" si="248"/>
        <v>0</v>
      </c>
      <c r="AC84" s="210">
        <f t="shared" si="248"/>
        <v>0</v>
      </c>
      <c r="AD84" s="210">
        <f t="shared" si="249"/>
        <v>0</v>
      </c>
      <c r="AE84" s="214"/>
      <c r="AF84" s="97">
        <f t="shared" si="231"/>
        <v>0</v>
      </c>
      <c r="AG84" s="214"/>
      <c r="AH84" s="99">
        <f t="shared" si="250"/>
        <v>0</v>
      </c>
      <c r="AI84" s="214"/>
      <c r="AJ84" s="97">
        <f t="shared" si="232"/>
        <v>0</v>
      </c>
      <c r="AK84" s="214"/>
      <c r="AL84" s="99">
        <f t="shared" si="251"/>
        <v>0</v>
      </c>
      <c r="AM84" s="214"/>
      <c r="AN84" s="97">
        <f t="shared" si="233"/>
        <v>0</v>
      </c>
      <c r="AO84" s="214"/>
      <c r="AP84" s="99">
        <f t="shared" si="252"/>
        <v>0</v>
      </c>
      <c r="AQ84" s="210">
        <f t="shared" si="234"/>
        <v>0</v>
      </c>
      <c r="AR84" s="210">
        <f t="shared" si="234"/>
        <v>0</v>
      </c>
      <c r="AS84" s="210">
        <f t="shared" si="234"/>
        <v>0</v>
      </c>
      <c r="AT84" s="210">
        <f t="shared" si="253"/>
        <v>0</v>
      </c>
      <c r="AU84" s="214"/>
      <c r="AV84" s="97">
        <f t="shared" si="235"/>
        <v>0</v>
      </c>
      <c r="AW84" s="214"/>
      <c r="AX84" s="99">
        <f t="shared" si="254"/>
        <v>0</v>
      </c>
      <c r="AY84" s="210">
        <f t="shared" si="236"/>
        <v>0</v>
      </c>
      <c r="AZ84" s="210">
        <f t="shared" si="236"/>
        <v>0</v>
      </c>
      <c r="BA84" s="210">
        <f t="shared" si="236"/>
        <v>0</v>
      </c>
      <c r="BB84" s="210">
        <f t="shared" si="255"/>
        <v>0</v>
      </c>
    </row>
    <row r="85" spans="1:54" ht="15.75" x14ac:dyDescent="0.25">
      <c r="A85" s="173" t="s">
        <v>186</v>
      </c>
      <c r="B85" s="204"/>
      <c r="C85" s="214"/>
      <c r="D85" s="97">
        <f t="shared" si="230"/>
        <v>0</v>
      </c>
      <c r="E85" s="214"/>
      <c r="F85" s="99">
        <f t="shared" si="237"/>
        <v>0</v>
      </c>
      <c r="G85" s="214"/>
      <c r="H85" s="97">
        <f t="shared" si="230"/>
        <v>0</v>
      </c>
      <c r="I85" s="214"/>
      <c r="J85" s="99">
        <f t="shared" si="238"/>
        <v>0</v>
      </c>
      <c r="K85" s="236">
        <f t="shared" si="239"/>
        <v>0</v>
      </c>
      <c r="L85" s="236">
        <f t="shared" si="240"/>
        <v>0</v>
      </c>
      <c r="M85" s="236">
        <f t="shared" si="241"/>
        <v>0</v>
      </c>
      <c r="N85" s="235">
        <f t="shared" si="242"/>
        <v>0</v>
      </c>
      <c r="O85" s="214"/>
      <c r="P85" s="115">
        <f t="shared" si="243"/>
        <v>0</v>
      </c>
      <c r="Q85" s="214"/>
      <c r="R85" s="99">
        <f t="shared" si="244"/>
        <v>0</v>
      </c>
      <c r="S85" s="214"/>
      <c r="T85" s="115">
        <f t="shared" si="245"/>
        <v>0</v>
      </c>
      <c r="U85" s="214"/>
      <c r="V85" s="99">
        <f t="shared" si="246"/>
        <v>0</v>
      </c>
      <c r="W85" s="214"/>
      <c r="X85" s="115"/>
      <c r="Y85" s="214"/>
      <c r="Z85" s="99">
        <f t="shared" si="247"/>
        <v>0</v>
      </c>
      <c r="AA85" s="210">
        <f t="shared" si="248"/>
        <v>0</v>
      </c>
      <c r="AB85" s="210">
        <f t="shared" si="248"/>
        <v>0</v>
      </c>
      <c r="AC85" s="210">
        <f t="shared" si="248"/>
        <v>0</v>
      </c>
      <c r="AD85" s="210">
        <f t="shared" si="249"/>
        <v>0</v>
      </c>
      <c r="AE85" s="214"/>
      <c r="AF85" s="97">
        <f t="shared" si="231"/>
        <v>0</v>
      </c>
      <c r="AG85" s="214"/>
      <c r="AH85" s="99">
        <f t="shared" si="250"/>
        <v>0</v>
      </c>
      <c r="AI85" s="214"/>
      <c r="AJ85" s="97">
        <f t="shared" si="232"/>
        <v>0</v>
      </c>
      <c r="AK85" s="214"/>
      <c r="AL85" s="99">
        <f t="shared" si="251"/>
        <v>0</v>
      </c>
      <c r="AM85" s="214"/>
      <c r="AN85" s="97">
        <f t="shared" si="233"/>
        <v>0</v>
      </c>
      <c r="AO85" s="214"/>
      <c r="AP85" s="99">
        <f t="shared" si="252"/>
        <v>0</v>
      </c>
      <c r="AQ85" s="210">
        <f t="shared" si="234"/>
        <v>0</v>
      </c>
      <c r="AR85" s="210">
        <f t="shared" si="234"/>
        <v>0</v>
      </c>
      <c r="AS85" s="210">
        <f t="shared" si="234"/>
        <v>0</v>
      </c>
      <c r="AT85" s="210">
        <f t="shared" si="253"/>
        <v>0</v>
      </c>
      <c r="AU85" s="214"/>
      <c r="AV85" s="97">
        <f t="shared" si="235"/>
        <v>0</v>
      </c>
      <c r="AW85" s="214"/>
      <c r="AX85" s="99">
        <f t="shared" si="254"/>
        <v>0</v>
      </c>
      <c r="AY85" s="210">
        <f t="shared" si="236"/>
        <v>0</v>
      </c>
      <c r="AZ85" s="210">
        <f t="shared" si="236"/>
        <v>0</v>
      </c>
      <c r="BA85" s="210">
        <f t="shared" si="236"/>
        <v>0</v>
      </c>
      <c r="BB85" s="210">
        <f t="shared" si="255"/>
        <v>0</v>
      </c>
    </row>
    <row r="86" spans="1:54" ht="15.75" x14ac:dyDescent="0.25">
      <c r="A86" s="190" t="s">
        <v>185</v>
      </c>
      <c r="B86" s="204"/>
      <c r="C86" s="214">
        <f t="shared" ref="C86:G86" si="272">C85/4</f>
        <v>0</v>
      </c>
      <c r="D86" s="97">
        <f t="shared" si="230"/>
        <v>0</v>
      </c>
      <c r="E86" s="214">
        <f t="shared" ref="E86:I86" si="273">E85/4</f>
        <v>0</v>
      </c>
      <c r="F86" s="99">
        <f t="shared" si="237"/>
        <v>0</v>
      </c>
      <c r="G86" s="214">
        <f t="shared" si="272"/>
        <v>0</v>
      </c>
      <c r="H86" s="97">
        <f t="shared" si="230"/>
        <v>0</v>
      </c>
      <c r="I86" s="214">
        <f t="shared" si="273"/>
        <v>0</v>
      </c>
      <c r="J86" s="99">
        <f t="shared" si="238"/>
        <v>0</v>
      </c>
      <c r="K86" s="236">
        <f t="shared" si="239"/>
        <v>0</v>
      </c>
      <c r="L86" s="236">
        <f t="shared" si="240"/>
        <v>0</v>
      </c>
      <c r="M86" s="236">
        <f t="shared" si="241"/>
        <v>0</v>
      </c>
      <c r="N86" s="235">
        <f t="shared" si="242"/>
        <v>0</v>
      </c>
      <c r="O86" s="214">
        <f t="shared" ref="O86" si="274">O85/4</f>
        <v>0</v>
      </c>
      <c r="P86" s="115">
        <f t="shared" si="243"/>
        <v>0</v>
      </c>
      <c r="Q86" s="214">
        <f t="shared" ref="Q86" si="275">Q85/4</f>
        <v>0</v>
      </c>
      <c r="R86" s="99">
        <f t="shared" si="244"/>
        <v>0</v>
      </c>
      <c r="S86" s="214">
        <f t="shared" ref="S86" si="276">S85/4</f>
        <v>0</v>
      </c>
      <c r="T86" s="115">
        <f t="shared" si="245"/>
        <v>0</v>
      </c>
      <c r="U86" s="214">
        <f t="shared" ref="U86" si="277">U85/4</f>
        <v>0</v>
      </c>
      <c r="V86" s="99">
        <f t="shared" si="246"/>
        <v>0</v>
      </c>
      <c r="W86" s="214">
        <f t="shared" ref="W86" si="278">W85/4</f>
        <v>0</v>
      </c>
      <c r="X86" s="115"/>
      <c r="Y86" s="214">
        <f t="shared" ref="Y86" si="279">Y85/4</f>
        <v>0</v>
      </c>
      <c r="Z86" s="99">
        <f t="shared" si="247"/>
        <v>0</v>
      </c>
      <c r="AA86" s="210">
        <f t="shared" si="248"/>
        <v>0</v>
      </c>
      <c r="AB86" s="210">
        <f t="shared" si="248"/>
        <v>0</v>
      </c>
      <c r="AC86" s="210">
        <f t="shared" si="248"/>
        <v>0</v>
      </c>
      <c r="AD86" s="210">
        <f t="shared" si="249"/>
        <v>0</v>
      </c>
      <c r="AE86" s="214">
        <f t="shared" ref="AE86" si="280">AE85/4</f>
        <v>0</v>
      </c>
      <c r="AF86" s="97">
        <f t="shared" si="231"/>
        <v>0</v>
      </c>
      <c r="AG86" s="214">
        <f t="shared" ref="AG86" si="281">AG85/4</f>
        <v>0</v>
      </c>
      <c r="AH86" s="99">
        <f t="shared" si="250"/>
        <v>0</v>
      </c>
      <c r="AI86" s="214">
        <f t="shared" ref="AI86" si="282">AI85/4</f>
        <v>0</v>
      </c>
      <c r="AJ86" s="97">
        <f t="shared" si="232"/>
        <v>0</v>
      </c>
      <c r="AK86" s="214">
        <f t="shared" ref="AK86" si="283">AK85/4</f>
        <v>0</v>
      </c>
      <c r="AL86" s="99">
        <f t="shared" si="251"/>
        <v>0</v>
      </c>
      <c r="AM86" s="214">
        <f t="shared" ref="AM86" si="284">AM85/4</f>
        <v>0</v>
      </c>
      <c r="AN86" s="97">
        <f t="shared" si="233"/>
        <v>0</v>
      </c>
      <c r="AO86" s="214">
        <f t="shared" ref="AO86" si="285">AO85/4</f>
        <v>0</v>
      </c>
      <c r="AP86" s="99">
        <f t="shared" si="252"/>
        <v>0</v>
      </c>
      <c r="AQ86" s="210">
        <f t="shared" si="234"/>
        <v>0</v>
      </c>
      <c r="AR86" s="210">
        <f t="shared" si="234"/>
        <v>0</v>
      </c>
      <c r="AS86" s="210">
        <f t="shared" si="234"/>
        <v>0</v>
      </c>
      <c r="AT86" s="210">
        <f t="shared" si="253"/>
        <v>0</v>
      </c>
      <c r="AU86" s="214">
        <f t="shared" ref="AU86" si="286">AU85/4</f>
        <v>0</v>
      </c>
      <c r="AV86" s="97">
        <f t="shared" si="235"/>
        <v>0</v>
      </c>
      <c r="AW86" s="214">
        <f t="shared" ref="AW86" si="287">AW85/4</f>
        <v>0</v>
      </c>
      <c r="AX86" s="99">
        <f t="shared" si="254"/>
        <v>0</v>
      </c>
      <c r="AY86" s="210">
        <f t="shared" si="236"/>
        <v>0</v>
      </c>
      <c r="AZ86" s="210">
        <f t="shared" si="236"/>
        <v>0</v>
      </c>
      <c r="BA86" s="210">
        <f t="shared" si="236"/>
        <v>0</v>
      </c>
      <c r="BB86" s="210">
        <f t="shared" si="255"/>
        <v>0</v>
      </c>
    </row>
    <row r="87" spans="1:54" ht="15.75" x14ac:dyDescent="0.25">
      <c r="A87" s="94" t="s">
        <v>179</v>
      </c>
      <c r="B87" s="234"/>
      <c r="C87" s="214">
        <f t="shared" ref="C87:H87" si="288">SUM(C86,C83)</f>
        <v>38422.5</v>
      </c>
      <c r="D87" s="214">
        <f t="shared" si="288"/>
        <v>38422.5</v>
      </c>
      <c r="E87" s="214">
        <f t="shared" ref="E87:I87" si="289">SUM(E86,E83)</f>
        <v>30657</v>
      </c>
      <c r="F87" s="99">
        <f t="shared" si="237"/>
        <v>79.789186023814167</v>
      </c>
      <c r="G87" s="214">
        <f t="shared" si="288"/>
        <v>1247</v>
      </c>
      <c r="H87" s="214">
        <f t="shared" si="288"/>
        <v>1247</v>
      </c>
      <c r="I87" s="214">
        <f t="shared" si="289"/>
        <v>1229</v>
      </c>
      <c r="J87" s="99">
        <f t="shared" si="238"/>
        <v>98.556535685645557</v>
      </c>
      <c r="K87" s="236">
        <f t="shared" si="239"/>
        <v>39669.5</v>
      </c>
      <c r="L87" s="236">
        <f t="shared" si="240"/>
        <v>39669.5</v>
      </c>
      <c r="M87" s="236">
        <f t="shared" si="241"/>
        <v>31886</v>
      </c>
      <c r="N87" s="235">
        <f t="shared" si="242"/>
        <v>80.379132582966761</v>
      </c>
      <c r="O87" s="214">
        <f t="shared" ref="O87" si="290">SUM(O86,O83)</f>
        <v>978</v>
      </c>
      <c r="P87" s="115">
        <f t="shared" si="243"/>
        <v>978</v>
      </c>
      <c r="Q87" s="214">
        <f t="shared" ref="Q87" si="291">SUM(Q86,Q83)</f>
        <v>978</v>
      </c>
      <c r="R87" s="99">
        <f t="shared" si="244"/>
        <v>100</v>
      </c>
      <c r="S87" s="214">
        <f t="shared" ref="S87" si="292">SUM(S86,S83)</f>
        <v>647</v>
      </c>
      <c r="T87" s="115">
        <f t="shared" si="245"/>
        <v>647</v>
      </c>
      <c r="U87" s="214">
        <f t="shared" ref="U87" si="293">SUM(U86,U83)</f>
        <v>647</v>
      </c>
      <c r="V87" s="99">
        <f t="shared" si="246"/>
        <v>100</v>
      </c>
      <c r="W87" s="214">
        <f t="shared" ref="W87:X87" si="294">SUM(W86,W83)</f>
        <v>18928</v>
      </c>
      <c r="X87" s="217">
        <f t="shared" si="294"/>
        <v>18928</v>
      </c>
      <c r="Y87" s="214">
        <f t="shared" ref="Y87" si="295">SUM(Y86,Y83)</f>
        <v>14100</v>
      </c>
      <c r="Z87" s="99">
        <f t="shared" si="247"/>
        <v>74.492814877430263</v>
      </c>
      <c r="AA87" s="210">
        <f t="shared" si="248"/>
        <v>20553</v>
      </c>
      <c r="AB87" s="210">
        <f t="shared" si="248"/>
        <v>20553</v>
      </c>
      <c r="AC87" s="210">
        <f t="shared" si="248"/>
        <v>15725</v>
      </c>
      <c r="AD87" s="210">
        <f t="shared" si="249"/>
        <v>76.509511993382958</v>
      </c>
      <c r="AE87" s="214">
        <f t="shared" ref="AE87:AF87" si="296">SUM(AE86,AE83)</f>
        <v>3577</v>
      </c>
      <c r="AF87" s="214">
        <f t="shared" si="296"/>
        <v>3577</v>
      </c>
      <c r="AG87" s="214">
        <f t="shared" ref="AG87" si="297">SUM(AG86,AG83)</f>
        <v>4989</v>
      </c>
      <c r="AH87" s="99">
        <f t="shared" si="250"/>
        <v>139.47441990494829</v>
      </c>
      <c r="AI87" s="214">
        <f t="shared" ref="AI87:AJ87" si="298">SUM(AI86,AI83)</f>
        <v>1611</v>
      </c>
      <c r="AJ87" s="214">
        <f t="shared" si="298"/>
        <v>1611</v>
      </c>
      <c r="AK87" s="214">
        <f t="shared" ref="AK87" si="299">SUM(AK86,AK83)</f>
        <v>1763</v>
      </c>
      <c r="AL87" s="99">
        <f t="shared" si="251"/>
        <v>109.43513345747982</v>
      </c>
      <c r="AM87" s="214">
        <f t="shared" ref="AM87:AN87" si="300">SUM(AM86,AM83)</f>
        <v>8624</v>
      </c>
      <c r="AN87" s="214">
        <f t="shared" si="300"/>
        <v>8624</v>
      </c>
      <c r="AO87" s="214">
        <f t="shared" ref="AO87" si="301">SUM(AO86,AO83)</f>
        <v>5684</v>
      </c>
      <c r="AP87" s="99">
        <f t="shared" si="252"/>
        <v>65.909090909090907</v>
      </c>
      <c r="AQ87" s="210">
        <f t="shared" si="234"/>
        <v>74034.5</v>
      </c>
      <c r="AR87" s="210">
        <f t="shared" si="234"/>
        <v>74034.5</v>
      </c>
      <c r="AS87" s="210">
        <f t="shared" si="234"/>
        <v>60047</v>
      </c>
      <c r="AT87" s="210">
        <f t="shared" si="253"/>
        <v>81.106781297908398</v>
      </c>
      <c r="AU87" s="214">
        <f t="shared" ref="AU87:AV87" si="302">SUM(AU86,AU83)</f>
        <v>9247</v>
      </c>
      <c r="AV87" s="214">
        <f t="shared" si="302"/>
        <v>9247</v>
      </c>
      <c r="AW87" s="214">
        <f t="shared" ref="AW87" si="303">SUM(AW86,AW83)</f>
        <v>3392</v>
      </c>
      <c r="AX87" s="99">
        <f t="shared" si="254"/>
        <v>36.682167189358708</v>
      </c>
      <c r="AY87" s="210">
        <f t="shared" si="236"/>
        <v>9247</v>
      </c>
      <c r="AZ87" s="210">
        <f t="shared" si="236"/>
        <v>9247</v>
      </c>
      <c r="BA87" s="210">
        <f t="shared" si="236"/>
        <v>3392</v>
      </c>
      <c r="BB87" s="210">
        <f t="shared" si="255"/>
        <v>36.682167189358708</v>
      </c>
    </row>
    <row r="88" spans="1:54" ht="15.75" x14ac:dyDescent="0.25">
      <c r="A88" s="94"/>
      <c r="B88" s="203"/>
      <c r="C88" s="214"/>
      <c r="D88" s="97">
        <f t="shared" si="230"/>
        <v>0</v>
      </c>
      <c r="E88" s="214"/>
      <c r="F88" s="99">
        <f t="shared" si="237"/>
        <v>0</v>
      </c>
      <c r="G88" s="214"/>
      <c r="H88" s="97">
        <f t="shared" si="230"/>
        <v>0</v>
      </c>
      <c r="I88" s="214"/>
      <c r="J88" s="99">
        <f t="shared" si="238"/>
        <v>0</v>
      </c>
      <c r="K88" s="236">
        <f t="shared" si="239"/>
        <v>0</v>
      </c>
      <c r="L88" s="236">
        <f t="shared" si="240"/>
        <v>0</v>
      </c>
      <c r="M88" s="236">
        <f t="shared" si="241"/>
        <v>0</v>
      </c>
      <c r="N88" s="235">
        <f t="shared" si="242"/>
        <v>0</v>
      </c>
      <c r="O88" s="214"/>
      <c r="P88" s="115">
        <f t="shared" si="243"/>
        <v>0</v>
      </c>
      <c r="Q88" s="214"/>
      <c r="R88" s="99">
        <f t="shared" si="244"/>
        <v>0</v>
      </c>
      <c r="S88" s="214"/>
      <c r="T88" s="115">
        <f t="shared" si="245"/>
        <v>0</v>
      </c>
      <c r="U88" s="214"/>
      <c r="V88" s="99">
        <f t="shared" si="246"/>
        <v>0</v>
      </c>
      <c r="W88" s="214"/>
      <c r="X88" s="115"/>
      <c r="Y88" s="214"/>
      <c r="Z88" s="99">
        <f t="shared" si="247"/>
        <v>0</v>
      </c>
      <c r="AA88" s="210">
        <f t="shared" si="248"/>
        <v>0</v>
      </c>
      <c r="AB88" s="210">
        <f t="shared" si="248"/>
        <v>0</v>
      </c>
      <c r="AC88" s="210">
        <f t="shared" si="248"/>
        <v>0</v>
      </c>
      <c r="AD88" s="210">
        <f t="shared" si="249"/>
        <v>0</v>
      </c>
      <c r="AE88" s="214"/>
      <c r="AF88" s="97">
        <f t="shared" si="231"/>
        <v>0</v>
      </c>
      <c r="AG88" s="214"/>
      <c r="AH88" s="99">
        <f t="shared" si="250"/>
        <v>0</v>
      </c>
      <c r="AI88" s="214"/>
      <c r="AJ88" s="97">
        <f t="shared" si="232"/>
        <v>0</v>
      </c>
      <c r="AK88" s="214"/>
      <c r="AL88" s="99">
        <f t="shared" si="251"/>
        <v>0</v>
      </c>
      <c r="AM88" s="214"/>
      <c r="AN88" s="97">
        <f t="shared" si="233"/>
        <v>0</v>
      </c>
      <c r="AO88" s="214"/>
      <c r="AP88" s="99">
        <f t="shared" si="252"/>
        <v>0</v>
      </c>
      <c r="AQ88" s="210">
        <f t="shared" si="234"/>
        <v>0</v>
      </c>
      <c r="AR88" s="210">
        <f t="shared" si="234"/>
        <v>0</v>
      </c>
      <c r="AS88" s="210">
        <f t="shared" si="234"/>
        <v>0</v>
      </c>
      <c r="AT88" s="210">
        <f t="shared" si="253"/>
        <v>0</v>
      </c>
      <c r="AU88" s="214"/>
      <c r="AV88" s="97">
        <f t="shared" si="235"/>
        <v>0</v>
      </c>
      <c r="AW88" s="214"/>
      <c r="AX88" s="99">
        <f t="shared" si="254"/>
        <v>0</v>
      </c>
      <c r="AY88" s="210">
        <f t="shared" si="236"/>
        <v>0</v>
      </c>
      <c r="AZ88" s="210">
        <f t="shared" si="236"/>
        <v>0</v>
      </c>
      <c r="BA88" s="210">
        <f t="shared" si="236"/>
        <v>0</v>
      </c>
      <c r="BB88" s="210">
        <f t="shared" si="255"/>
        <v>0</v>
      </c>
    </row>
    <row r="89" spans="1:54" s="221" customFormat="1" ht="15.75" x14ac:dyDescent="0.25">
      <c r="A89" s="87" t="s">
        <v>180</v>
      </c>
      <c r="B89" s="205"/>
      <c r="C89" s="109">
        <f t="shared" ref="C89:I89" si="304">SUM(C87,C23)</f>
        <v>221575.5</v>
      </c>
      <c r="D89" s="109">
        <f t="shared" si="304"/>
        <v>221575.5</v>
      </c>
      <c r="E89" s="109">
        <f t="shared" si="304"/>
        <v>220098.65000000002</v>
      </c>
      <c r="F89" s="110">
        <f t="shared" si="237"/>
        <v>99.333477753632522</v>
      </c>
      <c r="G89" s="109">
        <f t="shared" si="304"/>
        <v>17491.2</v>
      </c>
      <c r="H89" s="109">
        <f t="shared" si="304"/>
        <v>17491.2</v>
      </c>
      <c r="I89" s="109">
        <f t="shared" si="304"/>
        <v>17474.300000000003</v>
      </c>
      <c r="J89" s="110">
        <f t="shared" si="238"/>
        <v>99.903379985364083</v>
      </c>
      <c r="K89" s="285">
        <f t="shared" si="239"/>
        <v>239066.7</v>
      </c>
      <c r="L89" s="285">
        <f t="shared" si="240"/>
        <v>239066.7</v>
      </c>
      <c r="M89" s="285">
        <f t="shared" si="241"/>
        <v>237572.95</v>
      </c>
      <c r="N89" s="285">
        <f t="shared" si="242"/>
        <v>99.37517437602142</v>
      </c>
      <c r="O89" s="109">
        <f t="shared" ref="O89:Q89" si="305">SUM(O87,O23)</f>
        <v>24852.800000000003</v>
      </c>
      <c r="P89" s="109">
        <f t="shared" si="305"/>
        <v>24852.800000000003</v>
      </c>
      <c r="Q89" s="109">
        <f t="shared" si="305"/>
        <v>24852.012500000001</v>
      </c>
      <c r="R89" s="110">
        <f t="shared" si="244"/>
        <v>99.996831342947274</v>
      </c>
      <c r="S89" s="109">
        <f t="shared" ref="S89:U89" si="306">SUM(S87,S23)</f>
        <v>13018</v>
      </c>
      <c r="T89" s="240">
        <f t="shared" si="245"/>
        <v>13018</v>
      </c>
      <c r="U89" s="109">
        <f t="shared" si="306"/>
        <v>13018.012500000001</v>
      </c>
      <c r="V89" s="110">
        <f t="shared" si="246"/>
        <v>100.00009602089415</v>
      </c>
      <c r="W89" s="109">
        <f t="shared" ref="W89:Y89" si="307">SUM(W87,W23)</f>
        <v>147445</v>
      </c>
      <c r="X89" s="109">
        <f t="shared" si="307"/>
        <v>147445</v>
      </c>
      <c r="Y89" s="109">
        <f t="shared" si="307"/>
        <v>130618.03750000001</v>
      </c>
      <c r="Z89" s="110">
        <f t="shared" si="247"/>
        <v>88.587634372138766</v>
      </c>
      <c r="AA89" s="220">
        <f t="shared" si="248"/>
        <v>185315.8</v>
      </c>
      <c r="AB89" s="220">
        <f t="shared" si="248"/>
        <v>185315.8</v>
      </c>
      <c r="AC89" s="220">
        <f t="shared" si="248"/>
        <v>168488.0625</v>
      </c>
      <c r="AD89" s="220">
        <f t="shared" si="249"/>
        <v>90.919426460129145</v>
      </c>
      <c r="AE89" s="109">
        <f t="shared" ref="AE89:AG89" si="308">SUM(AE87,AE23)</f>
        <v>32712</v>
      </c>
      <c r="AF89" s="109">
        <f t="shared" si="308"/>
        <v>32712</v>
      </c>
      <c r="AG89" s="109">
        <f t="shared" si="308"/>
        <v>30036.012500000001</v>
      </c>
      <c r="AH89" s="110">
        <f t="shared" si="250"/>
        <v>91.819553986304726</v>
      </c>
      <c r="AI89" s="109">
        <f t="shared" ref="AI89:AK89" si="309">SUM(AI87,AI23)</f>
        <v>19844.599999999999</v>
      </c>
      <c r="AJ89" s="109">
        <f t="shared" si="309"/>
        <v>19844.599999999999</v>
      </c>
      <c r="AK89" s="109">
        <f t="shared" si="309"/>
        <v>15834.975</v>
      </c>
      <c r="AL89" s="110">
        <f t="shared" si="251"/>
        <v>79.794881227134852</v>
      </c>
      <c r="AM89" s="109">
        <f t="shared" ref="AM89:AO89" si="310">SUM(AM87,AM23)</f>
        <v>73144</v>
      </c>
      <c r="AN89" s="109">
        <f t="shared" si="310"/>
        <v>73144</v>
      </c>
      <c r="AO89" s="109">
        <f t="shared" si="310"/>
        <v>76241.200000000012</v>
      </c>
      <c r="AP89" s="110">
        <f t="shared" si="252"/>
        <v>104.23438696270372</v>
      </c>
      <c r="AQ89" s="220">
        <f t="shared" si="234"/>
        <v>550083.10000000009</v>
      </c>
      <c r="AR89" s="220">
        <f t="shared" si="234"/>
        <v>550083.10000000009</v>
      </c>
      <c r="AS89" s="220">
        <f t="shared" si="234"/>
        <v>528173.19999999995</v>
      </c>
      <c r="AT89" s="220">
        <f t="shared" si="253"/>
        <v>96.016983615748217</v>
      </c>
      <c r="AU89" s="109">
        <f t="shared" ref="AU89:AW89" si="311">SUM(AU87,AU23)</f>
        <v>208456.80000000002</v>
      </c>
      <c r="AV89" s="109">
        <f t="shared" si="311"/>
        <v>208456.80000000002</v>
      </c>
      <c r="AW89" s="109">
        <f t="shared" si="311"/>
        <v>148354.29999999999</v>
      </c>
      <c r="AX89" s="110">
        <f t="shared" si="254"/>
        <v>71.167887063410731</v>
      </c>
      <c r="AY89" s="220">
        <f t="shared" si="236"/>
        <v>208456.80000000002</v>
      </c>
      <c r="AZ89" s="220">
        <f t="shared" si="236"/>
        <v>208456.80000000002</v>
      </c>
      <c r="BA89" s="220">
        <f t="shared" si="236"/>
        <v>148354.29999999999</v>
      </c>
      <c r="BB89" s="220">
        <f t="shared" si="255"/>
        <v>71.167887063410731</v>
      </c>
    </row>
    <row r="91" spans="1:54" s="223" customFormat="1" ht="25.5" x14ac:dyDescent="0.2">
      <c r="A91" s="253" t="s">
        <v>263</v>
      </c>
      <c r="B91" s="277"/>
      <c r="C91" s="277"/>
      <c r="D91" s="277"/>
      <c r="E91" s="277" t="s">
        <v>388</v>
      </c>
      <c r="F91" s="277"/>
      <c r="G91" s="277"/>
      <c r="H91" s="277"/>
      <c r="I91" s="277" t="s">
        <v>346</v>
      </c>
      <c r="J91" s="277"/>
      <c r="K91" s="277"/>
      <c r="L91" s="277"/>
      <c r="M91" s="277"/>
      <c r="N91" s="252"/>
      <c r="O91" s="277"/>
      <c r="P91" s="277"/>
      <c r="Q91" s="277"/>
      <c r="R91" s="277"/>
      <c r="S91" s="277"/>
      <c r="T91" s="277"/>
      <c r="U91" s="277"/>
      <c r="V91" s="277"/>
      <c r="W91" s="277"/>
      <c r="X91" s="277"/>
      <c r="Y91" s="277" t="s">
        <v>389</v>
      </c>
      <c r="Z91" s="277"/>
      <c r="AA91" s="277"/>
      <c r="AB91" s="277"/>
      <c r="AC91" s="277"/>
      <c r="AD91" s="252"/>
      <c r="AE91" s="277"/>
      <c r="AF91" s="277"/>
      <c r="AG91" s="277" t="s">
        <v>390</v>
      </c>
      <c r="AH91" s="277"/>
      <c r="AI91" s="277"/>
      <c r="AJ91" s="277"/>
      <c r="AK91" s="277">
        <v>-31</v>
      </c>
      <c r="AL91" s="277"/>
      <c r="AM91" s="277"/>
      <c r="AN91" s="277"/>
      <c r="AO91" s="277" t="s">
        <v>391</v>
      </c>
      <c r="AP91" s="277"/>
      <c r="AQ91" s="277"/>
      <c r="AR91" s="277"/>
      <c r="AS91" s="277"/>
      <c r="AT91" s="252"/>
      <c r="AU91" s="277"/>
      <c r="AV91" s="277"/>
      <c r="AW91" s="277" t="s">
        <v>392</v>
      </c>
      <c r="AX91" s="277"/>
      <c r="AY91" s="277"/>
      <c r="AZ91" s="277"/>
      <c r="BA91" s="277"/>
      <c r="BB91" s="277"/>
    </row>
  </sheetData>
  <customSheetViews>
    <customSheetView guid="{C4C3C6EA-4E99-4A9E-A26B-FFCC7AED73F2}">
      <pane xSplit="3" ySplit="10" topLeftCell="AK17" activePane="bottomRight" state="frozen"/>
      <selection pane="bottomRight" activeCell="AX29" sqref="AX29"/>
      <pageMargins left="0.7" right="0.7" top="0.75" bottom="0.75" header="0.3" footer="0.3"/>
    </customSheetView>
    <customSheetView guid="{7AB5B88D-359A-416D-9EE2-70D3717CE362}">
      <pane xSplit="3" ySplit="10" topLeftCell="BJ11" activePane="bottomRight" state="frozen"/>
      <selection pane="bottomRight" activeCell="AZ7" sqref="AZ7:BE9"/>
      <pageMargins left="0.7" right="0.7" top="0.75" bottom="0.75" header="0.3" footer="0.3"/>
    </customSheetView>
    <customSheetView guid="{54C0345E-C30A-4773-9BED-454F3B675FBE}">
      <pane xSplit="2" ySplit="9" topLeftCell="AK11" activePane="bottomRight" state="frozen"/>
      <selection pane="bottomRight" activeCell="AS21" sqref="AS21"/>
      <pageMargins left="0.7" right="0.7" top="0.75" bottom="0.75" header="0.3" footer="0.3"/>
    </customSheetView>
  </customSheetViews>
  <mergeCells count="58">
    <mergeCell ref="AU7:AX7"/>
    <mergeCell ref="AY7:BB7"/>
    <mergeCell ref="AQ7:AT7"/>
    <mergeCell ref="S7:V7"/>
    <mergeCell ref="AA7:AD7"/>
    <mergeCell ref="AE7:AH7"/>
    <mergeCell ref="AI7:AL7"/>
    <mergeCell ref="AM7:AP7"/>
    <mergeCell ref="G7:J7"/>
    <mergeCell ref="K7:N7"/>
    <mergeCell ref="C4:F4"/>
    <mergeCell ref="G4:J4"/>
    <mergeCell ref="K4:N6"/>
    <mergeCell ref="C5:F5"/>
    <mergeCell ref="G5:J5"/>
    <mergeCell ref="A1:H2"/>
    <mergeCell ref="O4:R4"/>
    <mergeCell ref="S4:V4"/>
    <mergeCell ref="AA4:AD6"/>
    <mergeCell ref="AE4:AH4"/>
    <mergeCell ref="AI4:AL4"/>
    <mergeCell ref="AE6:AH6"/>
    <mergeCell ref="AI6:AL6"/>
    <mergeCell ref="O5:R5"/>
    <mergeCell ref="S5:V5"/>
    <mergeCell ref="AE5:AH5"/>
    <mergeCell ref="C8:F8"/>
    <mergeCell ref="G8:J8"/>
    <mergeCell ref="K8:N8"/>
    <mergeCell ref="O8:R8"/>
    <mergeCell ref="AM6:AP6"/>
    <mergeCell ref="C6:F6"/>
    <mergeCell ref="G6:J6"/>
    <mergeCell ref="O6:R6"/>
    <mergeCell ref="S6:V6"/>
    <mergeCell ref="O7:R7"/>
    <mergeCell ref="S8:V8"/>
    <mergeCell ref="AA8:AD8"/>
    <mergeCell ref="AE8:AH8"/>
    <mergeCell ref="AI8:AL8"/>
    <mergeCell ref="AM8:AP8"/>
    <mergeCell ref="C7:F7"/>
    <mergeCell ref="AQ8:AT8"/>
    <mergeCell ref="AU8:AX8"/>
    <mergeCell ref="AY8:BB8"/>
    <mergeCell ref="W4:Z4"/>
    <mergeCell ref="W5:Z5"/>
    <mergeCell ref="W6:Z6"/>
    <mergeCell ref="W7:Z7"/>
    <mergeCell ref="W8:Z8"/>
    <mergeCell ref="AU6:AX6"/>
    <mergeCell ref="AM4:AP4"/>
    <mergeCell ref="AQ4:AT6"/>
    <mergeCell ref="AU4:AX4"/>
    <mergeCell ref="AY4:BB6"/>
    <mergeCell ref="AI5:AL5"/>
    <mergeCell ref="AM5:AP5"/>
    <mergeCell ref="AU5:AX5"/>
  </mergeCells>
  <pageMargins left="0" right="0" top="0" bottom="0" header="0.31496062992125984" footer="0.31496062992125984"/>
  <pageSetup paperSize="9" scale="5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92"/>
  <sheetViews>
    <sheetView tabSelected="1" zoomScale="90" zoomScaleNormal="90" zoomScaleSheetLayoutView="100" workbookViewId="0">
      <pane xSplit="2" ySplit="6" topLeftCell="BJ70" activePane="bottomRight" state="frozen"/>
      <selection pane="topRight" activeCell="D1" sqref="D1"/>
      <selection pane="bottomLeft" activeCell="A8" sqref="A8"/>
      <selection pane="bottomRight" activeCell="CE3" sqref="CE3:CH85"/>
    </sheetView>
  </sheetViews>
  <sheetFormatPr defaultRowHeight="12.75" x14ac:dyDescent="0.2"/>
  <cols>
    <col min="1" max="1" width="50.28515625" customWidth="1"/>
    <col min="2" max="2" width="11.7109375" customWidth="1"/>
    <col min="3" max="3" width="12.140625" customWidth="1"/>
    <col min="4" max="4" width="13.140625" hidden="1" customWidth="1"/>
    <col min="5" max="5" width="14.28515625" customWidth="1"/>
    <col min="6" max="6" width="13.5703125" customWidth="1"/>
    <col min="7" max="7" width="12.140625" customWidth="1"/>
    <col min="8" max="8" width="13.140625" hidden="1" customWidth="1"/>
    <col min="9" max="9" width="14.28515625" customWidth="1"/>
    <col min="10" max="10" width="13.5703125" customWidth="1"/>
    <col min="11" max="11" width="12.5703125" customWidth="1"/>
    <col min="12" max="12" width="12.5703125" hidden="1" customWidth="1"/>
    <col min="13" max="13" width="12.140625" customWidth="1"/>
    <col min="14" max="14" width="12.5703125" customWidth="1"/>
    <col min="15" max="15" width="11.42578125" customWidth="1"/>
    <col min="16" max="16" width="11.42578125" hidden="1" customWidth="1"/>
    <col min="17" max="17" width="12.140625" customWidth="1"/>
    <col min="18" max="18" width="12.5703125" customWidth="1"/>
    <col min="19" max="19" width="11" customWidth="1"/>
    <col min="20" max="20" width="11" hidden="1" customWidth="1"/>
    <col min="21" max="21" width="12.140625" customWidth="1"/>
    <col min="22" max="22" width="12.5703125" customWidth="1"/>
    <col min="23" max="23" width="11" customWidth="1"/>
    <col min="24" max="24" width="11" hidden="1" customWidth="1"/>
    <col min="25" max="25" width="12.140625" customWidth="1"/>
    <col min="26" max="26" width="12.5703125" customWidth="1"/>
    <col min="27" max="27" width="12.85546875" customWidth="1"/>
    <col min="28" max="28" width="12.85546875" hidden="1" customWidth="1"/>
    <col min="29" max="29" width="12.140625" customWidth="1"/>
    <col min="30" max="30" width="12.5703125" customWidth="1"/>
    <col min="31" max="31" width="13" customWidth="1"/>
    <col min="32" max="32" width="11.42578125" hidden="1" customWidth="1"/>
    <col min="33" max="33" width="12.140625" customWidth="1"/>
    <col min="34" max="34" width="13.5703125" customWidth="1"/>
    <col min="35" max="35" width="12.140625" customWidth="1"/>
    <col min="36" max="36" width="12.140625" hidden="1" customWidth="1"/>
    <col min="37" max="37" width="12.140625" customWidth="1"/>
    <col min="38" max="38" width="12.5703125" customWidth="1"/>
    <col min="39" max="39" width="11.5703125" customWidth="1"/>
    <col min="40" max="40" width="11.5703125" hidden="1" customWidth="1"/>
    <col min="41" max="41" width="12.140625" customWidth="1"/>
    <col min="42" max="42" width="12.5703125" customWidth="1"/>
    <col min="43" max="43" width="11" customWidth="1"/>
    <col min="44" max="44" width="11" hidden="1" customWidth="1"/>
    <col min="45" max="45" width="12.140625" customWidth="1"/>
    <col min="46" max="46" width="12.5703125" customWidth="1"/>
    <col min="47" max="47" width="12.42578125" customWidth="1"/>
    <col min="48" max="48" width="12.42578125" hidden="1" customWidth="1"/>
    <col min="49" max="49" width="12.140625" customWidth="1"/>
    <col min="50" max="50" width="12.5703125" customWidth="1"/>
    <col min="51" max="51" width="10.140625" customWidth="1"/>
    <col min="52" max="52" width="10.140625" hidden="1" customWidth="1"/>
    <col min="53" max="53" width="12.140625" customWidth="1"/>
    <col min="54" max="54" width="12.5703125" customWidth="1"/>
    <col min="55" max="55" width="9.140625" customWidth="1"/>
    <col min="56" max="56" width="9.140625" hidden="1" customWidth="1"/>
    <col min="57" max="57" width="12.140625" customWidth="1"/>
    <col min="58" max="58" width="11.7109375" customWidth="1"/>
    <col min="59" max="59" width="12" customWidth="1"/>
    <col min="60" max="60" width="12" hidden="1" customWidth="1"/>
    <col min="61" max="61" width="12.140625" customWidth="1"/>
    <col min="62" max="62" width="12.5703125" customWidth="1"/>
    <col min="63" max="63" width="11.5703125" customWidth="1"/>
    <col min="64" max="64" width="11.5703125" hidden="1" customWidth="1"/>
    <col min="65" max="65" width="12.140625" customWidth="1"/>
    <col min="66" max="66" width="12.5703125" customWidth="1"/>
    <col min="67" max="67" width="9" customWidth="1"/>
    <col min="68" max="68" width="10.28515625" hidden="1" customWidth="1"/>
    <col min="69" max="69" width="12.140625" customWidth="1"/>
    <col min="70" max="70" width="11.7109375" customWidth="1"/>
    <col min="71" max="71" width="10.140625" customWidth="1"/>
    <col min="72" max="72" width="10.140625" hidden="1" customWidth="1"/>
    <col min="73" max="73" width="12.140625" customWidth="1"/>
    <col min="74" max="74" width="11.7109375" customWidth="1"/>
    <col min="75" max="75" width="9.140625" customWidth="1"/>
    <col min="76" max="76" width="9.140625" hidden="1" customWidth="1"/>
    <col min="77" max="77" width="12.140625" customWidth="1"/>
    <col min="78" max="78" width="12.5703125" customWidth="1"/>
    <col min="79" max="79" width="10.5703125" customWidth="1"/>
    <col min="80" max="80" width="10.5703125" hidden="1" customWidth="1"/>
    <col min="81" max="81" width="12.140625" customWidth="1"/>
    <col min="82" max="82" width="12.5703125" customWidth="1"/>
    <col min="83" max="83" width="15" customWidth="1"/>
    <col min="84" max="84" width="15.7109375" hidden="1" customWidth="1"/>
    <col min="85" max="85" width="14.5703125" customWidth="1"/>
    <col min="86" max="86" width="11" customWidth="1"/>
    <col min="87" max="87" width="12.5703125" hidden="1" customWidth="1"/>
  </cols>
  <sheetData>
    <row r="1" spans="1:87" ht="37.5" customHeight="1" x14ac:dyDescent="0.2">
      <c r="A1" s="488" t="s">
        <v>347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371"/>
      <c r="S1" s="371"/>
      <c r="T1" s="371"/>
      <c r="U1" s="371"/>
      <c r="V1" s="371"/>
      <c r="W1" s="371"/>
      <c r="X1" s="371"/>
      <c r="Y1" s="371"/>
      <c r="Z1" s="371"/>
      <c r="AA1" s="371"/>
      <c r="AB1" s="371"/>
      <c r="AC1" s="371"/>
      <c r="AD1" s="371"/>
      <c r="AE1" s="371"/>
      <c r="AF1" s="371"/>
      <c r="AG1" s="371"/>
      <c r="AH1" s="371"/>
      <c r="AI1" s="371"/>
      <c r="AJ1" s="371"/>
      <c r="AK1" s="371"/>
      <c r="AL1" s="371"/>
      <c r="AM1" s="371"/>
      <c r="AN1" s="371"/>
      <c r="AO1" s="371"/>
      <c r="AP1" s="371"/>
      <c r="AQ1" s="371"/>
      <c r="AR1" s="371"/>
      <c r="AS1" s="371"/>
      <c r="AT1" s="371"/>
      <c r="AU1" s="371"/>
      <c r="AV1" s="371"/>
      <c r="AW1" s="371"/>
      <c r="AX1" s="371"/>
      <c r="AY1" s="371"/>
      <c r="AZ1" s="371"/>
      <c r="BA1" s="371"/>
      <c r="BB1" s="371"/>
      <c r="BC1" s="371"/>
      <c r="BD1" s="371"/>
      <c r="BE1" s="371"/>
      <c r="BF1" s="371"/>
      <c r="BG1" s="371"/>
      <c r="BH1" s="371"/>
      <c r="BI1" s="371"/>
      <c r="BJ1" s="371"/>
      <c r="BK1" s="371"/>
      <c r="BL1" s="371"/>
      <c r="BM1" s="371"/>
      <c r="BN1" s="371"/>
      <c r="BO1" s="371"/>
      <c r="BP1" s="371"/>
      <c r="BQ1" s="371"/>
      <c r="BR1" s="371"/>
      <c r="BS1" s="371"/>
      <c r="BT1" s="371"/>
      <c r="BU1" s="371"/>
      <c r="BV1" s="371"/>
      <c r="BW1" s="371"/>
      <c r="BX1" s="371"/>
      <c r="BY1" s="371"/>
      <c r="BZ1" s="371"/>
      <c r="CA1" s="371"/>
      <c r="CB1" s="371"/>
      <c r="CC1" s="371"/>
      <c r="CD1" s="371"/>
      <c r="CE1" s="371"/>
      <c r="CF1" s="371"/>
      <c r="CG1" s="371"/>
      <c r="CH1" s="371"/>
    </row>
    <row r="2" spans="1:87" ht="12.75" customHeight="1" x14ac:dyDescent="0.2">
      <c r="A2" s="328"/>
      <c r="B2" s="328"/>
      <c r="C2" s="328"/>
      <c r="D2" s="328"/>
      <c r="E2" s="328"/>
      <c r="F2" s="328"/>
      <c r="G2" s="328"/>
      <c r="H2" s="328"/>
    </row>
    <row r="3" spans="1:87" s="7" customFormat="1" x14ac:dyDescent="0.2">
      <c r="A3" s="329"/>
      <c r="B3" s="329"/>
      <c r="C3" s="487" t="s">
        <v>102</v>
      </c>
      <c r="D3" s="487"/>
      <c r="E3" s="487"/>
      <c r="F3" s="487"/>
      <c r="G3" s="487" t="s">
        <v>103</v>
      </c>
      <c r="H3" s="487"/>
      <c r="I3" s="487"/>
      <c r="J3" s="487"/>
      <c r="K3" s="487" t="s">
        <v>65</v>
      </c>
      <c r="L3" s="487"/>
      <c r="M3" s="487"/>
      <c r="N3" s="487"/>
      <c r="O3" s="487" t="s">
        <v>68</v>
      </c>
      <c r="P3" s="487"/>
      <c r="Q3" s="487"/>
      <c r="R3" s="487"/>
      <c r="S3" s="487" t="s">
        <v>71</v>
      </c>
      <c r="T3" s="487"/>
      <c r="U3" s="487"/>
      <c r="V3" s="487"/>
      <c r="W3" s="487" t="s">
        <v>104</v>
      </c>
      <c r="X3" s="487"/>
      <c r="Y3" s="487"/>
      <c r="Z3" s="487"/>
      <c r="AA3" s="487" t="s">
        <v>74</v>
      </c>
      <c r="AB3" s="487"/>
      <c r="AC3" s="487"/>
      <c r="AD3" s="487"/>
      <c r="AE3" s="487" t="s">
        <v>105</v>
      </c>
      <c r="AF3" s="487"/>
      <c r="AG3" s="487"/>
      <c r="AH3" s="487"/>
      <c r="AI3" s="487" t="s">
        <v>77</v>
      </c>
      <c r="AJ3" s="487"/>
      <c r="AK3" s="487"/>
      <c r="AL3" s="487"/>
      <c r="AM3" s="487" t="s">
        <v>80</v>
      </c>
      <c r="AN3" s="487"/>
      <c r="AO3" s="487"/>
      <c r="AP3" s="487"/>
      <c r="AQ3" s="487" t="s">
        <v>106</v>
      </c>
      <c r="AR3" s="487"/>
      <c r="AS3" s="487"/>
      <c r="AT3" s="487"/>
      <c r="AU3" s="487" t="s">
        <v>107</v>
      </c>
      <c r="AV3" s="487"/>
      <c r="AW3" s="487"/>
      <c r="AX3" s="487"/>
      <c r="AY3" s="487" t="s">
        <v>87</v>
      </c>
      <c r="AZ3" s="487"/>
      <c r="BA3" s="487"/>
      <c r="BB3" s="487"/>
      <c r="BC3" s="487" t="s">
        <v>108</v>
      </c>
      <c r="BD3" s="487"/>
      <c r="BE3" s="487"/>
      <c r="BF3" s="487"/>
      <c r="BG3" s="487" t="s">
        <v>92</v>
      </c>
      <c r="BH3" s="487"/>
      <c r="BI3" s="487"/>
      <c r="BJ3" s="487"/>
      <c r="BK3" s="487" t="s">
        <v>95</v>
      </c>
      <c r="BL3" s="487"/>
      <c r="BM3" s="487"/>
      <c r="BN3" s="487"/>
      <c r="BO3" s="487" t="s">
        <v>109</v>
      </c>
      <c r="BP3" s="487"/>
      <c r="BQ3" s="487"/>
      <c r="BR3" s="487"/>
      <c r="BS3" s="487" t="s">
        <v>110</v>
      </c>
      <c r="BT3" s="487"/>
      <c r="BU3" s="487"/>
      <c r="BV3" s="487"/>
      <c r="BW3" s="487" t="s">
        <v>111</v>
      </c>
      <c r="BX3" s="487"/>
      <c r="BY3" s="487"/>
      <c r="BZ3" s="487"/>
      <c r="CA3" s="487" t="s">
        <v>112</v>
      </c>
      <c r="CB3" s="487"/>
      <c r="CC3" s="487"/>
      <c r="CD3" s="487"/>
      <c r="CE3" s="487" t="s">
        <v>341</v>
      </c>
      <c r="CF3" s="487"/>
      <c r="CG3" s="487"/>
      <c r="CH3" s="487"/>
      <c r="CI3" s="484" t="s">
        <v>348</v>
      </c>
    </row>
    <row r="4" spans="1:87" s="40" customFormat="1" ht="62.25" customHeight="1" x14ac:dyDescent="0.2">
      <c r="A4" s="47"/>
      <c r="B4" s="144" t="s">
        <v>1</v>
      </c>
      <c r="C4" s="430" t="s">
        <v>2</v>
      </c>
      <c r="D4" s="431"/>
      <c r="E4" s="431"/>
      <c r="F4" s="432"/>
      <c r="G4" s="430" t="s">
        <v>2</v>
      </c>
      <c r="H4" s="431"/>
      <c r="I4" s="431"/>
      <c r="J4" s="432"/>
      <c r="K4" s="430" t="s">
        <v>2</v>
      </c>
      <c r="L4" s="431"/>
      <c r="M4" s="431"/>
      <c r="N4" s="432"/>
      <c r="O4" s="430" t="s">
        <v>2</v>
      </c>
      <c r="P4" s="431"/>
      <c r="Q4" s="431"/>
      <c r="R4" s="432"/>
      <c r="S4" s="430" t="s">
        <v>2</v>
      </c>
      <c r="T4" s="431"/>
      <c r="U4" s="431"/>
      <c r="V4" s="432"/>
      <c r="W4" s="430" t="s">
        <v>2</v>
      </c>
      <c r="X4" s="431"/>
      <c r="Y4" s="431"/>
      <c r="Z4" s="432"/>
      <c r="AA4" s="430" t="s">
        <v>2</v>
      </c>
      <c r="AB4" s="431"/>
      <c r="AC4" s="431"/>
      <c r="AD4" s="432"/>
      <c r="AE4" s="430" t="s">
        <v>2</v>
      </c>
      <c r="AF4" s="431"/>
      <c r="AG4" s="431"/>
      <c r="AH4" s="432"/>
      <c r="AI4" s="430" t="s">
        <v>2</v>
      </c>
      <c r="AJ4" s="431"/>
      <c r="AK4" s="431"/>
      <c r="AL4" s="432"/>
      <c r="AM4" s="430" t="s">
        <v>2</v>
      </c>
      <c r="AN4" s="431"/>
      <c r="AO4" s="431"/>
      <c r="AP4" s="432"/>
      <c r="AQ4" s="430" t="s">
        <v>2</v>
      </c>
      <c r="AR4" s="431"/>
      <c r="AS4" s="431"/>
      <c r="AT4" s="432"/>
      <c r="AU4" s="430" t="s">
        <v>2</v>
      </c>
      <c r="AV4" s="431"/>
      <c r="AW4" s="431"/>
      <c r="AX4" s="432"/>
      <c r="AY4" s="430" t="s">
        <v>2</v>
      </c>
      <c r="AZ4" s="431"/>
      <c r="BA4" s="431"/>
      <c r="BB4" s="432"/>
      <c r="BC4" s="430" t="s">
        <v>2</v>
      </c>
      <c r="BD4" s="431"/>
      <c r="BE4" s="431"/>
      <c r="BF4" s="432"/>
      <c r="BG4" s="430" t="s">
        <v>2</v>
      </c>
      <c r="BH4" s="431"/>
      <c r="BI4" s="431"/>
      <c r="BJ4" s="432"/>
      <c r="BK4" s="430" t="s">
        <v>2</v>
      </c>
      <c r="BL4" s="431"/>
      <c r="BM4" s="431"/>
      <c r="BN4" s="432"/>
      <c r="BO4" s="430" t="s">
        <v>2</v>
      </c>
      <c r="BP4" s="431"/>
      <c r="BQ4" s="431"/>
      <c r="BR4" s="432"/>
      <c r="BS4" s="430" t="s">
        <v>2</v>
      </c>
      <c r="BT4" s="431"/>
      <c r="BU4" s="431"/>
      <c r="BV4" s="432"/>
      <c r="BW4" s="430" t="s">
        <v>2</v>
      </c>
      <c r="BX4" s="431"/>
      <c r="BY4" s="431"/>
      <c r="BZ4" s="432"/>
      <c r="CA4" s="430" t="s">
        <v>2</v>
      </c>
      <c r="CB4" s="431"/>
      <c r="CC4" s="431"/>
      <c r="CD4" s="432"/>
      <c r="CE4" s="430" t="s">
        <v>2</v>
      </c>
      <c r="CF4" s="431"/>
      <c r="CG4" s="431"/>
      <c r="CH4" s="432"/>
      <c r="CI4" s="485"/>
    </row>
    <row r="5" spans="1:87" s="40" customFormat="1" ht="47.25" x14ac:dyDescent="0.2">
      <c r="A5" s="47"/>
      <c r="B5" s="145"/>
      <c r="C5" s="146" t="s">
        <v>181</v>
      </c>
      <c r="D5" s="146" t="s">
        <v>353</v>
      </c>
      <c r="E5" s="146" t="s">
        <v>182</v>
      </c>
      <c r="F5" s="146" t="s">
        <v>183</v>
      </c>
      <c r="G5" s="146" t="s">
        <v>181</v>
      </c>
      <c r="H5" s="146" t="s">
        <v>353</v>
      </c>
      <c r="I5" s="146" t="s">
        <v>182</v>
      </c>
      <c r="J5" s="146" t="s">
        <v>183</v>
      </c>
      <c r="K5" s="146" t="s">
        <v>181</v>
      </c>
      <c r="L5" s="146" t="s">
        <v>353</v>
      </c>
      <c r="M5" s="146" t="s">
        <v>182</v>
      </c>
      <c r="N5" s="146" t="s">
        <v>183</v>
      </c>
      <c r="O5" s="146" t="s">
        <v>181</v>
      </c>
      <c r="P5" s="146" t="s">
        <v>353</v>
      </c>
      <c r="Q5" s="146" t="s">
        <v>182</v>
      </c>
      <c r="R5" s="146" t="s">
        <v>183</v>
      </c>
      <c r="S5" s="146" t="s">
        <v>181</v>
      </c>
      <c r="T5" s="146" t="s">
        <v>353</v>
      </c>
      <c r="U5" s="146" t="s">
        <v>182</v>
      </c>
      <c r="V5" s="146" t="s">
        <v>183</v>
      </c>
      <c r="W5" s="146" t="s">
        <v>181</v>
      </c>
      <c r="X5" s="146" t="s">
        <v>353</v>
      </c>
      <c r="Y5" s="146" t="s">
        <v>182</v>
      </c>
      <c r="Z5" s="146" t="s">
        <v>183</v>
      </c>
      <c r="AA5" s="146" t="s">
        <v>181</v>
      </c>
      <c r="AB5" s="146" t="s">
        <v>353</v>
      </c>
      <c r="AC5" s="146" t="s">
        <v>182</v>
      </c>
      <c r="AD5" s="146" t="s">
        <v>183</v>
      </c>
      <c r="AE5" s="146" t="s">
        <v>181</v>
      </c>
      <c r="AF5" s="146" t="s">
        <v>353</v>
      </c>
      <c r="AG5" s="146" t="s">
        <v>182</v>
      </c>
      <c r="AH5" s="146" t="s">
        <v>183</v>
      </c>
      <c r="AI5" s="146" t="s">
        <v>181</v>
      </c>
      <c r="AJ5" s="146" t="s">
        <v>353</v>
      </c>
      <c r="AK5" s="146" t="s">
        <v>182</v>
      </c>
      <c r="AL5" s="146" t="s">
        <v>183</v>
      </c>
      <c r="AM5" s="146" t="s">
        <v>181</v>
      </c>
      <c r="AN5" s="146" t="s">
        <v>353</v>
      </c>
      <c r="AO5" s="146" t="s">
        <v>182</v>
      </c>
      <c r="AP5" s="146" t="s">
        <v>183</v>
      </c>
      <c r="AQ5" s="146" t="s">
        <v>181</v>
      </c>
      <c r="AR5" s="146" t="s">
        <v>353</v>
      </c>
      <c r="AS5" s="146" t="s">
        <v>182</v>
      </c>
      <c r="AT5" s="146" t="s">
        <v>183</v>
      </c>
      <c r="AU5" s="146" t="s">
        <v>181</v>
      </c>
      <c r="AV5" s="146" t="s">
        <v>353</v>
      </c>
      <c r="AW5" s="146" t="s">
        <v>182</v>
      </c>
      <c r="AX5" s="146" t="s">
        <v>183</v>
      </c>
      <c r="AY5" s="146" t="s">
        <v>181</v>
      </c>
      <c r="AZ5" s="146" t="s">
        <v>353</v>
      </c>
      <c r="BA5" s="146" t="s">
        <v>182</v>
      </c>
      <c r="BB5" s="146" t="s">
        <v>183</v>
      </c>
      <c r="BC5" s="146" t="s">
        <v>181</v>
      </c>
      <c r="BD5" s="146" t="s">
        <v>353</v>
      </c>
      <c r="BE5" s="146" t="s">
        <v>182</v>
      </c>
      <c r="BF5" s="146" t="s">
        <v>183</v>
      </c>
      <c r="BG5" s="146" t="s">
        <v>181</v>
      </c>
      <c r="BH5" s="146" t="s">
        <v>353</v>
      </c>
      <c r="BI5" s="146" t="s">
        <v>182</v>
      </c>
      <c r="BJ5" s="146" t="s">
        <v>183</v>
      </c>
      <c r="BK5" s="146" t="s">
        <v>181</v>
      </c>
      <c r="BL5" s="146" t="s">
        <v>353</v>
      </c>
      <c r="BM5" s="146" t="s">
        <v>182</v>
      </c>
      <c r="BN5" s="146" t="s">
        <v>183</v>
      </c>
      <c r="BO5" s="146" t="s">
        <v>181</v>
      </c>
      <c r="BP5" s="146" t="s">
        <v>353</v>
      </c>
      <c r="BQ5" s="146" t="s">
        <v>182</v>
      </c>
      <c r="BR5" s="146" t="s">
        <v>183</v>
      </c>
      <c r="BS5" s="146" t="s">
        <v>181</v>
      </c>
      <c r="BT5" s="146" t="s">
        <v>353</v>
      </c>
      <c r="BU5" s="146" t="s">
        <v>182</v>
      </c>
      <c r="BV5" s="146" t="s">
        <v>183</v>
      </c>
      <c r="BW5" s="146" t="s">
        <v>181</v>
      </c>
      <c r="BX5" s="146" t="s">
        <v>353</v>
      </c>
      <c r="BY5" s="146" t="s">
        <v>182</v>
      </c>
      <c r="BZ5" s="146" t="s">
        <v>183</v>
      </c>
      <c r="CA5" s="146" t="s">
        <v>181</v>
      </c>
      <c r="CB5" s="146" t="s">
        <v>353</v>
      </c>
      <c r="CC5" s="146" t="s">
        <v>182</v>
      </c>
      <c r="CD5" s="146" t="s">
        <v>183</v>
      </c>
      <c r="CE5" s="146" t="s">
        <v>181</v>
      </c>
      <c r="CF5" s="146" t="s">
        <v>353</v>
      </c>
      <c r="CG5" s="146" t="s">
        <v>182</v>
      </c>
      <c r="CH5" s="146" t="s">
        <v>183</v>
      </c>
      <c r="CI5" s="486"/>
    </row>
    <row r="6" spans="1:87" x14ac:dyDescent="0.2">
      <c r="A6" s="2">
        <v>1</v>
      </c>
      <c r="B6" s="2">
        <v>2</v>
      </c>
      <c r="C6" s="2">
        <v>4</v>
      </c>
      <c r="D6" s="2">
        <v>5</v>
      </c>
      <c r="E6" s="2">
        <v>6</v>
      </c>
      <c r="F6" s="2">
        <v>7</v>
      </c>
      <c r="G6" s="2">
        <v>4</v>
      </c>
      <c r="H6" s="2">
        <v>5</v>
      </c>
      <c r="I6" s="2">
        <v>6</v>
      </c>
      <c r="J6" s="2">
        <v>7</v>
      </c>
      <c r="K6" s="2">
        <v>4</v>
      </c>
      <c r="L6" s="2">
        <v>5</v>
      </c>
      <c r="M6" s="2">
        <v>6</v>
      </c>
      <c r="N6" s="2">
        <v>7</v>
      </c>
      <c r="O6" s="2">
        <v>4</v>
      </c>
      <c r="P6" s="2">
        <v>5</v>
      </c>
      <c r="Q6" s="2">
        <v>6</v>
      </c>
      <c r="R6" s="2">
        <v>7</v>
      </c>
      <c r="S6" s="2">
        <v>4</v>
      </c>
      <c r="T6" s="2">
        <v>5</v>
      </c>
      <c r="U6" s="2">
        <v>6</v>
      </c>
      <c r="V6" s="2">
        <v>7</v>
      </c>
      <c r="W6" s="2">
        <v>4</v>
      </c>
      <c r="X6" s="2">
        <v>5</v>
      </c>
      <c r="Y6" s="2">
        <v>6</v>
      </c>
      <c r="Z6" s="2">
        <v>7</v>
      </c>
      <c r="AA6" s="2">
        <v>4</v>
      </c>
      <c r="AB6" s="2">
        <v>5</v>
      </c>
      <c r="AC6" s="2">
        <v>6</v>
      </c>
      <c r="AD6" s="2">
        <v>7</v>
      </c>
      <c r="AE6" s="2">
        <v>4</v>
      </c>
      <c r="AF6" s="2">
        <v>5</v>
      </c>
      <c r="AG6" s="2">
        <v>6</v>
      </c>
      <c r="AH6" s="2">
        <v>7</v>
      </c>
      <c r="AI6" s="2">
        <v>4</v>
      </c>
      <c r="AJ6" s="2">
        <v>5</v>
      </c>
      <c r="AK6" s="2">
        <v>6</v>
      </c>
      <c r="AL6" s="2">
        <v>7</v>
      </c>
      <c r="AM6" s="2">
        <v>4</v>
      </c>
      <c r="AN6" s="2">
        <v>5</v>
      </c>
      <c r="AO6" s="2">
        <v>6</v>
      </c>
      <c r="AP6" s="2">
        <v>7</v>
      </c>
      <c r="AQ6" s="2">
        <v>4</v>
      </c>
      <c r="AR6" s="2">
        <v>5</v>
      </c>
      <c r="AS6" s="2">
        <v>6</v>
      </c>
      <c r="AT6" s="2">
        <v>7</v>
      </c>
      <c r="AU6" s="2">
        <f>'районы КП, СП'!AM10</f>
        <v>4</v>
      </c>
      <c r="AV6" s="2">
        <v>5</v>
      </c>
      <c r="AW6" s="2">
        <v>6</v>
      </c>
      <c r="AX6" s="2">
        <v>7</v>
      </c>
      <c r="AY6" s="2">
        <v>4</v>
      </c>
      <c r="AZ6" s="2">
        <v>5</v>
      </c>
      <c r="BA6" s="2">
        <v>6</v>
      </c>
      <c r="BB6" s="2">
        <v>7</v>
      </c>
      <c r="BC6" s="2">
        <v>4</v>
      </c>
      <c r="BD6" s="2">
        <v>5</v>
      </c>
      <c r="BE6" s="2">
        <v>6</v>
      </c>
      <c r="BF6" s="2">
        <v>7</v>
      </c>
      <c r="BG6" s="2">
        <v>4</v>
      </c>
      <c r="BH6" s="2">
        <v>5</v>
      </c>
      <c r="BI6" s="2">
        <v>6</v>
      </c>
      <c r="BJ6" s="2">
        <v>7</v>
      </c>
      <c r="BK6" s="2">
        <v>4</v>
      </c>
      <c r="BL6" s="2">
        <v>5</v>
      </c>
      <c r="BM6" s="2">
        <v>6</v>
      </c>
      <c r="BN6" s="2">
        <v>7</v>
      </c>
      <c r="BO6" s="2">
        <v>4</v>
      </c>
      <c r="BP6" s="2">
        <v>5</v>
      </c>
      <c r="BQ6" s="2">
        <v>6</v>
      </c>
      <c r="BR6" s="2">
        <v>7</v>
      </c>
      <c r="BS6" s="2">
        <v>4</v>
      </c>
      <c r="BT6" s="2">
        <v>5</v>
      </c>
      <c r="BU6" s="2">
        <v>6</v>
      </c>
      <c r="BV6" s="2">
        <v>7</v>
      </c>
      <c r="BW6" s="2">
        <v>4</v>
      </c>
      <c r="BX6" s="2">
        <v>5</v>
      </c>
      <c r="BY6" s="2">
        <v>6</v>
      </c>
      <c r="BZ6" s="2">
        <v>7</v>
      </c>
      <c r="CA6" s="2">
        <v>4</v>
      </c>
      <c r="CB6" s="2">
        <v>5</v>
      </c>
      <c r="CC6" s="2">
        <v>6</v>
      </c>
      <c r="CD6" s="2">
        <v>7</v>
      </c>
      <c r="CE6" s="2">
        <v>3</v>
      </c>
      <c r="CF6" s="2">
        <v>4</v>
      </c>
      <c r="CG6" s="2">
        <v>5</v>
      </c>
      <c r="CH6" s="2">
        <v>6</v>
      </c>
    </row>
    <row r="7" spans="1:87" ht="14.1" customHeight="1" x14ac:dyDescent="0.2">
      <c r="A7" s="27" t="s">
        <v>124</v>
      </c>
      <c r="B7" s="57"/>
      <c r="C7" s="15"/>
      <c r="D7" s="18"/>
      <c r="E7" s="15"/>
      <c r="F7" s="14"/>
      <c r="G7" s="15"/>
      <c r="H7" s="15"/>
      <c r="I7" s="15"/>
      <c r="J7" s="14"/>
      <c r="K7" s="15"/>
      <c r="L7" s="15"/>
      <c r="M7" s="15"/>
      <c r="N7" s="14"/>
      <c r="O7" s="15"/>
      <c r="P7" s="15"/>
      <c r="Q7" s="15"/>
      <c r="R7" s="14"/>
      <c r="S7" s="15"/>
      <c r="T7" s="15"/>
      <c r="U7" s="15"/>
      <c r="V7" s="14"/>
      <c r="W7" s="15"/>
      <c r="X7" s="15"/>
      <c r="Y7" s="15"/>
      <c r="Z7" s="14"/>
      <c r="AA7" s="15"/>
      <c r="AB7" s="15"/>
      <c r="AC7" s="15"/>
      <c r="AD7" s="14"/>
      <c r="AE7" s="15"/>
      <c r="AF7" s="15"/>
      <c r="AG7" s="15"/>
      <c r="AH7" s="14"/>
      <c r="AI7" s="15"/>
      <c r="AJ7" s="15"/>
      <c r="AK7" s="15"/>
      <c r="AL7" s="14"/>
      <c r="AM7" s="15"/>
      <c r="AN7" s="15"/>
      <c r="AO7" s="15"/>
      <c r="AP7" s="14"/>
      <c r="AQ7" s="15"/>
      <c r="AR7" s="15"/>
      <c r="AS7" s="15"/>
      <c r="AT7" s="14"/>
      <c r="AU7" s="15"/>
      <c r="AV7" s="15"/>
      <c r="AW7" s="15"/>
      <c r="AX7" s="14"/>
      <c r="AY7" s="15"/>
      <c r="AZ7" s="15"/>
      <c r="BA7" s="15"/>
      <c r="BB7" s="14"/>
      <c r="BC7" s="15"/>
      <c r="BD7" s="15"/>
      <c r="BE7" s="15"/>
      <c r="BF7" s="14"/>
      <c r="BG7" s="15"/>
      <c r="BH7" s="15"/>
      <c r="BI7" s="15"/>
      <c r="BJ7" s="14"/>
      <c r="BK7" s="15"/>
      <c r="BL7" s="15"/>
      <c r="BM7" s="15"/>
      <c r="BN7" s="14"/>
      <c r="BO7" s="15"/>
      <c r="BP7" s="15"/>
      <c r="BQ7" s="15"/>
      <c r="BR7" s="14"/>
      <c r="BS7" s="15"/>
      <c r="BT7" s="15"/>
      <c r="BU7" s="15"/>
      <c r="BV7" s="14"/>
      <c r="BW7" s="15"/>
      <c r="BX7" s="15"/>
      <c r="BY7" s="15"/>
      <c r="BZ7" s="14"/>
      <c r="CA7" s="15"/>
      <c r="CB7" s="15"/>
      <c r="CC7" s="15"/>
      <c r="CD7" s="14"/>
      <c r="CE7" s="15"/>
      <c r="CF7" s="15"/>
      <c r="CG7" s="15"/>
      <c r="CH7" s="14"/>
    </row>
    <row r="8" spans="1:87" ht="14.1" customHeight="1" x14ac:dyDescent="0.2">
      <c r="A8" s="35" t="s">
        <v>125</v>
      </c>
      <c r="B8" s="58" t="s">
        <v>3</v>
      </c>
      <c r="C8" s="15">
        <f>КЛПУ!BS12</f>
        <v>3890</v>
      </c>
      <c r="D8" s="15">
        <f>КЛПУ!BT12</f>
        <v>3890</v>
      </c>
      <c r="E8" s="15">
        <f>КЛПУ!BU12</f>
        <v>11082</v>
      </c>
      <c r="F8" s="15">
        <f>КЛПУ!BV12</f>
        <v>284.88431876606683</v>
      </c>
      <c r="G8" s="15">
        <f>Хабаровск!EY12</f>
        <v>478678</v>
      </c>
      <c r="H8" s="15">
        <f>Хабаровск!EZ12</f>
        <v>478678</v>
      </c>
      <c r="I8" s="15">
        <f>Хабаровск!FA12</f>
        <v>585557</v>
      </c>
      <c r="J8" s="15">
        <f>Хабаровск!FB12</f>
        <v>122.32795323787597</v>
      </c>
      <c r="K8" s="15">
        <f>'Хаб.р-ны'!K12</f>
        <v>14860</v>
      </c>
      <c r="L8" s="15">
        <f>'Хаб.р-ны'!L12</f>
        <v>14860</v>
      </c>
      <c r="M8" s="15">
        <f>'Хаб.р-ны'!M12</f>
        <v>40269</v>
      </c>
      <c r="N8" s="15">
        <f>'Хаб.р-ны'!N12</f>
        <v>270.98923283983851</v>
      </c>
      <c r="O8" s="15">
        <f>'Хаб.р-ны'!AA12</f>
        <v>16602</v>
      </c>
      <c r="P8" s="15">
        <f>'Хаб.р-ны'!AB12</f>
        <v>16602</v>
      </c>
      <c r="Q8" s="15">
        <f>'Хаб.р-ны'!AC12</f>
        <v>23050</v>
      </c>
      <c r="R8" s="15">
        <f>'Хаб.р-ны'!AD12</f>
        <v>138.83869413323694</v>
      </c>
      <c r="S8" s="15">
        <f>'Хаб.р-ны'!AU12</f>
        <v>48068</v>
      </c>
      <c r="T8" s="15">
        <f>'Хаб.р-ны'!AV12</f>
        <v>48068</v>
      </c>
      <c r="U8" s="15">
        <f>'Хаб.р-ны'!AW12</f>
        <v>83382</v>
      </c>
      <c r="V8" s="15">
        <f>'Хаб.р-ны'!AX12</f>
        <v>173.46675542980776</v>
      </c>
      <c r="W8" s="15">
        <f>'Хаб.р-ны'!AY12</f>
        <v>17717</v>
      </c>
      <c r="X8" s="15">
        <f>'Хаб.р-ны'!AZ12</f>
        <v>17717</v>
      </c>
      <c r="Y8" s="15">
        <f>'Хаб.р-ны'!BA12</f>
        <v>21051</v>
      </c>
      <c r="Z8" s="15">
        <f>'Хаб.р-ны'!BB12</f>
        <v>118.8180843257888</v>
      </c>
      <c r="AA8" s="15">
        <f>'Хаб.р-ны'!BK12</f>
        <v>41659</v>
      </c>
      <c r="AB8" s="15">
        <f>'Хаб.р-ны'!BL12</f>
        <v>41659</v>
      </c>
      <c r="AC8" s="15">
        <f>'Хаб.р-ны'!BM12</f>
        <v>62783</v>
      </c>
      <c r="AD8" s="15">
        <f>'Хаб.р-ны'!BN12</f>
        <v>150.70693007513384</v>
      </c>
      <c r="AE8" s="15">
        <f>Комсомольск!BO12</f>
        <v>250950</v>
      </c>
      <c r="AF8" s="15">
        <f>Комсомольск!BP12</f>
        <v>250950</v>
      </c>
      <c r="AG8" s="15">
        <f>Комсомольск!BQ12</f>
        <v>492786</v>
      </c>
      <c r="AH8" s="15">
        <f>Комсомольск!BR12</f>
        <v>196.36820083682008</v>
      </c>
      <c r="AI8" s="15">
        <f>'районы КП, СП'!K12</f>
        <v>54743</v>
      </c>
      <c r="AJ8" s="15">
        <f>'районы КП, СП'!L12</f>
        <v>54743</v>
      </c>
      <c r="AK8" s="15">
        <f>'районы КП, СП'!M12</f>
        <v>72269</v>
      </c>
      <c r="AL8" s="15">
        <f>'районы КП, СП'!N12</f>
        <v>132.01505215278667</v>
      </c>
      <c r="AM8" s="15">
        <f>'районы КП, СП'!W12</f>
        <v>28404</v>
      </c>
      <c r="AN8" s="15">
        <f>'районы КП, СП'!X12</f>
        <v>28404</v>
      </c>
      <c r="AO8" s="15">
        <f>'районы КП, СП'!Y12</f>
        <v>55510</v>
      </c>
      <c r="AP8" s="15">
        <f>'районы КП, СП'!Z12</f>
        <v>195.43022109562034</v>
      </c>
      <c r="AQ8" s="15">
        <f>'районы КП, СП'!AA12</f>
        <v>8669</v>
      </c>
      <c r="AR8" s="15">
        <f>'районы КП, СП'!AB12</f>
        <v>8669</v>
      </c>
      <c r="AS8" s="15">
        <f>'районы КП, СП'!AC12</f>
        <v>13839</v>
      </c>
      <c r="AT8" s="15">
        <f>'районы КП, СП'!AD12</f>
        <v>159.63778982581613</v>
      </c>
      <c r="AU8" s="15">
        <f>'районы КП, СП'!AM12</f>
        <v>19690</v>
      </c>
      <c r="AV8" s="15">
        <f>'районы КП, СП'!AN12</f>
        <v>19690</v>
      </c>
      <c r="AW8" s="15">
        <f>'районы КП, СП'!AO12</f>
        <v>15712</v>
      </c>
      <c r="AX8" s="15">
        <f>'районы КП, СП'!AP12</f>
        <v>79.796851193499236</v>
      </c>
      <c r="AY8" s="15">
        <f>'районы КП, СП'!BC12</f>
        <v>32531</v>
      </c>
      <c r="AZ8" s="15">
        <f>'районы КП, СП'!BD12</f>
        <v>32531</v>
      </c>
      <c r="BA8" s="15">
        <f>'районы КП, СП'!BE12</f>
        <v>62752</v>
      </c>
      <c r="BB8" s="15">
        <f>'районы КП, СП'!BF12</f>
        <v>192.89908087670221</v>
      </c>
      <c r="BC8" s="15">
        <f>'районы КП, СП'!BG12</f>
        <v>3791</v>
      </c>
      <c r="BD8" s="15">
        <f>'районы КП, СП'!BH12</f>
        <v>3791</v>
      </c>
      <c r="BE8" s="15">
        <f>'районы КП, СП'!BI12</f>
        <v>13540</v>
      </c>
      <c r="BF8" s="15">
        <f>'районы КП, СП'!BJ12</f>
        <v>357.16169876022155</v>
      </c>
      <c r="BG8" s="15">
        <f>'районы НП, ЧП'!K12</f>
        <v>36528</v>
      </c>
      <c r="BH8" s="15">
        <f>'районы НП, ЧП'!L12</f>
        <v>36528</v>
      </c>
      <c r="BI8" s="15">
        <f>'районы НП, ЧП'!M12</f>
        <v>95476</v>
      </c>
      <c r="BJ8" s="15">
        <f>'районы НП, ЧП'!N12</f>
        <v>261.37757336837495</v>
      </c>
      <c r="BK8" s="15">
        <f>'районы НП, ЧП'!AA12</f>
        <v>22423</v>
      </c>
      <c r="BL8" s="15">
        <f>'районы НП, ЧП'!AB12</f>
        <v>22423</v>
      </c>
      <c r="BM8" s="15">
        <f>'районы НП, ЧП'!AC12</f>
        <v>55358</v>
      </c>
      <c r="BN8" s="15">
        <f>'районы НП, ЧП'!AD12</f>
        <v>246.88043526735939</v>
      </c>
      <c r="BO8" s="15">
        <f>'районы НП, ЧП'!AE12</f>
        <v>3412</v>
      </c>
      <c r="BP8" s="15">
        <f>'районы НП, ЧП'!AF12</f>
        <v>3412</v>
      </c>
      <c r="BQ8" s="15">
        <f>'районы НП, ЧП'!AG12</f>
        <v>8019</v>
      </c>
      <c r="BR8" s="15">
        <f>'районы НП, ЧП'!AH12</f>
        <v>235.02344665885113</v>
      </c>
      <c r="BS8" s="15">
        <f>'районы НП, ЧП'!AI12</f>
        <v>2665</v>
      </c>
      <c r="BT8" s="15">
        <f>'районы НП, ЧП'!AJ12</f>
        <v>2665</v>
      </c>
      <c r="BU8" s="15">
        <f>'районы НП, ЧП'!AK12</f>
        <v>4055</v>
      </c>
      <c r="BV8" s="15">
        <f>'районы НП, ЧП'!AL12</f>
        <v>152.15759849906192</v>
      </c>
      <c r="BW8" s="15">
        <f>'районы НП, ЧП'!AM12</f>
        <v>11348</v>
      </c>
      <c r="BX8" s="15">
        <f>'районы НП, ЧП'!AN12</f>
        <v>11348</v>
      </c>
      <c r="BY8" s="15">
        <f>'районы НП, ЧП'!AO12</f>
        <v>15799</v>
      </c>
      <c r="BZ8" s="15">
        <f>'районы НП, ЧП'!AP12</f>
        <v>139.22277053225238</v>
      </c>
      <c r="CA8" s="15">
        <f>'районы НП, ЧП'!AU12</f>
        <v>11286</v>
      </c>
      <c r="CB8" s="15">
        <f>'районы НП, ЧП'!AV12</f>
        <v>11286</v>
      </c>
      <c r="CC8" s="15">
        <f>'районы НП, ЧП'!AW12</f>
        <v>43969</v>
      </c>
      <c r="CD8" s="15">
        <f>'районы НП, ЧП'!AX12</f>
        <v>389.58887116781852</v>
      </c>
      <c r="CE8" s="292">
        <f>SUM(CA8,BW8,BS8,BO8,BK8,BG8,BC8,AY8,AU8,AQ8,AM8,AI8,AE8,AA8,W8,S8,O8,K8,G8,C8)</f>
        <v>1107914</v>
      </c>
      <c r="CF8" s="292">
        <f t="shared" ref="CF8:CG23" si="0">SUM(CB8,BX8,BT8,BP8,BL8,BH8,BD8,AZ8,AV8,AR8,AN8,AJ8,AF8,AB8,X8,T8,P8,L8,H8,D8)</f>
        <v>1107914</v>
      </c>
      <c r="CG8" s="292">
        <f t="shared" si="0"/>
        <v>1776258</v>
      </c>
      <c r="CH8" s="293">
        <f>CG8/CF8*100</f>
        <v>160.32453782513804</v>
      </c>
    </row>
    <row r="9" spans="1:87" s="22" customFormat="1" ht="15" customHeight="1" x14ac:dyDescent="0.2">
      <c r="A9" s="28" t="s">
        <v>126</v>
      </c>
      <c r="B9" s="57" t="s">
        <v>3</v>
      </c>
      <c r="C9" s="15">
        <f>КЛПУ!BS13</f>
        <v>0</v>
      </c>
      <c r="D9" s="15">
        <f>КЛПУ!BT13</f>
        <v>0</v>
      </c>
      <c r="E9" s="15">
        <f>КЛПУ!BU13</f>
        <v>0</v>
      </c>
      <c r="F9" s="15">
        <f>КЛПУ!BV13</f>
        <v>0</v>
      </c>
      <c r="G9" s="15">
        <f>Хабаровск!EY13</f>
        <v>0</v>
      </c>
      <c r="H9" s="15">
        <f>Хабаровск!EZ13</f>
        <v>0</v>
      </c>
      <c r="I9" s="15">
        <f>Хабаровск!FA13</f>
        <v>0</v>
      </c>
      <c r="J9" s="15">
        <f>Хабаровск!FB13</f>
        <v>0</v>
      </c>
      <c r="K9" s="15">
        <f>'Хаб.р-ны'!K13</f>
        <v>0</v>
      </c>
      <c r="L9" s="15">
        <f>'Хаб.р-ны'!L13</f>
        <v>0</v>
      </c>
      <c r="M9" s="15">
        <f>'Хаб.р-ны'!M13</f>
        <v>0</v>
      </c>
      <c r="N9" s="15">
        <f>'Хаб.р-ны'!N13</f>
        <v>0</v>
      </c>
      <c r="O9" s="15">
        <f>'Хаб.р-ны'!AA13</f>
        <v>0</v>
      </c>
      <c r="P9" s="15">
        <f>'Хаб.р-ны'!AB13</f>
        <v>0</v>
      </c>
      <c r="Q9" s="15">
        <f>'Хаб.р-ны'!AC13</f>
        <v>0</v>
      </c>
      <c r="R9" s="15">
        <f>'Хаб.р-ны'!AD13</f>
        <v>0</v>
      </c>
      <c r="S9" s="15">
        <f>'Хаб.р-ны'!AU13</f>
        <v>0</v>
      </c>
      <c r="T9" s="15">
        <f>'Хаб.р-ны'!AV13</f>
        <v>0</v>
      </c>
      <c r="U9" s="15">
        <f>'Хаб.р-ны'!AW13</f>
        <v>0</v>
      </c>
      <c r="V9" s="15">
        <f>'Хаб.р-ны'!AX13</f>
        <v>0</v>
      </c>
      <c r="W9" s="15">
        <f>'Хаб.р-ны'!AY13</f>
        <v>0</v>
      </c>
      <c r="X9" s="15">
        <f>'Хаб.р-ны'!AZ13</f>
        <v>0</v>
      </c>
      <c r="Y9" s="15">
        <f>'Хаб.р-ны'!BA13</f>
        <v>0</v>
      </c>
      <c r="Z9" s="15">
        <f>'Хаб.р-ны'!BB13</f>
        <v>0</v>
      </c>
      <c r="AA9" s="15">
        <f>'Хаб.р-ны'!BK13</f>
        <v>0</v>
      </c>
      <c r="AB9" s="15">
        <f>'Хаб.р-ны'!BL13</f>
        <v>0</v>
      </c>
      <c r="AC9" s="15">
        <f>'Хаб.р-ны'!BM13</f>
        <v>0</v>
      </c>
      <c r="AD9" s="15">
        <f>'Хаб.р-ны'!BN13</f>
        <v>0</v>
      </c>
      <c r="AE9" s="15">
        <f>Комсомольск!BO13</f>
        <v>0</v>
      </c>
      <c r="AF9" s="15">
        <f>Комсомольск!BP13</f>
        <v>0</v>
      </c>
      <c r="AG9" s="15">
        <f>Комсомольск!BQ13</f>
        <v>0</v>
      </c>
      <c r="AH9" s="15">
        <f>Комсомольск!BR13</f>
        <v>0</v>
      </c>
      <c r="AI9" s="15">
        <f>'районы КП, СП'!K13</f>
        <v>0</v>
      </c>
      <c r="AJ9" s="15">
        <f>'районы КП, СП'!L13</f>
        <v>0</v>
      </c>
      <c r="AK9" s="15">
        <f>'районы КП, СП'!M13</f>
        <v>0</v>
      </c>
      <c r="AL9" s="15">
        <f>'районы КП, СП'!N13</f>
        <v>0</v>
      </c>
      <c r="AM9" s="15">
        <f>'районы КП, СП'!W13</f>
        <v>0</v>
      </c>
      <c r="AN9" s="15">
        <f>'районы КП, СП'!X13</f>
        <v>0</v>
      </c>
      <c r="AO9" s="15">
        <f>'районы КП, СП'!Y13</f>
        <v>0</v>
      </c>
      <c r="AP9" s="15"/>
      <c r="AQ9" s="15">
        <f>'районы КП, СП'!AA13</f>
        <v>0</v>
      </c>
      <c r="AR9" s="15">
        <f>'районы КП, СП'!AB13</f>
        <v>0</v>
      </c>
      <c r="AS9" s="15">
        <f>'районы КП, СП'!AC13</f>
        <v>0</v>
      </c>
      <c r="AT9" s="15">
        <f>'районы КП, СП'!AD13</f>
        <v>0</v>
      </c>
      <c r="AU9" s="15">
        <f>'районы КП, СП'!AM13</f>
        <v>0</v>
      </c>
      <c r="AV9" s="15">
        <f>'районы КП, СП'!AN13</f>
        <v>0</v>
      </c>
      <c r="AW9" s="15">
        <f>'районы КП, СП'!AO13</f>
        <v>0</v>
      </c>
      <c r="AX9" s="15">
        <f>'районы КП, СП'!AP13</f>
        <v>0</v>
      </c>
      <c r="AY9" s="15">
        <f>'районы КП, СП'!BC13</f>
        <v>0</v>
      </c>
      <c r="AZ9" s="15">
        <f>'районы КП, СП'!BD13</f>
        <v>0</v>
      </c>
      <c r="BA9" s="15">
        <f>'районы КП, СП'!BE13</f>
        <v>0</v>
      </c>
      <c r="BB9" s="15">
        <f>'районы КП, СП'!BF13</f>
        <v>0</v>
      </c>
      <c r="BC9" s="15">
        <f>'районы КП, СП'!BG13</f>
        <v>0</v>
      </c>
      <c r="BD9" s="15">
        <f>'районы КП, СП'!BH13</f>
        <v>0</v>
      </c>
      <c r="BE9" s="15">
        <f>'районы КП, СП'!BI13</f>
        <v>0</v>
      </c>
      <c r="BF9" s="15">
        <f>'районы КП, СП'!BJ13</f>
        <v>0</v>
      </c>
      <c r="BG9" s="15">
        <f>'районы НП, ЧП'!K13</f>
        <v>0</v>
      </c>
      <c r="BH9" s="15">
        <f>'районы НП, ЧП'!L13</f>
        <v>0</v>
      </c>
      <c r="BI9" s="15">
        <f>'районы НП, ЧП'!M13</f>
        <v>0</v>
      </c>
      <c r="BJ9" s="15">
        <f>'районы НП, ЧП'!N13</f>
        <v>0</v>
      </c>
      <c r="BK9" s="15">
        <f>'районы НП, ЧП'!AA13</f>
        <v>0</v>
      </c>
      <c r="BL9" s="15">
        <f>'районы НП, ЧП'!AB13</f>
        <v>0</v>
      </c>
      <c r="BM9" s="15">
        <f>'районы НП, ЧП'!AC13</f>
        <v>0</v>
      </c>
      <c r="BN9" s="15">
        <f>'районы НП, ЧП'!AD13</f>
        <v>0</v>
      </c>
      <c r="BO9" s="15">
        <f>'районы НП, ЧП'!AE13</f>
        <v>0</v>
      </c>
      <c r="BP9" s="15">
        <f>'районы НП, ЧП'!AF13</f>
        <v>0</v>
      </c>
      <c r="BQ9" s="15">
        <f>'районы НП, ЧП'!AG13</f>
        <v>0</v>
      </c>
      <c r="BR9" s="15">
        <f>'районы НП, ЧП'!AH13</f>
        <v>0</v>
      </c>
      <c r="BS9" s="15">
        <f>'районы НП, ЧП'!AI13</f>
        <v>0</v>
      </c>
      <c r="BT9" s="15">
        <f>'районы НП, ЧП'!AJ13</f>
        <v>0</v>
      </c>
      <c r="BU9" s="15">
        <f>'районы НП, ЧП'!AK13</f>
        <v>0</v>
      </c>
      <c r="BV9" s="15">
        <f>'районы НП, ЧП'!AL13</f>
        <v>0</v>
      </c>
      <c r="BW9" s="15">
        <f>'районы НП, ЧП'!AM13</f>
        <v>0</v>
      </c>
      <c r="BX9" s="15">
        <f>'районы НП, ЧП'!AN13</f>
        <v>0</v>
      </c>
      <c r="BY9" s="15">
        <f>'районы НП, ЧП'!AO13</f>
        <v>0</v>
      </c>
      <c r="BZ9" s="15">
        <f>'районы НП, ЧП'!AP13</f>
        <v>0</v>
      </c>
      <c r="CA9" s="15">
        <f>'районы НП, ЧП'!AU13</f>
        <v>0</v>
      </c>
      <c r="CB9" s="15">
        <f>'районы НП, ЧП'!AV13</f>
        <v>0</v>
      </c>
      <c r="CC9" s="15">
        <f>'районы НП, ЧП'!AW13</f>
        <v>0</v>
      </c>
      <c r="CD9" s="15">
        <f>'районы НП, ЧП'!AX13</f>
        <v>0</v>
      </c>
      <c r="CE9" s="292">
        <f t="shared" ref="CE9:CE74" si="1">SUM(CA9,BW9,BS9,BO9,BK9,BG9,BC9,AY9,AU9,AQ9,AM9,AI9,AE9,AA9,W9,S9,O9,K9,G9,C9)</f>
        <v>0</v>
      </c>
      <c r="CF9" s="292">
        <f t="shared" ref="CF9:CG74" si="2">SUM(CB9,BX9,BT9,BP9,BL9,BH9,BD9,AZ9,AV9,AR9,AN9,AJ9,AF9,AB9,X9,T9,P9,L9,H9,D9)</f>
        <v>0</v>
      </c>
      <c r="CG9" s="292">
        <f t="shared" si="0"/>
        <v>0</v>
      </c>
      <c r="CH9" s="293"/>
    </row>
    <row r="10" spans="1:87" s="22" customFormat="1" ht="31.5" x14ac:dyDescent="0.2">
      <c r="A10" s="28" t="s">
        <v>127</v>
      </c>
      <c r="B10" s="57" t="s">
        <v>3</v>
      </c>
      <c r="C10" s="15">
        <f>КЛПУ!BS14</f>
        <v>0</v>
      </c>
      <c r="D10" s="15">
        <f>КЛПУ!BT14</f>
        <v>0</v>
      </c>
      <c r="E10" s="15">
        <f>КЛПУ!BU14</f>
        <v>0</v>
      </c>
      <c r="F10" s="15">
        <f>КЛПУ!BV14</f>
        <v>0</v>
      </c>
      <c r="G10" s="15">
        <f>Хабаровск!EY14</f>
        <v>20325</v>
      </c>
      <c r="H10" s="15">
        <f>Хабаровск!EZ14</f>
        <v>20325</v>
      </c>
      <c r="I10" s="15">
        <f>Хабаровск!FA14</f>
        <v>20334</v>
      </c>
      <c r="J10" s="15">
        <f>Хабаровск!FB14</f>
        <v>100.04428044280442</v>
      </c>
      <c r="K10" s="15">
        <f>'Хаб.р-ны'!K14</f>
        <v>0</v>
      </c>
      <c r="L10" s="15">
        <f>'Хаб.р-ны'!L14</f>
        <v>0</v>
      </c>
      <c r="M10" s="15">
        <f>'Хаб.р-ны'!M14</f>
        <v>0</v>
      </c>
      <c r="N10" s="15">
        <f>'Хаб.р-ны'!N14</f>
        <v>0</v>
      </c>
      <c r="O10" s="15">
        <f>'Хаб.р-ны'!AA14</f>
        <v>0</v>
      </c>
      <c r="P10" s="15">
        <f>'Хаб.р-ны'!AB14</f>
        <v>0</v>
      </c>
      <c r="Q10" s="15">
        <f>'Хаб.р-ны'!AC14</f>
        <v>0</v>
      </c>
      <c r="R10" s="15">
        <f>'Хаб.р-ны'!AD14</f>
        <v>0</v>
      </c>
      <c r="S10" s="15">
        <f>'Хаб.р-ны'!AU14</f>
        <v>0</v>
      </c>
      <c r="T10" s="15">
        <f>'Хаб.р-ны'!AV14</f>
        <v>0</v>
      </c>
      <c r="U10" s="15">
        <f>'Хаб.р-ны'!AW14</f>
        <v>0</v>
      </c>
      <c r="V10" s="15">
        <f>'Хаб.р-ны'!AX14</f>
        <v>0</v>
      </c>
      <c r="W10" s="15">
        <f>'Хаб.р-ны'!AY14</f>
        <v>0</v>
      </c>
      <c r="X10" s="15">
        <f>'Хаб.р-ны'!AZ14</f>
        <v>0</v>
      </c>
      <c r="Y10" s="15">
        <f>'Хаб.р-ны'!BA14</f>
        <v>0</v>
      </c>
      <c r="Z10" s="15">
        <f>'Хаб.р-ны'!BB14</f>
        <v>0</v>
      </c>
      <c r="AA10" s="15">
        <f>'Хаб.р-ны'!BK14</f>
        <v>0</v>
      </c>
      <c r="AB10" s="15">
        <f>'Хаб.р-ны'!BL14</f>
        <v>0</v>
      </c>
      <c r="AC10" s="15">
        <f>'Хаб.р-ны'!BM14</f>
        <v>0</v>
      </c>
      <c r="AD10" s="15">
        <f>'Хаб.р-ны'!BN14</f>
        <v>0</v>
      </c>
      <c r="AE10" s="15">
        <f>Комсомольск!BO14</f>
        <v>18300</v>
      </c>
      <c r="AF10" s="15">
        <f>Комсомольск!BP14</f>
        <v>18300</v>
      </c>
      <c r="AG10" s="15">
        <f>Комсомольск!BQ14</f>
        <v>18240</v>
      </c>
      <c r="AH10" s="15">
        <f>Комсомольск!BR14</f>
        <v>99.672131147540995</v>
      </c>
      <c r="AI10" s="15">
        <f>'районы КП, СП'!K14</f>
        <v>0</v>
      </c>
      <c r="AJ10" s="15">
        <f>'районы КП, СП'!L14</f>
        <v>0</v>
      </c>
      <c r="AK10" s="15">
        <f>'районы КП, СП'!M14</f>
        <v>0</v>
      </c>
      <c r="AL10" s="15">
        <f>'районы КП, СП'!N14</f>
        <v>0</v>
      </c>
      <c r="AM10" s="15">
        <f>'районы КП, СП'!W14</f>
        <v>0</v>
      </c>
      <c r="AN10" s="15">
        <f>'районы КП, СП'!X14</f>
        <v>0</v>
      </c>
      <c r="AO10" s="15">
        <f>'районы КП, СП'!Y14</f>
        <v>0</v>
      </c>
      <c r="AP10" s="15">
        <f>'районы КП, СП'!Z14</f>
        <v>0</v>
      </c>
      <c r="AQ10" s="15">
        <f>'районы КП, СП'!AA14</f>
        <v>0</v>
      </c>
      <c r="AR10" s="15">
        <f>'районы КП, СП'!AB14</f>
        <v>0</v>
      </c>
      <c r="AS10" s="15">
        <f>'районы КП, СП'!AC14</f>
        <v>0</v>
      </c>
      <c r="AT10" s="15">
        <f>'районы КП, СП'!AD14</f>
        <v>0</v>
      </c>
      <c r="AU10" s="15">
        <f>'районы КП, СП'!AM14</f>
        <v>0</v>
      </c>
      <c r="AV10" s="15">
        <f>'районы КП, СП'!AN14</f>
        <v>0</v>
      </c>
      <c r="AW10" s="15">
        <f>'районы КП, СП'!AO14</f>
        <v>0</v>
      </c>
      <c r="AX10" s="15">
        <f>'районы КП, СП'!AP14</f>
        <v>0</v>
      </c>
      <c r="AY10" s="15">
        <f>'районы КП, СП'!BC14</f>
        <v>0</v>
      </c>
      <c r="AZ10" s="15">
        <f>'районы КП, СП'!BD14</f>
        <v>0</v>
      </c>
      <c r="BA10" s="15">
        <f>'районы КП, СП'!BE14</f>
        <v>0</v>
      </c>
      <c r="BB10" s="15">
        <f>'районы КП, СП'!BF14</f>
        <v>0</v>
      </c>
      <c r="BC10" s="15">
        <f>'районы КП, СП'!BG14</f>
        <v>0</v>
      </c>
      <c r="BD10" s="15">
        <f>'районы КП, СП'!BH14</f>
        <v>0</v>
      </c>
      <c r="BE10" s="15">
        <f>'районы КП, СП'!BI14</f>
        <v>0</v>
      </c>
      <c r="BF10" s="15">
        <f>'районы КП, СП'!BJ14</f>
        <v>0</v>
      </c>
      <c r="BG10" s="15">
        <f>'районы НП, ЧП'!K14</f>
        <v>0</v>
      </c>
      <c r="BH10" s="15">
        <f>'районы НП, ЧП'!L14</f>
        <v>0</v>
      </c>
      <c r="BI10" s="15">
        <f>'районы НП, ЧП'!M14</f>
        <v>0</v>
      </c>
      <c r="BJ10" s="15">
        <f>'районы НП, ЧП'!N14</f>
        <v>0</v>
      </c>
      <c r="BK10" s="15">
        <f>'районы НП, ЧП'!AA14</f>
        <v>0</v>
      </c>
      <c r="BL10" s="15">
        <f>'районы НП, ЧП'!AB14</f>
        <v>0</v>
      </c>
      <c r="BM10" s="15">
        <f>'районы НП, ЧП'!AC14</f>
        <v>0</v>
      </c>
      <c r="BN10" s="15">
        <f>'районы НП, ЧП'!AD14</f>
        <v>0</v>
      </c>
      <c r="BO10" s="15">
        <f>'районы НП, ЧП'!AE14</f>
        <v>0</v>
      </c>
      <c r="BP10" s="15">
        <f>'районы НП, ЧП'!AF14</f>
        <v>0</v>
      </c>
      <c r="BQ10" s="15">
        <f>'районы НП, ЧП'!AG14</f>
        <v>0</v>
      </c>
      <c r="BR10" s="15">
        <f>'районы НП, ЧП'!AH14</f>
        <v>0</v>
      </c>
      <c r="BS10" s="15">
        <f>'районы НП, ЧП'!AI14</f>
        <v>0</v>
      </c>
      <c r="BT10" s="15">
        <f>'районы НП, ЧП'!AJ14</f>
        <v>0</v>
      </c>
      <c r="BU10" s="15">
        <f>'районы НП, ЧП'!AK14</f>
        <v>0</v>
      </c>
      <c r="BV10" s="15">
        <f>'районы НП, ЧП'!AL14</f>
        <v>0</v>
      </c>
      <c r="BW10" s="15">
        <f>'районы НП, ЧП'!AM14</f>
        <v>0</v>
      </c>
      <c r="BX10" s="15">
        <f>'районы НП, ЧП'!AN14</f>
        <v>0</v>
      </c>
      <c r="BY10" s="15">
        <f>'районы НП, ЧП'!AO14</f>
        <v>0</v>
      </c>
      <c r="BZ10" s="15">
        <f>'районы НП, ЧП'!AP14</f>
        <v>0</v>
      </c>
      <c r="CA10" s="15">
        <f>'районы НП, ЧП'!AU14</f>
        <v>0</v>
      </c>
      <c r="CB10" s="15">
        <f>'районы НП, ЧП'!AV14</f>
        <v>0</v>
      </c>
      <c r="CC10" s="15">
        <f>'районы НП, ЧП'!AW14</f>
        <v>0</v>
      </c>
      <c r="CD10" s="15">
        <f>'районы НП, ЧП'!AX14</f>
        <v>0</v>
      </c>
      <c r="CE10" s="292">
        <f t="shared" si="1"/>
        <v>38625</v>
      </c>
      <c r="CF10" s="292">
        <f t="shared" si="2"/>
        <v>38625</v>
      </c>
      <c r="CG10" s="333">
        <f t="shared" si="0"/>
        <v>38574</v>
      </c>
      <c r="CH10" s="293">
        <f t="shared" ref="CH10:CH74" si="3">CG10/CF10*100</f>
        <v>99.867961165048541</v>
      </c>
    </row>
    <row r="11" spans="1:87" s="25" customFormat="1" ht="31.5" x14ac:dyDescent="0.2">
      <c r="A11" s="28" t="s">
        <v>128</v>
      </c>
      <c r="B11" s="57" t="s">
        <v>3</v>
      </c>
      <c r="C11" s="15">
        <f>КЛПУ!BS15</f>
        <v>600</v>
      </c>
      <c r="D11" s="15">
        <f>КЛПУ!BT15</f>
        <v>600</v>
      </c>
      <c r="E11" s="15">
        <f>КЛПУ!BU15</f>
        <v>101</v>
      </c>
      <c r="F11" s="15">
        <f>КЛПУ!BV15</f>
        <v>16.833333333333332</v>
      </c>
      <c r="G11" s="15">
        <f>Хабаровск!EY15</f>
        <v>129388</v>
      </c>
      <c r="H11" s="15">
        <f>Хабаровск!EZ15</f>
        <v>129388</v>
      </c>
      <c r="I11" s="15">
        <f>Хабаровск!FA15</f>
        <v>106500</v>
      </c>
      <c r="J11" s="15">
        <f>Хабаровск!FB15</f>
        <v>82.310569759173958</v>
      </c>
      <c r="K11" s="15">
        <f>'Хаб.р-ны'!K15</f>
        <v>588</v>
      </c>
      <c r="L11" s="15">
        <f>'Хаб.р-ны'!L15</f>
        <v>588</v>
      </c>
      <c r="M11" s="15">
        <f>'Хаб.р-ны'!M15</f>
        <v>699</v>
      </c>
      <c r="N11" s="15">
        <f>'Хаб.р-ны'!N15</f>
        <v>118.87755102040816</v>
      </c>
      <c r="O11" s="15">
        <f>'Хаб.р-ны'!AA15</f>
        <v>3400</v>
      </c>
      <c r="P11" s="15">
        <f>'Хаб.р-ны'!AB15</f>
        <v>3400</v>
      </c>
      <c r="Q11" s="15">
        <f>'Хаб.р-ны'!AC15</f>
        <v>1454</v>
      </c>
      <c r="R11" s="15">
        <f>'Хаб.р-ны'!AD15</f>
        <v>42.764705882352942</v>
      </c>
      <c r="S11" s="15">
        <f>'Хаб.р-ны'!AU15</f>
        <v>5412</v>
      </c>
      <c r="T11" s="15">
        <f>'Хаб.р-ны'!AV15</f>
        <v>5412</v>
      </c>
      <c r="U11" s="15">
        <f>'Хаб.р-ны'!AW15</f>
        <v>19402</v>
      </c>
      <c r="V11" s="15">
        <f>'Хаб.р-ны'!AX15</f>
        <v>358.49963045084996</v>
      </c>
      <c r="W11" s="15">
        <f>'Хаб.р-ны'!AY15</f>
        <v>3000</v>
      </c>
      <c r="X11" s="15">
        <f>'Хаб.р-ны'!AZ15</f>
        <v>3000</v>
      </c>
      <c r="Y11" s="15">
        <f>'Хаб.р-ны'!BA15</f>
        <v>2658</v>
      </c>
      <c r="Z11" s="15">
        <f>'Хаб.р-ны'!BB15</f>
        <v>88.6</v>
      </c>
      <c r="AA11" s="15">
        <f>'Хаб.р-ны'!BK15</f>
        <v>9200</v>
      </c>
      <c r="AB11" s="15">
        <f>'Хаб.р-ны'!BL15</f>
        <v>9200</v>
      </c>
      <c r="AC11" s="15">
        <f>'Хаб.р-ны'!BM15</f>
        <v>4013</v>
      </c>
      <c r="AD11" s="15">
        <f>'Хаб.р-ны'!BN15</f>
        <v>43.619565217391305</v>
      </c>
      <c r="AE11" s="15">
        <f>Комсомольск!BO15</f>
        <v>67426</v>
      </c>
      <c r="AF11" s="15">
        <f>Комсомольск!BP15</f>
        <v>67426</v>
      </c>
      <c r="AG11" s="15">
        <f>Комсомольск!BQ15</f>
        <v>65887</v>
      </c>
      <c r="AH11" s="15">
        <f>Комсомольск!BR15</f>
        <v>97.717497701183518</v>
      </c>
      <c r="AI11" s="15">
        <f>'районы КП, СП'!K15</f>
        <v>18436</v>
      </c>
      <c r="AJ11" s="15">
        <f>'районы КП, СП'!L15</f>
        <v>18436</v>
      </c>
      <c r="AK11" s="15">
        <f>'районы КП, СП'!M15</f>
        <v>6567</v>
      </c>
      <c r="AL11" s="15">
        <f>'районы КП, СП'!N15</f>
        <v>35.620525059665873</v>
      </c>
      <c r="AM11" s="15">
        <f>'районы КП, СП'!W15</f>
        <v>7311</v>
      </c>
      <c r="AN11" s="15">
        <f>'районы КП, СП'!X15</f>
        <v>7311</v>
      </c>
      <c r="AO11" s="15">
        <f>'районы КП, СП'!Y15</f>
        <v>2729</v>
      </c>
      <c r="AP11" s="15">
        <f>'районы КП, СП'!Z15</f>
        <v>37.327315004787309</v>
      </c>
      <c r="AQ11" s="15">
        <f>'районы КП, СП'!AA15</f>
        <v>16</v>
      </c>
      <c r="AR11" s="15">
        <f>'районы КП, СП'!AB15</f>
        <v>16</v>
      </c>
      <c r="AS11" s="15">
        <f>'районы КП, СП'!AC15</f>
        <v>0</v>
      </c>
      <c r="AT11" s="15">
        <f>'районы КП, СП'!AD15</f>
        <v>0</v>
      </c>
      <c r="AU11" s="15">
        <f>'районы КП, СП'!AM15</f>
        <v>800</v>
      </c>
      <c r="AV11" s="15">
        <f>'районы КП, СП'!AN15</f>
        <v>800</v>
      </c>
      <c r="AW11" s="15">
        <f>'районы КП, СП'!AO15</f>
        <v>90</v>
      </c>
      <c r="AX11" s="15">
        <f>'районы КП, СП'!AP15</f>
        <v>11.25</v>
      </c>
      <c r="AY11" s="15">
        <f>'районы КП, СП'!BC15</f>
        <v>20402</v>
      </c>
      <c r="AZ11" s="15">
        <f>'районы КП, СП'!BD15</f>
        <v>20402</v>
      </c>
      <c r="BA11" s="15">
        <f>'районы КП, СП'!BE15</f>
        <v>15</v>
      </c>
      <c r="BB11" s="15">
        <f>'районы КП, СП'!BF15</f>
        <v>7.3522203705519068E-2</v>
      </c>
      <c r="BC11" s="15">
        <f>'районы КП, СП'!BG15</f>
        <v>600</v>
      </c>
      <c r="BD11" s="15">
        <f>'районы КП, СП'!BH15</f>
        <v>600</v>
      </c>
      <c r="BE11" s="15">
        <f>'районы КП, СП'!BI15</f>
        <v>1</v>
      </c>
      <c r="BF11" s="15">
        <f>'районы КП, СП'!BJ15</f>
        <v>0.16666666666666669</v>
      </c>
      <c r="BG11" s="15">
        <f>'районы НП, ЧП'!K15</f>
        <v>9736</v>
      </c>
      <c r="BH11" s="15">
        <f>'районы НП, ЧП'!L15</f>
        <v>9736</v>
      </c>
      <c r="BI11" s="15">
        <f>'районы НП, ЧП'!M15</f>
        <v>660</v>
      </c>
      <c r="BJ11" s="15">
        <f>'районы НП, ЧП'!N15</f>
        <v>6.7789646672144617</v>
      </c>
      <c r="BK11" s="15">
        <f>'районы НП, ЧП'!AA15</f>
        <v>6400</v>
      </c>
      <c r="BL11" s="15">
        <f>'районы НП, ЧП'!AB15</f>
        <v>6400</v>
      </c>
      <c r="BM11" s="15">
        <f>'районы НП, ЧП'!AC15</f>
        <v>1944</v>
      </c>
      <c r="BN11" s="15">
        <f>'районы НП, ЧП'!AD15</f>
        <v>30.375000000000004</v>
      </c>
      <c r="BO11" s="15">
        <f>'районы НП, ЧП'!AE15</f>
        <v>600</v>
      </c>
      <c r="BP11" s="15">
        <f>'районы НП, ЧП'!AF15</f>
        <v>600</v>
      </c>
      <c r="BQ11" s="15">
        <f>'районы НП, ЧП'!AG15</f>
        <v>248</v>
      </c>
      <c r="BR11" s="15">
        <f>'районы НП, ЧП'!AH15</f>
        <v>41.333333333333336</v>
      </c>
      <c r="BS11" s="15">
        <f>'районы НП, ЧП'!AI15</f>
        <v>600</v>
      </c>
      <c r="BT11" s="15">
        <f>'районы НП, ЧП'!AJ15</f>
        <v>600</v>
      </c>
      <c r="BU11" s="15">
        <f>'районы НП, ЧП'!AK15</f>
        <v>539</v>
      </c>
      <c r="BV11" s="15">
        <f>'районы НП, ЧП'!AL15</f>
        <v>89.833333333333329</v>
      </c>
      <c r="BW11" s="15">
        <f>'районы НП, ЧП'!AM15</f>
        <v>4720</v>
      </c>
      <c r="BX11" s="15">
        <f>'районы НП, ЧП'!AN15</f>
        <v>4720</v>
      </c>
      <c r="BY11" s="15">
        <f>'районы НП, ЧП'!AO15</f>
        <v>5152</v>
      </c>
      <c r="BZ11" s="15">
        <f>'районы НП, ЧП'!AP15</f>
        <v>109.15254237288134</v>
      </c>
      <c r="CA11" s="15">
        <f>'районы НП, ЧП'!AU15</f>
        <v>20</v>
      </c>
      <c r="CB11" s="15">
        <f>'районы НП, ЧП'!AV15</f>
        <v>20</v>
      </c>
      <c r="CC11" s="15">
        <f>'районы НП, ЧП'!AW15</f>
        <v>27</v>
      </c>
      <c r="CD11" s="15">
        <f>'районы НП, ЧП'!AX15</f>
        <v>135</v>
      </c>
      <c r="CE11" s="292">
        <f t="shared" si="1"/>
        <v>288655</v>
      </c>
      <c r="CF11" s="292">
        <f t="shared" si="2"/>
        <v>288655</v>
      </c>
      <c r="CG11" s="333">
        <f t="shared" si="0"/>
        <v>218686</v>
      </c>
      <c r="CH11" s="293">
        <f t="shared" si="3"/>
        <v>75.76033673416363</v>
      </c>
    </row>
    <row r="12" spans="1:87" s="22" customFormat="1" ht="14.1" customHeight="1" x14ac:dyDescent="0.2">
      <c r="A12" s="28" t="s">
        <v>129</v>
      </c>
      <c r="B12" s="57" t="s">
        <v>3</v>
      </c>
      <c r="C12" s="15">
        <f>КЛПУ!BS16</f>
        <v>0</v>
      </c>
      <c r="D12" s="15">
        <f>КЛПУ!BT16</f>
        <v>0</v>
      </c>
      <c r="E12" s="15">
        <f>КЛПУ!BU16</f>
        <v>0</v>
      </c>
      <c r="F12" s="15">
        <f>КЛПУ!BV16</f>
        <v>0</v>
      </c>
      <c r="G12" s="15">
        <f>Хабаровск!EY16</f>
        <v>2646</v>
      </c>
      <c r="H12" s="15">
        <f>Хабаровск!EZ16</f>
        <v>2646</v>
      </c>
      <c r="I12" s="15">
        <f>Хабаровск!FA16</f>
        <v>2829</v>
      </c>
      <c r="J12" s="15">
        <f>Хабаровск!FB16</f>
        <v>106.91609977324264</v>
      </c>
      <c r="K12" s="15">
        <f>'Хаб.р-ны'!K16</f>
        <v>150</v>
      </c>
      <c r="L12" s="15">
        <f>'Хаб.р-ны'!L16</f>
        <v>150</v>
      </c>
      <c r="M12" s="15">
        <f>'Хаб.р-ны'!M16</f>
        <v>139</v>
      </c>
      <c r="N12" s="15">
        <f>'Хаб.р-ны'!N16</f>
        <v>92.666666666666657</v>
      </c>
      <c r="O12" s="15">
        <f>'Хаб.р-ны'!AA16</f>
        <v>215</v>
      </c>
      <c r="P12" s="15">
        <f>'Хаб.р-ны'!AB16</f>
        <v>215</v>
      </c>
      <c r="Q12" s="15">
        <f>'Хаб.р-ны'!AC16</f>
        <v>136</v>
      </c>
      <c r="R12" s="15">
        <f>'Хаб.р-ны'!AD16</f>
        <v>63.255813953488371</v>
      </c>
      <c r="S12" s="15">
        <f>'Хаб.р-ны'!AU16</f>
        <v>423</v>
      </c>
      <c r="T12" s="15">
        <f>'Хаб.р-ны'!AV16</f>
        <v>423</v>
      </c>
      <c r="U12" s="15">
        <f>'Хаб.р-ны'!AW16</f>
        <v>167</v>
      </c>
      <c r="V12" s="15">
        <f>'Хаб.р-ны'!AX16</f>
        <v>39.479905437352244</v>
      </c>
      <c r="W12" s="15">
        <f>'Хаб.р-ны'!AY16</f>
        <v>200</v>
      </c>
      <c r="X12" s="15">
        <f>'Хаб.р-ны'!AZ16</f>
        <v>200</v>
      </c>
      <c r="Y12" s="15">
        <f>'Хаб.р-ны'!BA16</f>
        <v>43</v>
      </c>
      <c r="Z12" s="15">
        <f>'Хаб.р-ны'!BB16</f>
        <v>21.5</v>
      </c>
      <c r="AA12" s="15">
        <f>'Хаб.р-ны'!BK16</f>
        <v>795</v>
      </c>
      <c r="AB12" s="15">
        <f>'Хаб.р-ны'!BL16</f>
        <v>795</v>
      </c>
      <c r="AC12" s="15">
        <f>'Хаб.р-ны'!BM16</f>
        <v>275</v>
      </c>
      <c r="AD12" s="15">
        <f>'Хаб.р-ны'!BN16</f>
        <v>34.591194968553459</v>
      </c>
      <c r="AE12" s="15">
        <f>Комсомольск!BO16</f>
        <v>1934</v>
      </c>
      <c r="AF12" s="15">
        <f>Комсомольск!BP16</f>
        <v>1934</v>
      </c>
      <c r="AG12" s="15">
        <f>Комсомольск!BQ16</f>
        <v>1382</v>
      </c>
      <c r="AH12" s="15">
        <f>Комсомольск!BR16</f>
        <v>71.458117890382624</v>
      </c>
      <c r="AI12" s="15">
        <f>'районы КП, СП'!K16</f>
        <v>440</v>
      </c>
      <c r="AJ12" s="15">
        <f>'районы КП, СП'!L16</f>
        <v>440</v>
      </c>
      <c r="AK12" s="15">
        <f>'районы КП, СП'!M16</f>
        <v>315</v>
      </c>
      <c r="AL12" s="15">
        <f>'районы КП, СП'!N16</f>
        <v>71.590909090909093</v>
      </c>
      <c r="AM12" s="15">
        <f>'районы КП, СП'!W16</f>
        <v>200</v>
      </c>
      <c r="AN12" s="15">
        <f>'районы КП, СП'!X16</f>
        <v>200</v>
      </c>
      <c r="AO12" s="15">
        <f>'районы КП, СП'!Y16</f>
        <v>165</v>
      </c>
      <c r="AP12" s="15">
        <f>'районы КП, СП'!Z16</f>
        <v>82.5</v>
      </c>
      <c r="AQ12" s="15">
        <f>'районы КП, СП'!AA16</f>
        <v>28</v>
      </c>
      <c r="AR12" s="15">
        <f>'районы КП, СП'!AB16</f>
        <v>28</v>
      </c>
      <c r="AS12" s="15">
        <f>'районы КП, СП'!AC16</f>
        <v>0</v>
      </c>
      <c r="AT12" s="15">
        <f>'районы КП, СП'!AD16</f>
        <v>0</v>
      </c>
      <c r="AU12" s="15">
        <f>'районы КП, СП'!AM16</f>
        <v>300</v>
      </c>
      <c r="AV12" s="15">
        <f>'районы КП, СП'!AN16</f>
        <v>300</v>
      </c>
      <c r="AW12" s="15">
        <f>'районы КП, СП'!AO16</f>
        <v>272</v>
      </c>
      <c r="AX12" s="15">
        <f>'районы КП, СП'!AP16</f>
        <v>90.666666666666657</v>
      </c>
      <c r="AY12" s="15">
        <f>'районы КП, СП'!BC16</f>
        <v>370</v>
      </c>
      <c r="AZ12" s="15">
        <f>'районы КП, СП'!BD16</f>
        <v>370</v>
      </c>
      <c r="BA12" s="15">
        <f>'районы КП, СП'!BE16</f>
        <v>40</v>
      </c>
      <c r="BB12" s="15">
        <f>'районы КП, СП'!BF16</f>
        <v>10.810810810810811</v>
      </c>
      <c r="BC12" s="15">
        <f>'районы КП, СП'!BG16</f>
        <v>30</v>
      </c>
      <c r="BD12" s="15">
        <f>'районы КП, СП'!BH16</f>
        <v>30</v>
      </c>
      <c r="BE12" s="15">
        <f>'районы КП, СП'!BI16</f>
        <v>0</v>
      </c>
      <c r="BF12" s="15">
        <f>'районы КП, СП'!BJ16</f>
        <v>0</v>
      </c>
      <c r="BG12" s="15">
        <f>'районы НП, ЧП'!K16</f>
        <v>320</v>
      </c>
      <c r="BH12" s="15">
        <f>'районы НП, ЧП'!L16</f>
        <v>320</v>
      </c>
      <c r="BI12" s="15">
        <f>'районы НП, ЧП'!M16</f>
        <v>214</v>
      </c>
      <c r="BJ12" s="15">
        <f>'районы НП, ЧП'!N16</f>
        <v>66.875</v>
      </c>
      <c r="BK12" s="15">
        <f>'районы НП, ЧП'!AA16</f>
        <v>150</v>
      </c>
      <c r="BL12" s="15">
        <f>'районы НП, ЧП'!AB16</f>
        <v>150</v>
      </c>
      <c r="BM12" s="15">
        <f>'районы НП, ЧП'!AC16</f>
        <v>29</v>
      </c>
      <c r="BN12" s="15">
        <f>'районы НП, ЧП'!AD16</f>
        <v>19.333333333333332</v>
      </c>
      <c r="BO12" s="15">
        <f>'районы НП, ЧП'!AE16</f>
        <v>30</v>
      </c>
      <c r="BP12" s="15">
        <f>'районы НП, ЧП'!AF16</f>
        <v>30</v>
      </c>
      <c r="BQ12" s="15">
        <f>'районы НП, ЧП'!AG16</f>
        <v>0</v>
      </c>
      <c r="BR12" s="15">
        <f>'районы НП, ЧП'!AH16</f>
        <v>0</v>
      </c>
      <c r="BS12" s="15">
        <f>'районы НП, ЧП'!AI16</f>
        <v>17</v>
      </c>
      <c r="BT12" s="15">
        <f>'районы НП, ЧП'!AJ16</f>
        <v>17</v>
      </c>
      <c r="BU12" s="15">
        <f>'районы НП, ЧП'!AK16</f>
        <v>20</v>
      </c>
      <c r="BV12" s="15">
        <f>'районы НП, ЧП'!AL16</f>
        <v>117.64705882352942</v>
      </c>
      <c r="BW12" s="15">
        <f>'районы НП, ЧП'!AM16</f>
        <v>100</v>
      </c>
      <c r="BX12" s="15">
        <f>'районы НП, ЧП'!AN16</f>
        <v>100</v>
      </c>
      <c r="BY12" s="15">
        <f>'районы НП, ЧП'!AO16</f>
        <v>26</v>
      </c>
      <c r="BZ12" s="15">
        <f>'районы НП, ЧП'!AP16</f>
        <v>26</v>
      </c>
      <c r="CA12" s="15">
        <f>'районы НП, ЧП'!AU16</f>
        <v>97</v>
      </c>
      <c r="CB12" s="15">
        <f>'районы НП, ЧП'!AV16</f>
        <v>97</v>
      </c>
      <c r="CC12" s="15">
        <f>'районы НП, ЧП'!AW16</f>
        <v>103</v>
      </c>
      <c r="CD12" s="15">
        <f>'районы НП, ЧП'!AX16</f>
        <v>106.18556701030928</v>
      </c>
      <c r="CE12" s="292">
        <f t="shared" si="1"/>
        <v>8445</v>
      </c>
      <c r="CF12" s="292">
        <f t="shared" si="2"/>
        <v>8445</v>
      </c>
      <c r="CG12" s="333">
        <f t="shared" si="0"/>
        <v>6155</v>
      </c>
      <c r="CH12" s="293">
        <f t="shared" si="3"/>
        <v>72.883362936648908</v>
      </c>
    </row>
    <row r="13" spans="1:87" ht="31.5" x14ac:dyDescent="0.2">
      <c r="A13" s="28" t="s">
        <v>130</v>
      </c>
      <c r="B13" s="57" t="s">
        <v>3</v>
      </c>
      <c r="C13" s="15">
        <f>КЛПУ!BS17</f>
        <v>3290</v>
      </c>
      <c r="D13" s="15">
        <f>КЛПУ!BT17</f>
        <v>3290</v>
      </c>
      <c r="E13" s="15">
        <f>КЛПУ!BU17</f>
        <v>10981</v>
      </c>
      <c r="F13" s="15">
        <f>КЛПУ!BV17</f>
        <v>333.76899696048633</v>
      </c>
      <c r="G13" s="15">
        <f>Хабаровск!EY17</f>
        <v>326319</v>
      </c>
      <c r="H13" s="15">
        <f>Хабаровск!EZ17</f>
        <v>326319</v>
      </c>
      <c r="I13" s="15">
        <f>Хабаровск!FA17</f>
        <v>455894</v>
      </c>
      <c r="J13" s="15">
        <f>Хабаровск!FB17</f>
        <v>139.7080770656934</v>
      </c>
      <c r="K13" s="15">
        <f>'Хаб.р-ны'!K17</f>
        <v>14122</v>
      </c>
      <c r="L13" s="15">
        <f>'Хаб.р-ны'!L17</f>
        <v>14122</v>
      </c>
      <c r="M13" s="15">
        <f>'Хаб.р-ны'!M17</f>
        <v>39431</v>
      </c>
      <c r="N13" s="15">
        <f>'Хаб.р-ны'!N17</f>
        <v>279.2168248123495</v>
      </c>
      <c r="O13" s="15">
        <f>'Хаб.р-ны'!AA17</f>
        <v>12987</v>
      </c>
      <c r="P13" s="15">
        <f>'Хаб.р-ны'!AB17</f>
        <v>12987</v>
      </c>
      <c r="Q13" s="15">
        <f>'Хаб.р-ны'!AC17</f>
        <v>21460</v>
      </c>
      <c r="R13" s="15">
        <f>'Хаб.р-ны'!AD17</f>
        <v>165.24216524216524</v>
      </c>
      <c r="S13" s="15">
        <f>'Хаб.р-ны'!AU17</f>
        <v>42233</v>
      </c>
      <c r="T13" s="15">
        <f>'Хаб.р-ны'!AV17</f>
        <v>42233</v>
      </c>
      <c r="U13" s="15">
        <f>'Хаб.р-ны'!AW17</f>
        <v>63813</v>
      </c>
      <c r="V13" s="15">
        <f>'Хаб.р-ны'!AX17</f>
        <v>151.09748301091562</v>
      </c>
      <c r="W13" s="15">
        <f>'Хаб.р-ны'!AY17</f>
        <v>14517</v>
      </c>
      <c r="X13" s="15">
        <f>'Хаб.р-ны'!AZ17</f>
        <v>14517</v>
      </c>
      <c r="Y13" s="15">
        <f>'Хаб.р-ны'!BA17</f>
        <v>18350</v>
      </c>
      <c r="Z13" s="15">
        <f>'Хаб.р-ны'!BB17</f>
        <v>126.40352689949714</v>
      </c>
      <c r="AA13" s="15">
        <f>'Хаб.р-ны'!BK17</f>
        <v>31664</v>
      </c>
      <c r="AB13" s="15">
        <f>'Хаб.р-ны'!BL17</f>
        <v>31664</v>
      </c>
      <c r="AC13" s="15">
        <f>'Хаб.р-ны'!BM17</f>
        <v>58495</v>
      </c>
      <c r="AD13" s="15">
        <f>'Хаб.р-ны'!BN17</f>
        <v>184.73660939868623</v>
      </c>
      <c r="AE13" s="15">
        <f>Комсомольск!BO17</f>
        <v>163290</v>
      </c>
      <c r="AF13" s="15">
        <f>Комсомольск!BP17</f>
        <v>163290</v>
      </c>
      <c r="AG13" s="15">
        <f>Комсомольск!BQ17</f>
        <v>407277</v>
      </c>
      <c r="AH13" s="15">
        <f>Комсомольск!BR17</f>
        <v>249.41943781003121</v>
      </c>
      <c r="AI13" s="15">
        <f>'районы КП, СП'!K17</f>
        <v>35867</v>
      </c>
      <c r="AJ13" s="15">
        <f>'районы КП, СП'!L17</f>
        <v>35867</v>
      </c>
      <c r="AK13" s="15">
        <f>'районы КП, СП'!M17</f>
        <v>65387</v>
      </c>
      <c r="AL13" s="15">
        <f>'районы КП, СП'!N17</f>
        <v>182.30406780606128</v>
      </c>
      <c r="AM13" s="15">
        <f>'районы КП, СП'!W17</f>
        <v>20893</v>
      </c>
      <c r="AN13" s="15">
        <f>'районы КП, СП'!X17</f>
        <v>20893</v>
      </c>
      <c r="AO13" s="15">
        <f>'районы КП, СП'!Y17</f>
        <v>52616</v>
      </c>
      <c r="AP13" s="15">
        <f>'районы КП, СП'!Z17</f>
        <v>251.83554300483416</v>
      </c>
      <c r="AQ13" s="15">
        <f>'районы КП, СП'!AA17</f>
        <v>8625</v>
      </c>
      <c r="AR13" s="15">
        <f>'районы КП, СП'!AB17</f>
        <v>8625</v>
      </c>
      <c r="AS13" s="15">
        <f>'районы КП, СП'!AC17</f>
        <v>13839</v>
      </c>
      <c r="AT13" s="15">
        <f>'районы КП, СП'!AD17</f>
        <v>160.45217391304348</v>
      </c>
      <c r="AU13" s="15">
        <f>'районы КП, СП'!AM17</f>
        <v>18590</v>
      </c>
      <c r="AV13" s="15">
        <f>'районы КП, СП'!AN17</f>
        <v>18590</v>
      </c>
      <c r="AW13" s="15">
        <f>'районы КП, СП'!AO17</f>
        <v>15350</v>
      </c>
      <c r="AX13" s="15">
        <f>'районы КП, СП'!AP17</f>
        <v>82.571274878967188</v>
      </c>
      <c r="AY13" s="15">
        <f>'районы КП, СП'!BC17</f>
        <v>11759</v>
      </c>
      <c r="AZ13" s="15">
        <f>'районы КП, СП'!BD17</f>
        <v>11759</v>
      </c>
      <c r="BA13" s="15">
        <f>'районы КП, СП'!BE17</f>
        <v>62697</v>
      </c>
      <c r="BB13" s="15">
        <f>'районы КП, СП'!BF17</f>
        <v>533.18309380049322</v>
      </c>
      <c r="BC13" s="15">
        <f>'районы КП, СП'!BG17</f>
        <v>3161</v>
      </c>
      <c r="BD13" s="15">
        <f>'районы КП, СП'!BH17</f>
        <v>3161</v>
      </c>
      <c r="BE13" s="15">
        <f>'районы КП, СП'!BI17</f>
        <v>13539</v>
      </c>
      <c r="BF13" s="15">
        <f>'районы КП, СП'!BJ17</f>
        <v>428.31382473900669</v>
      </c>
      <c r="BG13" s="15">
        <f>'районы НП, ЧП'!K17</f>
        <v>26472</v>
      </c>
      <c r="BH13" s="15">
        <f>'районы НП, ЧП'!L17</f>
        <v>26472</v>
      </c>
      <c r="BI13" s="15">
        <f>'районы НП, ЧП'!M17</f>
        <v>94602</v>
      </c>
      <c r="BJ13" s="15">
        <f>'районы НП, ЧП'!N17</f>
        <v>357.36627379873073</v>
      </c>
      <c r="BK13" s="15">
        <f>'районы НП, ЧП'!AA17</f>
        <v>15873</v>
      </c>
      <c r="BL13" s="15">
        <f>'районы НП, ЧП'!AB17</f>
        <v>15873</v>
      </c>
      <c r="BM13" s="15">
        <f>'районы НП, ЧП'!AC17</f>
        <v>53385</v>
      </c>
      <c r="BN13" s="15">
        <f>'районы НП, ЧП'!AD17</f>
        <v>336.32583632583635</v>
      </c>
      <c r="BO13" s="15">
        <f>'районы НП, ЧП'!AE17</f>
        <v>2782</v>
      </c>
      <c r="BP13" s="15">
        <f>'районы НП, ЧП'!AF17</f>
        <v>2782</v>
      </c>
      <c r="BQ13" s="15">
        <f>'районы НП, ЧП'!AG17</f>
        <v>7771</v>
      </c>
      <c r="BR13" s="15">
        <f>'районы НП, ЧП'!AH17</f>
        <v>279.33141624730411</v>
      </c>
      <c r="BS13" s="15">
        <f>'районы НП, ЧП'!AI17</f>
        <v>2048</v>
      </c>
      <c r="BT13" s="15">
        <f>'районы НП, ЧП'!AJ17</f>
        <v>2048</v>
      </c>
      <c r="BU13" s="15">
        <f>'районы НП, ЧП'!AK17</f>
        <v>3496</v>
      </c>
      <c r="BV13" s="15">
        <f>'районы НП, ЧП'!AL17</f>
        <v>170.703125</v>
      </c>
      <c r="BW13" s="15">
        <f>'районы НП, ЧП'!AM17</f>
        <v>6528</v>
      </c>
      <c r="BX13" s="15">
        <f>'районы НП, ЧП'!AN17</f>
        <v>6528</v>
      </c>
      <c r="BY13" s="15">
        <f>'районы НП, ЧП'!AO17</f>
        <v>10621</v>
      </c>
      <c r="BZ13" s="15">
        <f>'районы НП, ЧП'!AP17</f>
        <v>162.69914215686273</v>
      </c>
      <c r="CA13" s="15">
        <f>'районы НП, ЧП'!AU17</f>
        <v>11169</v>
      </c>
      <c r="CB13" s="15">
        <f>'районы НП, ЧП'!AV17</f>
        <v>11169</v>
      </c>
      <c r="CC13" s="15">
        <f>'районы НП, ЧП'!AW17</f>
        <v>43839</v>
      </c>
      <c r="CD13" s="15">
        <f>'районы НП, ЧП'!AX17</f>
        <v>392.50604351329577</v>
      </c>
      <c r="CE13" s="292">
        <f t="shared" si="1"/>
        <v>772189</v>
      </c>
      <c r="CF13" s="292">
        <f t="shared" si="2"/>
        <v>772189</v>
      </c>
      <c r="CG13" s="333">
        <f t="shared" si="0"/>
        <v>1512843</v>
      </c>
      <c r="CH13" s="293">
        <f t="shared" si="3"/>
        <v>195.91615524178667</v>
      </c>
    </row>
    <row r="14" spans="1:87" s="22" customFormat="1" ht="15.75" x14ac:dyDescent="0.2">
      <c r="A14" s="35" t="s">
        <v>131</v>
      </c>
      <c r="B14" s="58"/>
      <c r="C14" s="15">
        <f>КЛПУ!BS18</f>
        <v>7019</v>
      </c>
      <c r="D14" s="15">
        <f>КЛПУ!BT18</f>
        <v>7019</v>
      </c>
      <c r="E14" s="15">
        <f>КЛПУ!BU18</f>
        <v>2912.2421875</v>
      </c>
      <c r="F14" s="15">
        <f>КЛПУ!BV18</f>
        <v>41.490841822196892</v>
      </c>
      <c r="G14" s="15">
        <f>Хабаровск!EY18</f>
        <v>996792</v>
      </c>
      <c r="H14" s="15">
        <f>Хабаровск!EZ18</f>
        <v>996792</v>
      </c>
      <c r="I14" s="15">
        <f>Хабаровск!FA18</f>
        <v>999860.56640625</v>
      </c>
      <c r="J14" s="15">
        <f>Хабаровск!FB18</f>
        <v>100.30784420483411</v>
      </c>
      <c r="K14" s="15">
        <f>'Хаб.р-ны'!K18</f>
        <v>30501</v>
      </c>
      <c r="L14" s="15">
        <f>'Хаб.р-ны'!L18</f>
        <v>30501</v>
      </c>
      <c r="M14" s="15">
        <f>'Хаб.р-ны'!M18</f>
        <v>22283.94921875</v>
      </c>
      <c r="N14" s="15">
        <f>'Хаб.р-ны'!N18</f>
        <v>73.059733184977532</v>
      </c>
      <c r="O14" s="15">
        <f>'Хаб.р-ны'!AA18</f>
        <v>40114</v>
      </c>
      <c r="P14" s="15">
        <f>'Хаб.р-ны'!AB18</f>
        <v>40114</v>
      </c>
      <c r="Q14" s="15">
        <f>'Хаб.р-ны'!AC18</f>
        <v>34434.28515625</v>
      </c>
      <c r="R14" s="15">
        <f>'Хаб.р-ны'!AD18</f>
        <v>85.841065852944112</v>
      </c>
      <c r="S14" s="15">
        <f>'Хаб.р-ны'!AU18</f>
        <v>101328</v>
      </c>
      <c r="T14" s="15">
        <f>'Хаб.р-ны'!AV18</f>
        <v>101328</v>
      </c>
      <c r="U14" s="15">
        <f>'Хаб.р-ны'!AW18</f>
        <v>72666.42578125</v>
      </c>
      <c r="V14" s="15">
        <f>'Хаб.р-ны'!AX18</f>
        <v>71.714063024287469</v>
      </c>
      <c r="W14" s="15">
        <f>'Хаб.р-ны'!AY18</f>
        <v>17116</v>
      </c>
      <c r="X14" s="15">
        <f>'Хаб.р-ны'!AZ18</f>
        <v>17116</v>
      </c>
      <c r="Y14" s="15">
        <f>'Хаб.р-ны'!BA18</f>
        <v>18835.98828125</v>
      </c>
      <c r="Z14" s="15">
        <f>'Хаб.р-ны'!BB18</f>
        <v>110.04900842048374</v>
      </c>
      <c r="AA14" s="15">
        <f>'Хаб.р-ны'!BK18</f>
        <v>140808</v>
      </c>
      <c r="AB14" s="15">
        <f>'Хаб.р-ны'!BL18</f>
        <v>140808</v>
      </c>
      <c r="AC14" s="15">
        <f>'Хаб.р-ны'!BM18</f>
        <v>131011.90234375</v>
      </c>
      <c r="AD14" s="15">
        <f>'Хаб.р-ны'!BN18</f>
        <v>93.042939565756214</v>
      </c>
      <c r="AE14" s="15">
        <f>Комсомольск!BO18</f>
        <v>411655</v>
      </c>
      <c r="AF14" s="15">
        <f>Комсомольск!BP18</f>
        <v>411655</v>
      </c>
      <c r="AG14" s="15">
        <f>Комсомольск!BQ18</f>
        <v>360311.15234375</v>
      </c>
      <c r="AH14" s="15">
        <f>Комсомольск!BR18</f>
        <v>87.527456813047337</v>
      </c>
      <c r="AI14" s="15">
        <f>'районы КП, СП'!K18</f>
        <v>109771</v>
      </c>
      <c r="AJ14" s="15">
        <f>'районы КП, СП'!L18</f>
        <v>109771</v>
      </c>
      <c r="AK14" s="15">
        <f>'районы КП, СП'!M18</f>
        <v>102374.2890625</v>
      </c>
      <c r="AL14" s="15">
        <f>'районы КП, СП'!N18</f>
        <v>93.261689392007</v>
      </c>
      <c r="AM14" s="15">
        <f>'районы КП, СП'!W18</f>
        <v>49725</v>
      </c>
      <c r="AN14" s="15">
        <f>'районы КП, СП'!X18</f>
        <v>49725</v>
      </c>
      <c r="AO14" s="15">
        <f>'районы КП, СП'!Y18</f>
        <v>38153.1328125</v>
      </c>
      <c r="AP14" s="15">
        <f>'районы КП, СП'!Z18</f>
        <v>76.728271116138771</v>
      </c>
      <c r="AQ14" s="15">
        <f>'районы КП, СП'!AA18</f>
        <v>45739</v>
      </c>
      <c r="AR14" s="15">
        <f>'районы КП, СП'!AB18</f>
        <v>45739</v>
      </c>
      <c r="AS14" s="15">
        <f>'районы КП, СП'!AC18</f>
        <v>46739.72265625</v>
      </c>
      <c r="AT14" s="15">
        <f>'районы КП, СП'!AD18</f>
        <v>102.1878979782024</v>
      </c>
      <c r="AU14" s="15">
        <f>'районы КП, СП'!AM18</f>
        <v>93340</v>
      </c>
      <c r="AV14" s="15">
        <f>'районы КП, СП'!AN18</f>
        <v>93340</v>
      </c>
      <c r="AW14" s="15">
        <f>'районы КП, СП'!AO18</f>
        <v>105066.73828125</v>
      </c>
      <c r="AX14" s="15">
        <f>'районы КП, СП'!AP18</f>
        <v>112.56346505383543</v>
      </c>
      <c r="AY14" s="15">
        <f>'районы КП, СП'!BC18</f>
        <v>34594</v>
      </c>
      <c r="AZ14" s="15">
        <f>'районы КП, СП'!BD18</f>
        <v>34594</v>
      </c>
      <c r="BA14" s="15">
        <f>'районы КП, СП'!BE18</f>
        <v>29385.7734375</v>
      </c>
      <c r="BB14" s="15">
        <f>'районы КП, СП'!BF18</f>
        <v>84.944711329999421</v>
      </c>
      <c r="BC14" s="15">
        <f>'районы КП, СП'!BG18</f>
        <v>10698</v>
      </c>
      <c r="BD14" s="15">
        <f>'районы КП, СП'!BH18</f>
        <v>10698</v>
      </c>
      <c r="BE14" s="15">
        <f>'районы КП, СП'!BI18</f>
        <v>8096.515625</v>
      </c>
      <c r="BF14" s="15">
        <f>'районы КП, СП'!BJ18</f>
        <v>75.682516591886326</v>
      </c>
      <c r="BG14" s="15">
        <f>'районы НП, ЧП'!K18</f>
        <v>47541</v>
      </c>
      <c r="BH14" s="15">
        <f>'районы НП, ЧП'!L18</f>
        <v>47541</v>
      </c>
      <c r="BI14" s="15">
        <f>'районы НП, ЧП'!M18</f>
        <v>31794.359375</v>
      </c>
      <c r="BJ14" s="15">
        <f>'районы НП, ЧП'!N18</f>
        <v>66.877767348183667</v>
      </c>
      <c r="BK14" s="15">
        <f>'районы НП, ЧП'!AA18</f>
        <v>41044</v>
      </c>
      <c r="BL14" s="15">
        <f>'районы НП, ЧП'!AB18</f>
        <v>41044</v>
      </c>
      <c r="BM14" s="15">
        <f>'районы НП, ЧП'!AC18</f>
        <v>28223.76953125</v>
      </c>
      <c r="BN14" s="15">
        <f>'районы НП, ЧП'!AD18</f>
        <v>68.764666044367019</v>
      </c>
      <c r="BO14" s="15">
        <f>'районы НП, ЧП'!AE18</f>
        <v>7425</v>
      </c>
      <c r="BP14" s="15">
        <f>'районы НП, ЧП'!AF18</f>
        <v>7425</v>
      </c>
      <c r="BQ14" s="15">
        <f>'районы НП, ЧП'!AG18</f>
        <v>5231.25390625</v>
      </c>
      <c r="BR14" s="15">
        <f>'районы НП, ЧП'!AH18</f>
        <v>70.454598063973066</v>
      </c>
      <c r="BS14" s="15">
        <f>'районы НП, ЧП'!AI18</f>
        <v>4493</v>
      </c>
      <c r="BT14" s="15">
        <f>'районы НП, ЧП'!AJ18</f>
        <v>4493</v>
      </c>
      <c r="BU14" s="15">
        <f>'районы НП, ЧП'!AK18</f>
        <v>2854.3671875</v>
      </c>
      <c r="BV14" s="15">
        <f>'районы НП, ЧП'!AL18</f>
        <v>63.529205152459376</v>
      </c>
      <c r="BW14" s="15">
        <f>'районы НП, ЧП'!AM18</f>
        <v>15245</v>
      </c>
      <c r="BX14" s="15">
        <f>'районы НП, ЧП'!AN18</f>
        <v>15245</v>
      </c>
      <c r="BY14" s="15">
        <f>'районы НП, ЧП'!AO18</f>
        <v>15839.4375</v>
      </c>
      <c r="BZ14" s="15">
        <f>'районы НП, ЧП'!AP18</f>
        <v>103.89922925549359</v>
      </c>
      <c r="CA14" s="15">
        <f>'районы НП, ЧП'!AU18</f>
        <v>56109</v>
      </c>
      <c r="CB14" s="15">
        <f>'районы НП, ЧП'!AV18</f>
        <v>56109</v>
      </c>
      <c r="CC14" s="15">
        <f>'районы НП, ЧП'!AW18</f>
        <v>29221.34375</v>
      </c>
      <c r="CD14" s="15">
        <f>'районы НП, ЧП'!AX18</f>
        <v>52.079601757293837</v>
      </c>
      <c r="CE14" s="292">
        <f t="shared" si="1"/>
        <v>2261057</v>
      </c>
      <c r="CF14" s="292">
        <f t="shared" si="2"/>
        <v>2261057</v>
      </c>
      <c r="CG14" s="333">
        <f t="shared" si="0"/>
        <v>2085297.21484375</v>
      </c>
      <c r="CH14" s="293">
        <f t="shared" si="3"/>
        <v>92.226653942989927</v>
      </c>
      <c r="CI14" s="365"/>
    </row>
    <row r="15" spans="1:87" s="22" customFormat="1" ht="15" customHeight="1" x14ac:dyDescent="0.2">
      <c r="A15" s="28" t="s">
        <v>132</v>
      </c>
      <c r="B15" s="57"/>
      <c r="C15" s="15">
        <f>КЛПУ!BS19</f>
        <v>0</v>
      </c>
      <c r="D15" s="15">
        <f>КЛПУ!BT19</f>
        <v>0</v>
      </c>
      <c r="E15" s="15">
        <f>КЛПУ!BU19</f>
        <v>0</v>
      </c>
      <c r="F15" s="15">
        <f>КЛПУ!BV19</f>
        <v>0</v>
      </c>
      <c r="G15" s="15">
        <f>Хабаровск!EY19</f>
        <v>0</v>
      </c>
      <c r="H15" s="15">
        <f>Хабаровск!EZ19</f>
        <v>0</v>
      </c>
      <c r="I15" s="15">
        <f>Хабаровск!FA19</f>
        <v>0</v>
      </c>
      <c r="J15" s="15">
        <f>Хабаровск!FB19</f>
        <v>0</v>
      </c>
      <c r="K15" s="15">
        <f>'Хаб.р-ны'!K19</f>
        <v>0</v>
      </c>
      <c r="L15" s="15">
        <f>'Хаб.р-ны'!L19</f>
        <v>0</v>
      </c>
      <c r="M15" s="15">
        <f>'Хаб.р-ны'!M19</f>
        <v>0</v>
      </c>
      <c r="N15" s="15">
        <f>'Хаб.р-ны'!N19</f>
        <v>0</v>
      </c>
      <c r="O15" s="15">
        <f>'Хаб.р-ны'!AA19</f>
        <v>0</v>
      </c>
      <c r="P15" s="15">
        <f>'Хаб.р-ны'!AB19</f>
        <v>0</v>
      </c>
      <c r="Q15" s="15">
        <f>'Хаб.р-ны'!AC19</f>
        <v>0</v>
      </c>
      <c r="R15" s="15">
        <f>'Хаб.р-ны'!AD19</f>
        <v>0</v>
      </c>
      <c r="S15" s="15">
        <f>'Хаб.р-ны'!AU19</f>
        <v>0</v>
      </c>
      <c r="T15" s="15">
        <f>'Хаб.р-ны'!AV19</f>
        <v>0</v>
      </c>
      <c r="U15" s="15">
        <f>'Хаб.р-ны'!AW19</f>
        <v>0</v>
      </c>
      <c r="V15" s="15">
        <f>'Хаб.р-ны'!AX19</f>
        <v>0</v>
      </c>
      <c r="W15" s="15">
        <f>'Хаб.р-ны'!AY19</f>
        <v>0</v>
      </c>
      <c r="X15" s="15">
        <f>'Хаб.р-ны'!AZ19</f>
        <v>0</v>
      </c>
      <c r="Y15" s="15">
        <f>'Хаб.р-ны'!BA19</f>
        <v>0</v>
      </c>
      <c r="Z15" s="15">
        <f>'Хаб.р-ны'!BB19</f>
        <v>0</v>
      </c>
      <c r="AA15" s="15">
        <f>'Хаб.р-ны'!BK19</f>
        <v>0</v>
      </c>
      <c r="AB15" s="15">
        <f>'Хаб.р-ны'!BL19</f>
        <v>0</v>
      </c>
      <c r="AC15" s="15">
        <f>'Хаб.р-ны'!BM19</f>
        <v>0</v>
      </c>
      <c r="AD15" s="15">
        <f>'Хаб.р-ны'!BN19</f>
        <v>0</v>
      </c>
      <c r="AE15" s="15">
        <f>Комсомольск!BO19</f>
        <v>0</v>
      </c>
      <c r="AF15" s="15">
        <f>Комсомольск!BP19</f>
        <v>0</v>
      </c>
      <c r="AG15" s="15">
        <f>Комсомольск!BQ19</f>
        <v>0</v>
      </c>
      <c r="AH15" s="15">
        <f>Комсомольск!BR19</f>
        <v>0</v>
      </c>
      <c r="AI15" s="15">
        <f>'районы КП, СП'!K19</f>
        <v>0</v>
      </c>
      <c r="AJ15" s="15">
        <f>'районы КП, СП'!L19</f>
        <v>0</v>
      </c>
      <c r="AK15" s="15">
        <f>'районы КП, СП'!M19</f>
        <v>0</v>
      </c>
      <c r="AL15" s="15">
        <f>'районы КП, СП'!N19</f>
        <v>0</v>
      </c>
      <c r="AM15" s="15">
        <f>'районы КП, СП'!W19</f>
        <v>0</v>
      </c>
      <c r="AN15" s="15">
        <f>'районы КП, СП'!X19</f>
        <v>0</v>
      </c>
      <c r="AO15" s="15">
        <f>'районы КП, СП'!Y19</f>
        <v>0</v>
      </c>
      <c r="AP15" s="15"/>
      <c r="AQ15" s="15">
        <f>'районы КП, СП'!AA19</f>
        <v>0</v>
      </c>
      <c r="AR15" s="15">
        <f>'районы КП, СП'!AB19</f>
        <v>0</v>
      </c>
      <c r="AS15" s="15">
        <f>'районы КП, СП'!AC19</f>
        <v>0</v>
      </c>
      <c r="AT15" s="15">
        <f>'районы КП, СП'!AD19</f>
        <v>0</v>
      </c>
      <c r="AU15" s="15">
        <f>'районы КП, СП'!AM19</f>
        <v>0</v>
      </c>
      <c r="AV15" s="15">
        <f>'районы КП, СП'!AN19</f>
        <v>0</v>
      </c>
      <c r="AW15" s="15">
        <f>'районы КП, СП'!AO19</f>
        <v>0</v>
      </c>
      <c r="AX15" s="15">
        <f>'районы КП, СП'!AP19</f>
        <v>0</v>
      </c>
      <c r="AY15" s="15">
        <f>'районы КП, СП'!BC19</f>
        <v>0</v>
      </c>
      <c r="AZ15" s="15">
        <f>'районы КП, СП'!BD19</f>
        <v>0</v>
      </c>
      <c r="BA15" s="15">
        <f>'районы КП, СП'!BE19</f>
        <v>0</v>
      </c>
      <c r="BB15" s="15">
        <f>'районы КП, СП'!BF19</f>
        <v>0</v>
      </c>
      <c r="BC15" s="15">
        <f>'районы КП, СП'!BG19</f>
        <v>0</v>
      </c>
      <c r="BD15" s="15">
        <f>'районы КП, СП'!BH19</f>
        <v>0</v>
      </c>
      <c r="BE15" s="15">
        <f>'районы КП, СП'!BI19</f>
        <v>0</v>
      </c>
      <c r="BF15" s="15">
        <f>'районы КП, СП'!BJ19</f>
        <v>0</v>
      </c>
      <c r="BG15" s="15">
        <f>'районы НП, ЧП'!K19</f>
        <v>0</v>
      </c>
      <c r="BH15" s="15">
        <f>'районы НП, ЧП'!L19</f>
        <v>0</v>
      </c>
      <c r="BI15" s="15">
        <f>'районы НП, ЧП'!M19</f>
        <v>0</v>
      </c>
      <c r="BJ15" s="15">
        <f>'районы НП, ЧП'!N19</f>
        <v>0</v>
      </c>
      <c r="BK15" s="15">
        <f>'районы НП, ЧП'!AA19</f>
        <v>0</v>
      </c>
      <c r="BL15" s="15">
        <f>'районы НП, ЧП'!AB19</f>
        <v>0</v>
      </c>
      <c r="BM15" s="15">
        <f>'районы НП, ЧП'!AC19</f>
        <v>0</v>
      </c>
      <c r="BN15" s="15">
        <f>'районы НП, ЧП'!AD19</f>
        <v>0</v>
      </c>
      <c r="BO15" s="15">
        <f>'районы НП, ЧП'!AE19</f>
        <v>0</v>
      </c>
      <c r="BP15" s="15">
        <f>'районы НП, ЧП'!AF19</f>
        <v>0</v>
      </c>
      <c r="BQ15" s="15">
        <f>'районы НП, ЧП'!AG19</f>
        <v>0</v>
      </c>
      <c r="BR15" s="15">
        <f>'районы НП, ЧП'!AH19</f>
        <v>0</v>
      </c>
      <c r="BS15" s="15">
        <f>'районы НП, ЧП'!AI19</f>
        <v>0</v>
      </c>
      <c r="BT15" s="15">
        <f>'районы НП, ЧП'!AJ19</f>
        <v>0</v>
      </c>
      <c r="BU15" s="15">
        <f>'районы НП, ЧП'!AK19</f>
        <v>0</v>
      </c>
      <c r="BV15" s="15">
        <f>'районы НП, ЧП'!AL19</f>
        <v>0</v>
      </c>
      <c r="BW15" s="15">
        <f>'районы НП, ЧП'!AM19</f>
        <v>0</v>
      </c>
      <c r="BX15" s="15">
        <f>'районы НП, ЧП'!AN19</f>
        <v>0</v>
      </c>
      <c r="BY15" s="15">
        <f>'районы НП, ЧП'!AO19</f>
        <v>0</v>
      </c>
      <c r="BZ15" s="15">
        <f>'районы НП, ЧП'!AP19</f>
        <v>0</v>
      </c>
      <c r="CA15" s="15">
        <f>'районы НП, ЧП'!AU19</f>
        <v>0</v>
      </c>
      <c r="CB15" s="15">
        <f>'районы НП, ЧП'!AV19</f>
        <v>0</v>
      </c>
      <c r="CC15" s="15">
        <f>'районы НП, ЧП'!AW19</f>
        <v>0</v>
      </c>
      <c r="CD15" s="15">
        <f>'районы НП, ЧП'!AX19</f>
        <v>0</v>
      </c>
      <c r="CE15" s="292">
        <f t="shared" si="1"/>
        <v>0</v>
      </c>
      <c r="CF15" s="292">
        <f t="shared" si="2"/>
        <v>0</v>
      </c>
      <c r="CG15" s="292">
        <f t="shared" si="0"/>
        <v>0</v>
      </c>
      <c r="CH15" s="293"/>
      <c r="CI15" s="368"/>
    </row>
    <row r="16" spans="1:87" s="223" customFormat="1" ht="15.75" x14ac:dyDescent="0.2">
      <c r="A16" s="241" t="s">
        <v>133</v>
      </c>
      <c r="B16" s="242"/>
      <c r="C16" s="230">
        <f>КЛПУ!BS20</f>
        <v>18560</v>
      </c>
      <c r="D16" s="230">
        <f>КЛПУ!BT20</f>
        <v>18560</v>
      </c>
      <c r="E16" s="230">
        <f>КЛПУ!BU20</f>
        <v>19881.5</v>
      </c>
      <c r="F16" s="230">
        <f>КЛПУ!BV20</f>
        <v>107.12015086206897</v>
      </c>
      <c r="G16" s="230">
        <f>Хабаровск!EY20</f>
        <v>163097</v>
      </c>
      <c r="H16" s="230">
        <f>Хабаровск!EZ20</f>
        <v>163097</v>
      </c>
      <c r="I16" s="230">
        <f>Хабаровск!FA20</f>
        <v>167687.25</v>
      </c>
      <c r="J16" s="230">
        <f>Хабаровск!FB20</f>
        <v>102.81442944995922</v>
      </c>
      <c r="K16" s="230">
        <f>'Хаб.р-ны'!K20</f>
        <v>14960</v>
      </c>
      <c r="L16" s="230">
        <f>'Хаб.р-ны'!L20</f>
        <v>14960</v>
      </c>
      <c r="M16" s="230">
        <f>'Хаб.р-ны'!M20</f>
        <v>24293.75</v>
      </c>
      <c r="N16" s="230">
        <f>'Хаб.р-ны'!N20</f>
        <v>162.39137700534761</v>
      </c>
      <c r="O16" s="230">
        <f>'Хаб.р-ны'!AA20</f>
        <v>16470</v>
      </c>
      <c r="P16" s="230">
        <f>'Хаб.р-ны'!AB20</f>
        <v>16470</v>
      </c>
      <c r="Q16" s="230">
        <f>'Хаб.р-ны'!AC20</f>
        <v>21405.25</v>
      </c>
      <c r="R16" s="230">
        <f>'Хаб.р-ны'!AD20</f>
        <v>129.96508803885854</v>
      </c>
      <c r="S16" s="230">
        <f>'Хаб.р-ны'!AU20</f>
        <v>71287</v>
      </c>
      <c r="T16" s="230">
        <f>'Хаб.р-ны'!AV20</f>
        <v>71287</v>
      </c>
      <c r="U16" s="230">
        <f>'Хаб.р-ны'!AW20</f>
        <v>73362.25</v>
      </c>
      <c r="V16" s="230">
        <f>'Хаб.р-ны'!AX20</f>
        <v>102.91111983952193</v>
      </c>
      <c r="W16" s="230">
        <f>'Хаб.р-ны'!AY20</f>
        <v>17452</v>
      </c>
      <c r="X16" s="230">
        <f>'Хаб.р-ны'!AZ20</f>
        <v>17452</v>
      </c>
      <c r="Y16" s="230">
        <f>'Хаб.р-ны'!BA20</f>
        <v>15910.25</v>
      </c>
      <c r="Z16" s="230">
        <f>'Хаб.р-ны'!BB20</f>
        <v>91.165768966307581</v>
      </c>
      <c r="AA16" s="230">
        <f>'Хаб.р-ны'!BK20</f>
        <v>136000</v>
      </c>
      <c r="AB16" s="230">
        <f>'Хаб.р-ны'!BL20</f>
        <v>136000</v>
      </c>
      <c r="AC16" s="230">
        <f>'Хаб.р-ны'!BM20</f>
        <v>135614.75</v>
      </c>
      <c r="AD16" s="230">
        <f>'Хаб.р-ны'!BN20</f>
        <v>99.716727941176472</v>
      </c>
      <c r="AE16" s="230">
        <f>Комсомольск!BO20</f>
        <v>119036</v>
      </c>
      <c r="AF16" s="230">
        <f>Комсомольск!BP20</f>
        <v>119036</v>
      </c>
      <c r="AG16" s="230">
        <f>Комсомольск!BQ20</f>
        <v>105166.75</v>
      </c>
      <c r="AH16" s="230">
        <f>Комсомольск!BR20</f>
        <v>88.34869283242044</v>
      </c>
      <c r="AI16" s="230">
        <f>'районы КП, СП'!K20</f>
        <v>19520</v>
      </c>
      <c r="AJ16" s="230">
        <f>'районы КП, СП'!L20</f>
        <v>19520</v>
      </c>
      <c r="AK16" s="230">
        <f>'районы КП, СП'!M20</f>
        <v>13456.5</v>
      </c>
      <c r="AL16" s="230">
        <f>'районы КП, СП'!N20</f>
        <v>68.936987704918025</v>
      </c>
      <c r="AM16" s="230">
        <f>'районы КП, СП'!W20</f>
        <v>43000</v>
      </c>
      <c r="AN16" s="230">
        <f>'районы КП, СП'!X20</f>
        <v>43000</v>
      </c>
      <c r="AO16" s="230">
        <f>'районы КП, СП'!Y20</f>
        <v>40974.5</v>
      </c>
      <c r="AP16" s="230">
        <f>'районы КП, СП'!Z20</f>
        <v>95.289534883720933</v>
      </c>
      <c r="AQ16" s="230">
        <f>'районы КП, СП'!AA20</f>
        <v>41120</v>
      </c>
      <c r="AR16" s="230">
        <f>'районы КП, СП'!AB20</f>
        <v>41120</v>
      </c>
      <c r="AS16" s="230">
        <f>'районы КП, СП'!AC20</f>
        <v>46729.25</v>
      </c>
      <c r="AT16" s="230">
        <f>'районы КП, СП'!AD20</f>
        <v>113.64117217898833</v>
      </c>
      <c r="AU16" s="230">
        <f>'районы КП, СП'!AM20</f>
        <v>118236</v>
      </c>
      <c r="AV16" s="230">
        <f>'районы КП, СП'!AN20</f>
        <v>118236</v>
      </c>
      <c r="AW16" s="230">
        <f>'районы КП, СП'!AO20</f>
        <v>118230.25</v>
      </c>
      <c r="AX16" s="230">
        <f>'районы КП, СП'!AP20</f>
        <v>99.99513684495416</v>
      </c>
      <c r="AY16" s="230">
        <f>'районы КП, СП'!BC20</f>
        <v>18601</v>
      </c>
      <c r="AZ16" s="230">
        <f>'районы КП, СП'!BD20</f>
        <v>18601</v>
      </c>
      <c r="BA16" s="230">
        <f>'районы КП, СП'!BE20</f>
        <v>10851.5</v>
      </c>
      <c r="BB16" s="230">
        <f>'районы КП, СП'!BF20</f>
        <v>58.338261383796578</v>
      </c>
      <c r="BC16" s="230">
        <f>'районы КП, СП'!BG20</f>
        <v>10000</v>
      </c>
      <c r="BD16" s="230">
        <f>'районы КП, СП'!BH20</f>
        <v>10000</v>
      </c>
      <c r="BE16" s="230">
        <f>'районы КП, СП'!BI20</f>
        <v>12781</v>
      </c>
      <c r="BF16" s="230">
        <f>'районы КП, СП'!BJ20</f>
        <v>127.81</v>
      </c>
      <c r="BG16" s="230">
        <f>'районы НП, ЧП'!K20</f>
        <v>45150</v>
      </c>
      <c r="BH16" s="230">
        <f>'районы НП, ЧП'!L20</f>
        <v>45150</v>
      </c>
      <c r="BI16" s="230">
        <f>'районы НП, ЧП'!M20</f>
        <v>35115</v>
      </c>
      <c r="BJ16" s="230">
        <f>'районы НП, ЧП'!N20</f>
        <v>77.774086378737536</v>
      </c>
      <c r="BK16" s="230">
        <f>'районы НП, ЧП'!AA20</f>
        <v>40200</v>
      </c>
      <c r="BL16" s="230">
        <f>'районы НП, ЧП'!AB20</f>
        <v>40200</v>
      </c>
      <c r="BM16" s="230">
        <f>'районы НП, ЧП'!AC20</f>
        <v>30704.25</v>
      </c>
      <c r="BN16" s="230">
        <f>'районы НП, ЧП'!AD20</f>
        <v>76.378731343283576</v>
      </c>
      <c r="BO16" s="230">
        <f>'районы НП, ЧП'!AE20</f>
        <v>6000</v>
      </c>
      <c r="BP16" s="230">
        <f>'районы НП, ЧП'!AF20</f>
        <v>6000</v>
      </c>
      <c r="BQ16" s="230">
        <f>'районы НП, ЧП'!AG20</f>
        <v>7491.25</v>
      </c>
      <c r="BR16" s="230">
        <f>'районы НП, ЧП'!AH20</f>
        <v>124.85416666666667</v>
      </c>
      <c r="BS16" s="230">
        <f>'районы НП, ЧП'!AI20</f>
        <v>5650</v>
      </c>
      <c r="BT16" s="230">
        <f>'районы НП, ЧП'!AJ20</f>
        <v>5650</v>
      </c>
      <c r="BU16" s="230">
        <f>'районы НП, ЧП'!AK20</f>
        <v>3089.5</v>
      </c>
      <c r="BV16" s="230">
        <f>'районы НП, ЧП'!AL20</f>
        <v>54.681415929203538</v>
      </c>
      <c r="BW16" s="230">
        <f>'районы НП, ЧП'!AM20</f>
        <v>22000</v>
      </c>
      <c r="BX16" s="230">
        <f>'районы НП, ЧП'!AN20</f>
        <v>22000</v>
      </c>
      <c r="BY16" s="230">
        <f>'районы НП, ЧП'!AO20</f>
        <v>17388</v>
      </c>
      <c r="BZ16" s="230">
        <f>'районы НП, ЧП'!AP20</f>
        <v>79.036363636363632</v>
      </c>
      <c r="CA16" s="230">
        <f>'районы НП, ЧП'!AU20</f>
        <v>57000</v>
      </c>
      <c r="CB16" s="230">
        <f>'районы НП, ЧП'!AV20</f>
        <v>57000</v>
      </c>
      <c r="CC16" s="230">
        <f>'районы НП, ЧП'!AW20</f>
        <v>58718</v>
      </c>
      <c r="CD16" s="230">
        <f>'районы НП, ЧП'!AX20</f>
        <v>103.01403508771929</v>
      </c>
      <c r="CE16" s="294">
        <f t="shared" si="1"/>
        <v>983339</v>
      </c>
      <c r="CF16" s="294">
        <f t="shared" si="2"/>
        <v>983339</v>
      </c>
      <c r="CG16" s="294">
        <f t="shared" si="0"/>
        <v>958850.75</v>
      </c>
      <c r="CH16" s="295">
        <f t="shared" si="3"/>
        <v>97.509683842499896</v>
      </c>
    </row>
    <row r="17" spans="1:87" s="22" customFormat="1" ht="31.5" x14ac:dyDescent="0.2">
      <c r="A17" s="35" t="s">
        <v>134</v>
      </c>
      <c r="B17" s="58" t="s">
        <v>3</v>
      </c>
      <c r="C17" s="15">
        <f>КЛПУ!BS21</f>
        <v>1861</v>
      </c>
      <c r="D17" s="15">
        <f>КЛПУ!BT21</f>
        <v>1861</v>
      </c>
      <c r="E17" s="15">
        <f>КЛПУ!BU21</f>
        <v>131</v>
      </c>
      <c r="F17" s="15">
        <f>КЛПУ!BV21</f>
        <v>7.0392262224610427</v>
      </c>
      <c r="G17" s="15">
        <f>Хабаровск!EY21</f>
        <v>254358</v>
      </c>
      <c r="H17" s="15">
        <f>Хабаровск!EZ21</f>
        <v>254358</v>
      </c>
      <c r="I17" s="15">
        <f>Хабаровск!FA21</f>
        <v>240655</v>
      </c>
      <c r="J17" s="15">
        <f>Хабаровск!FB21</f>
        <v>94.612711218047011</v>
      </c>
      <c r="K17" s="15">
        <f>'Хаб.р-ны'!K21</f>
        <v>7998</v>
      </c>
      <c r="L17" s="15">
        <f>'Хаб.р-ны'!L21</f>
        <v>7998</v>
      </c>
      <c r="M17" s="15">
        <f>'Хаб.р-ны'!M21</f>
        <v>4001</v>
      </c>
      <c r="N17" s="15">
        <f>'Хаб.р-ны'!N21</f>
        <v>50.025006251562885</v>
      </c>
      <c r="O17" s="15">
        <f>'Хаб.р-ны'!AA21</f>
        <v>10067</v>
      </c>
      <c r="P17" s="15">
        <f>'Хаб.р-ны'!AB21</f>
        <v>10067</v>
      </c>
      <c r="Q17" s="15">
        <f>'Хаб.р-ны'!AC21</f>
        <v>6116</v>
      </c>
      <c r="R17" s="15">
        <f>'Хаб.р-ны'!AD21</f>
        <v>60.752955200158929</v>
      </c>
      <c r="S17" s="15">
        <f>'Хаб.р-ны'!AU21</f>
        <v>30044</v>
      </c>
      <c r="T17" s="15">
        <f>'Хаб.р-ны'!AV21</f>
        <v>30044</v>
      </c>
      <c r="U17" s="15">
        <f>'Хаб.р-ны'!AW21</f>
        <v>23170</v>
      </c>
      <c r="V17" s="15">
        <f>'Хаб.р-ны'!AX21</f>
        <v>77.120223671947812</v>
      </c>
      <c r="W17" s="15">
        <f>'Хаб.р-ны'!AY21</f>
        <v>5957</v>
      </c>
      <c r="X17" s="15">
        <f>'Хаб.р-ны'!AZ21</f>
        <v>5957</v>
      </c>
      <c r="Y17" s="15">
        <f>'Хаб.р-ны'!BA21</f>
        <v>5692</v>
      </c>
      <c r="Z17" s="15">
        <f>'Хаб.р-ны'!BB21</f>
        <v>95.5514520731912</v>
      </c>
      <c r="AA17" s="15">
        <f>'Хаб.р-ны'!BK21</f>
        <v>34455</v>
      </c>
      <c r="AB17" s="15">
        <f>'Хаб.р-ны'!BL21</f>
        <v>34455</v>
      </c>
      <c r="AC17" s="15">
        <f>'Хаб.р-ны'!BM21</f>
        <v>33292</v>
      </c>
      <c r="AD17" s="15">
        <f>'Хаб.р-ны'!BN21</f>
        <v>96.624582789145265</v>
      </c>
      <c r="AE17" s="15">
        <f>Комсомольск!BO21</f>
        <v>119920</v>
      </c>
      <c r="AF17" s="15">
        <f>Комсомольск!BP21</f>
        <v>119920</v>
      </c>
      <c r="AG17" s="15">
        <f>Комсомольск!BQ21</f>
        <v>84187</v>
      </c>
      <c r="AH17" s="15">
        <f>Комсомольск!BR21</f>
        <v>70.202635090060042</v>
      </c>
      <c r="AI17" s="15">
        <f>'районы КП, СП'!K21</f>
        <v>29517</v>
      </c>
      <c r="AJ17" s="15">
        <f>'районы КП, СП'!L21</f>
        <v>29517</v>
      </c>
      <c r="AK17" s="15">
        <f>'районы КП, СП'!M21</f>
        <v>16456</v>
      </c>
      <c r="AL17" s="15">
        <f>'районы КП, СП'!N21</f>
        <v>55.750923196801836</v>
      </c>
      <c r="AM17" s="15">
        <f>'районы КП, СП'!W21</f>
        <v>11837</v>
      </c>
      <c r="AN17" s="15">
        <f>'районы КП, СП'!X21</f>
        <v>11837</v>
      </c>
      <c r="AO17" s="15">
        <f>'районы КП, СП'!Y21</f>
        <v>5955</v>
      </c>
      <c r="AP17" s="15">
        <f>'районы КП, СП'!Z21</f>
        <v>50.308355157556818</v>
      </c>
      <c r="AQ17" s="15">
        <f>'районы КП, СП'!AA21</f>
        <v>10690</v>
      </c>
      <c r="AR17" s="15">
        <f>'районы КП, СП'!AB21</f>
        <v>10690</v>
      </c>
      <c r="AS17" s="15">
        <f>'районы КП, СП'!AC21</f>
        <v>10905</v>
      </c>
      <c r="AT17" s="15">
        <f>'районы КП, СП'!AD21</f>
        <v>102.01122544434051</v>
      </c>
      <c r="AU17" s="15">
        <f>'районы КП, СП'!AM21</f>
        <v>22627</v>
      </c>
      <c r="AV17" s="15">
        <f>'районы КП, СП'!AN21</f>
        <v>22627</v>
      </c>
      <c r="AW17" s="15">
        <f>'районы КП, СП'!AO21</f>
        <v>5526</v>
      </c>
      <c r="AX17" s="15">
        <f>'районы КП, СП'!AP21</f>
        <v>24.422150528130111</v>
      </c>
      <c r="AY17" s="15">
        <f>'районы КП, СП'!BC21</f>
        <v>11726</v>
      </c>
      <c r="AZ17" s="15">
        <f>'районы КП, СП'!BD21</f>
        <v>11726</v>
      </c>
      <c r="BA17" s="15">
        <f>'районы КП, СП'!BE21</f>
        <v>3708</v>
      </c>
      <c r="BB17" s="15">
        <f>'районы КП, СП'!BF21</f>
        <v>31.622036500085283</v>
      </c>
      <c r="BC17" s="15">
        <f>'районы КП, СП'!BG21</f>
        <v>2835</v>
      </c>
      <c r="BD17" s="15">
        <f>'районы КП, СП'!BH21</f>
        <v>2835</v>
      </c>
      <c r="BE17" s="15">
        <f>'районы КП, СП'!BI21</f>
        <v>-1</v>
      </c>
      <c r="BF17" s="15">
        <f>'районы КП, СП'!BJ21</f>
        <v>-3.5273368606701945E-2</v>
      </c>
      <c r="BG17" s="15">
        <f>'районы НП, ЧП'!K21</f>
        <v>10738</v>
      </c>
      <c r="BH17" s="15">
        <f>'районы НП, ЧП'!L21</f>
        <v>10738</v>
      </c>
      <c r="BI17" s="15">
        <f>'районы НП, ЧП'!M21</f>
        <v>8469</v>
      </c>
      <c r="BJ17" s="15">
        <f>'районы НП, ЧП'!N21</f>
        <v>78.869435649096658</v>
      </c>
      <c r="BK17" s="15">
        <f>'районы НП, ЧП'!AA21</f>
        <v>10999</v>
      </c>
      <c r="BL17" s="15">
        <f>'районы НП, ЧП'!AB21</f>
        <v>10999</v>
      </c>
      <c r="BM17" s="15">
        <f>'районы НП, ЧП'!AC21</f>
        <v>7089</v>
      </c>
      <c r="BN17" s="15">
        <f>'районы НП, ЧП'!AD21</f>
        <v>64.451313755795979</v>
      </c>
      <c r="BO17" s="15">
        <f>'районы НП, ЧП'!AE21</f>
        <v>1963</v>
      </c>
      <c r="BP17" s="15">
        <f>'районы НП, ЧП'!AF21</f>
        <v>1963</v>
      </c>
      <c r="BQ17" s="15">
        <f>'районы НП, ЧП'!AG21</f>
        <v>288</v>
      </c>
      <c r="BR17" s="15">
        <f>'районы НП, ЧП'!AH21</f>
        <v>14.671421293937851</v>
      </c>
      <c r="BS17" s="15">
        <f>'районы НП, ЧП'!AI21</f>
        <v>1191</v>
      </c>
      <c r="BT17" s="15">
        <f>'районы НП, ЧП'!AJ21</f>
        <v>1191</v>
      </c>
      <c r="BU17" s="15">
        <f>'районы НП, ЧП'!AK21</f>
        <v>883</v>
      </c>
      <c r="BV17" s="15">
        <f>'районы НП, ЧП'!AL21</f>
        <v>74.139378673383717</v>
      </c>
      <c r="BW17" s="15">
        <f>'районы НП, ЧП'!AM21</f>
        <v>4388</v>
      </c>
      <c r="BX17" s="15">
        <f>'районы НП, ЧП'!AN21</f>
        <v>4388</v>
      </c>
      <c r="BY17" s="15">
        <f>'районы НП, ЧП'!AO21</f>
        <v>4072</v>
      </c>
      <c r="BZ17" s="15">
        <f>'районы НП, ЧП'!AP21</f>
        <v>92.798541476754778</v>
      </c>
      <c r="CA17" s="15">
        <f>'районы НП, ЧП'!AU21</f>
        <v>8375</v>
      </c>
      <c r="CB17" s="15">
        <f>'районы НП, ЧП'!AV21</f>
        <v>8375</v>
      </c>
      <c r="CC17" s="15">
        <f>'районы НП, ЧП'!AW21</f>
        <v>7485</v>
      </c>
      <c r="CD17" s="15">
        <f>'районы НП, ЧП'!AX21</f>
        <v>89.373134328358205</v>
      </c>
      <c r="CE17" s="292">
        <f t="shared" si="1"/>
        <v>591546</v>
      </c>
      <c r="CF17" s="292">
        <f t="shared" si="2"/>
        <v>591546</v>
      </c>
      <c r="CG17" s="333">
        <f t="shared" si="0"/>
        <v>468079</v>
      </c>
      <c r="CH17" s="293">
        <f t="shared" si="3"/>
        <v>79.128081332643617</v>
      </c>
    </row>
    <row r="18" spans="1:87" s="22" customFormat="1" ht="15.75" x14ac:dyDescent="0.2">
      <c r="A18" s="28" t="s">
        <v>135</v>
      </c>
      <c r="B18" s="57"/>
      <c r="C18" s="15">
        <f>КЛПУ!BS22</f>
        <v>0</v>
      </c>
      <c r="D18" s="15">
        <f>КЛПУ!BT22</f>
        <v>0</v>
      </c>
      <c r="E18" s="15">
        <f>КЛПУ!BU22</f>
        <v>0</v>
      </c>
      <c r="F18" s="15">
        <f>КЛПУ!BV22</f>
        <v>0</v>
      </c>
      <c r="G18" s="15">
        <f>Хабаровск!EY22</f>
        <v>31400</v>
      </c>
      <c r="H18" s="15">
        <f>Хабаровск!EZ22</f>
        <v>31400</v>
      </c>
      <c r="I18" s="15">
        <f>Хабаровск!FA22</f>
        <v>26382</v>
      </c>
      <c r="J18" s="15">
        <f>Хабаровск!FB22</f>
        <v>84.01910828025477</v>
      </c>
      <c r="K18" s="15">
        <f>'Хаб.р-ны'!K22</f>
        <v>0</v>
      </c>
      <c r="L18" s="15">
        <f>'Хаб.р-ны'!L22</f>
        <v>0</v>
      </c>
      <c r="M18" s="15">
        <f>'Хаб.р-ны'!M22</f>
        <v>0</v>
      </c>
      <c r="N18" s="15">
        <f>'Хаб.р-ны'!N22</f>
        <v>0</v>
      </c>
      <c r="O18" s="15">
        <f>'Хаб.р-ны'!AA22</f>
        <v>0</v>
      </c>
      <c r="P18" s="15">
        <f>'Хаб.р-ны'!AB22</f>
        <v>0</v>
      </c>
      <c r="Q18" s="15">
        <f>'Хаб.р-ны'!AC22</f>
        <v>0</v>
      </c>
      <c r="R18" s="15">
        <f>'Хаб.р-ны'!AD22</f>
        <v>0</v>
      </c>
      <c r="S18" s="15">
        <f>'Хаб.р-ны'!AU22</f>
        <v>671</v>
      </c>
      <c r="T18" s="15">
        <f>'Хаб.р-ны'!AV22</f>
        <v>671</v>
      </c>
      <c r="U18" s="15">
        <f>'Хаб.р-ны'!AW22</f>
        <v>629</v>
      </c>
      <c r="V18" s="15">
        <f>'Хаб.р-ны'!AX22</f>
        <v>93.740685543964233</v>
      </c>
      <c r="W18" s="15">
        <f>'Хаб.р-ны'!AY22</f>
        <v>0</v>
      </c>
      <c r="X18" s="15">
        <f>'Хаб.р-ны'!AZ22</f>
        <v>0</v>
      </c>
      <c r="Y18" s="15">
        <f>'Хаб.р-ны'!BA22</f>
        <v>0</v>
      </c>
      <c r="Z18" s="15">
        <f>'Хаб.р-ны'!BB22</f>
        <v>0</v>
      </c>
      <c r="AA18" s="15">
        <f>'Хаб.р-ны'!BK22</f>
        <v>0</v>
      </c>
      <c r="AB18" s="15">
        <f>'Хаб.р-ны'!BL22</f>
        <v>0</v>
      </c>
      <c r="AC18" s="15">
        <f>'Хаб.р-ны'!BM22</f>
        <v>0</v>
      </c>
      <c r="AD18" s="15">
        <f>'Хаб.р-ны'!BN22</f>
        <v>0</v>
      </c>
      <c r="AE18" s="15">
        <f>Комсомольск!BO22</f>
        <v>20600</v>
      </c>
      <c r="AF18" s="15">
        <f>Комсомольск!BP22</f>
        <v>20600</v>
      </c>
      <c r="AG18" s="15">
        <f>Комсомольск!BQ22</f>
        <v>23689</v>
      </c>
      <c r="AH18" s="15">
        <f>Комсомольск!BR22</f>
        <v>114.99514563106797</v>
      </c>
      <c r="AI18" s="15">
        <f>'районы КП, СП'!K22</f>
        <v>2000</v>
      </c>
      <c r="AJ18" s="15">
        <f>'районы КП, СП'!L22</f>
        <v>2000</v>
      </c>
      <c r="AK18" s="15">
        <f>'районы КП, СП'!M22</f>
        <v>1916</v>
      </c>
      <c r="AL18" s="15">
        <f>'районы КП, СП'!N22</f>
        <v>95.8</v>
      </c>
      <c r="AM18" s="15">
        <f>'районы КП, СП'!W22</f>
        <v>530</v>
      </c>
      <c r="AN18" s="15">
        <f>'районы КП, СП'!X22</f>
        <v>530</v>
      </c>
      <c r="AO18" s="15">
        <f>'районы КП, СП'!Y22</f>
        <v>515</v>
      </c>
      <c r="AP18" s="15">
        <f>'районы КП, СП'!Z22</f>
        <v>97.169811320754718</v>
      </c>
      <c r="AQ18" s="15">
        <f>'районы КП, СП'!AA22</f>
        <v>0</v>
      </c>
      <c r="AR18" s="15">
        <f>'районы КП, СП'!AB22</f>
        <v>0</v>
      </c>
      <c r="AS18" s="15">
        <f>'районы КП, СП'!AC22</f>
        <v>0</v>
      </c>
      <c r="AT18" s="15">
        <f>'районы КП, СП'!AD22</f>
        <v>0</v>
      </c>
      <c r="AU18" s="15">
        <f>'районы КП, СП'!AM22</f>
        <v>2200</v>
      </c>
      <c r="AV18" s="15">
        <f>'районы КП, СП'!AN22</f>
        <v>2200</v>
      </c>
      <c r="AW18" s="15">
        <f>'районы КП, СП'!AO22</f>
        <v>2250</v>
      </c>
      <c r="AX18" s="15">
        <f>'районы КП, СП'!AP22</f>
        <v>102.27272727272727</v>
      </c>
      <c r="AY18" s="15">
        <f>'районы КП, СП'!BC22</f>
        <v>0</v>
      </c>
      <c r="AZ18" s="15">
        <f>'районы КП, СП'!BD22</f>
        <v>0</v>
      </c>
      <c r="BA18" s="15">
        <f>'районы КП, СП'!BE22</f>
        <v>0</v>
      </c>
      <c r="BB18" s="15">
        <f>'районы КП, СП'!BF22</f>
        <v>0</v>
      </c>
      <c r="BC18" s="15">
        <f>'районы КП, СП'!BG22</f>
        <v>0</v>
      </c>
      <c r="BD18" s="15">
        <f>'районы КП, СП'!BH22</f>
        <v>0</v>
      </c>
      <c r="BE18" s="15">
        <f>'районы КП, СП'!BI22</f>
        <v>0</v>
      </c>
      <c r="BF18" s="15">
        <f>'районы КП, СП'!BJ22</f>
        <v>0</v>
      </c>
      <c r="BG18" s="15">
        <f>'районы НП, ЧП'!K22</f>
        <v>907</v>
      </c>
      <c r="BH18" s="15">
        <f>'районы НП, ЧП'!L22</f>
        <v>907</v>
      </c>
      <c r="BI18" s="15">
        <f>'районы НП, ЧП'!M22</f>
        <v>1844</v>
      </c>
      <c r="BJ18" s="15">
        <f>'районы НП, ЧП'!N22</f>
        <v>203.30760749724365</v>
      </c>
      <c r="BK18" s="15">
        <f>'районы НП, ЧП'!AA22</f>
        <v>0</v>
      </c>
      <c r="BL18" s="15">
        <f>'районы НП, ЧП'!AB22</f>
        <v>0</v>
      </c>
      <c r="BM18" s="15">
        <f>'районы НП, ЧП'!AC22</f>
        <v>0</v>
      </c>
      <c r="BN18" s="15">
        <f>'районы НП, ЧП'!AD22</f>
        <v>0</v>
      </c>
      <c r="BO18" s="15">
        <f>'районы НП, ЧП'!AE22</f>
        <v>0</v>
      </c>
      <c r="BP18" s="15">
        <f>'районы НП, ЧП'!AF22</f>
        <v>0</v>
      </c>
      <c r="BQ18" s="15">
        <f>'районы НП, ЧП'!AG22</f>
        <v>0</v>
      </c>
      <c r="BR18" s="15">
        <f>'районы НП, ЧП'!AH22</f>
        <v>0</v>
      </c>
      <c r="BS18" s="15">
        <f>'районы НП, ЧП'!AI22</f>
        <v>0</v>
      </c>
      <c r="BT18" s="15">
        <f>'районы НП, ЧП'!AJ22</f>
        <v>0</v>
      </c>
      <c r="BU18" s="15">
        <f>'районы НП, ЧП'!AK22</f>
        <v>0</v>
      </c>
      <c r="BV18" s="15">
        <f>'районы НП, ЧП'!AL22</f>
        <v>0</v>
      </c>
      <c r="BW18" s="15">
        <f>'районы НП, ЧП'!AM22</f>
        <v>0</v>
      </c>
      <c r="BX18" s="15">
        <f>'районы НП, ЧП'!AN22</f>
        <v>0</v>
      </c>
      <c r="BY18" s="15">
        <f>'районы НП, ЧП'!AO22</f>
        <v>0</v>
      </c>
      <c r="BZ18" s="15">
        <f>'районы НП, ЧП'!AP22</f>
        <v>0</v>
      </c>
      <c r="CA18" s="15">
        <f>'районы НП, ЧП'!AU22</f>
        <v>0</v>
      </c>
      <c r="CB18" s="15">
        <f>'районы НП, ЧП'!AV22</f>
        <v>0</v>
      </c>
      <c r="CC18" s="15">
        <f>'районы НП, ЧП'!AW22</f>
        <v>0</v>
      </c>
      <c r="CD18" s="15">
        <f>'районы НП, ЧП'!AX22</f>
        <v>0</v>
      </c>
      <c r="CE18" s="292">
        <f t="shared" si="1"/>
        <v>58308</v>
      </c>
      <c r="CF18" s="292">
        <f t="shared" si="2"/>
        <v>58308</v>
      </c>
      <c r="CG18" s="333">
        <f t="shared" si="0"/>
        <v>57225</v>
      </c>
      <c r="CH18" s="293">
        <f t="shared" si="3"/>
        <v>98.142621938670501</v>
      </c>
    </row>
    <row r="19" spans="1:87" s="22" customFormat="1" ht="31.5" x14ac:dyDescent="0.2">
      <c r="A19" s="118" t="s">
        <v>136</v>
      </c>
      <c r="B19" s="119" t="s">
        <v>3</v>
      </c>
      <c r="C19" s="15">
        <f>КЛПУ!BS23</f>
        <v>28211.800000000003</v>
      </c>
      <c r="D19" s="15">
        <f>КЛПУ!BT23</f>
        <v>28211.800000000003</v>
      </c>
      <c r="E19" s="15">
        <f>КЛПУ!BU23</f>
        <v>20532.175000000003</v>
      </c>
      <c r="F19" s="15">
        <f>КЛПУ!BV23</f>
        <v>72.778677716416539</v>
      </c>
      <c r="G19" s="15">
        <f>Хабаровск!EY23</f>
        <v>3922770.4000000004</v>
      </c>
      <c r="H19" s="15">
        <f>Хабаровск!EZ23</f>
        <v>3922770.4000000004</v>
      </c>
      <c r="I19" s="15">
        <f>Хабаровск!FA23</f>
        <v>4025765.8125</v>
      </c>
      <c r="J19" s="15">
        <f>Хабаровск!FB23</f>
        <v>102.62557840499662</v>
      </c>
      <c r="K19" s="15">
        <f>'Хаб.р-ны'!K23</f>
        <v>120461.2</v>
      </c>
      <c r="L19" s="15">
        <f>'Хаб.р-ны'!L23</f>
        <v>120461.2</v>
      </c>
      <c r="M19" s="15">
        <f>'Хаб.р-ны'!M23</f>
        <v>115578.6375</v>
      </c>
      <c r="N19" s="15">
        <f>'Хаб.р-ны'!N23</f>
        <v>95.946775808310065</v>
      </c>
      <c r="O19" s="15">
        <f>'Хаб.р-ны'!AA23</f>
        <v>155033.79999999999</v>
      </c>
      <c r="P19" s="15">
        <f>'Хаб.р-ны'!AB23</f>
        <v>155033.79999999999</v>
      </c>
      <c r="Q19" s="15">
        <f>'Хаб.р-ны'!AC23</f>
        <v>139355.71250000002</v>
      </c>
      <c r="R19" s="15">
        <f>'Хаб.р-ны'!AD23</f>
        <v>89.88731005754876</v>
      </c>
      <c r="S19" s="15">
        <f>'Хаб.р-ны'!AU23</f>
        <v>402361.60000000003</v>
      </c>
      <c r="T19" s="15">
        <f>'Хаб.р-ны'!AV23</f>
        <v>402361.60000000003</v>
      </c>
      <c r="U19" s="15">
        <f>'Хаб.р-ны'!AW23</f>
        <v>339084.5625</v>
      </c>
      <c r="V19" s="15">
        <f>'Хаб.р-ны'!AX23</f>
        <v>84.273589353457183</v>
      </c>
      <c r="W19" s="15">
        <f>'Хаб.р-ны'!AY23</f>
        <v>78445.200000000012</v>
      </c>
      <c r="X19" s="15">
        <f>'Хаб.р-ны'!AZ23</f>
        <v>78445.200000000012</v>
      </c>
      <c r="Y19" s="15">
        <f>'Хаб.р-ны'!BA23</f>
        <v>87018.162500000006</v>
      </c>
      <c r="Z19" s="15">
        <f>'Хаб.р-ны'!BB23</f>
        <v>110.92860047523621</v>
      </c>
      <c r="AA19" s="15">
        <f>'Хаб.р-ны'!BK23</f>
        <v>526699.60000000009</v>
      </c>
      <c r="AB19" s="15">
        <f>'Хаб.р-ны'!BL23</f>
        <v>526699.60000000009</v>
      </c>
      <c r="AC19" s="15">
        <f>'Хаб.р-ны'!BM23</f>
        <v>515313.08750000002</v>
      </c>
      <c r="AD19" s="15">
        <f>'Хаб.р-ны'!BN23</f>
        <v>97.838139140413233</v>
      </c>
      <c r="AE19" s="15">
        <f>Комсомольск!BO23</f>
        <v>1688166.0000000002</v>
      </c>
      <c r="AF19" s="15">
        <f>Комсомольск!BP23</f>
        <v>1688166.0000000002</v>
      </c>
      <c r="AG19" s="15">
        <f>Комсомольск!BQ23</f>
        <v>1729968.6875</v>
      </c>
      <c r="AH19" s="15">
        <f>Комсомольск!BR23</f>
        <v>102.47621901519162</v>
      </c>
      <c r="AI19" s="15">
        <f>'районы КП, СП'!K23</f>
        <v>435527.2</v>
      </c>
      <c r="AJ19" s="15">
        <f>'районы КП, СП'!L23</f>
        <v>435527.2</v>
      </c>
      <c r="AK19" s="15">
        <f>'районы КП, СП'!M23</f>
        <v>416322.72500000003</v>
      </c>
      <c r="AL19" s="15">
        <f>'районы КП, СП'!N23</f>
        <v>95.590522245223724</v>
      </c>
      <c r="AM19" s="15">
        <f>'районы КП, СП'!W23</f>
        <v>199361</v>
      </c>
      <c r="AN19" s="15">
        <f>'районы КП, СП'!X23</f>
        <v>199361</v>
      </c>
      <c r="AO19" s="15">
        <f>'районы КП, СП'!Y23</f>
        <v>183555.02500000002</v>
      </c>
      <c r="AP19" s="15">
        <f>'районы КП, СП'!Z23</f>
        <v>92.071681522464289</v>
      </c>
      <c r="AQ19" s="15">
        <f>'районы КП, СП'!AA23</f>
        <v>165723.80000000002</v>
      </c>
      <c r="AR19" s="15">
        <f>'районы КП, СП'!AB23</f>
        <v>165723.80000000002</v>
      </c>
      <c r="AS19" s="15">
        <f>'районы КП, СП'!AC23</f>
        <v>174311.11250000002</v>
      </c>
      <c r="AT19" s="15">
        <f>'районы КП, СП'!AD23</f>
        <v>105.18170142128047</v>
      </c>
      <c r="AU19" s="15">
        <f>'районы КП, СП'!AM23</f>
        <v>341005</v>
      </c>
      <c r="AV19" s="15">
        <f>'районы КП, СП'!AN23</f>
        <v>341005</v>
      </c>
      <c r="AW19" s="15">
        <f>'районы КП, СП'!AO23</f>
        <v>357451.5625</v>
      </c>
      <c r="AX19" s="15">
        <f>'районы КП, СП'!AP23</f>
        <v>104.8229681382971</v>
      </c>
      <c r="AY19" s="15">
        <f>'районы КП, СП'!BC23</f>
        <v>154957.79999999999</v>
      </c>
      <c r="AZ19" s="15">
        <f>'районы КП, СП'!BD23</f>
        <v>154957.79999999999</v>
      </c>
      <c r="BA19" s="15">
        <f>'районы КП, СП'!BE23</f>
        <v>160494.47499999998</v>
      </c>
      <c r="BB19" s="15">
        <f>'районы КП, СП'!BF23</f>
        <v>103.57302117092524</v>
      </c>
      <c r="BC19" s="15">
        <f>'районы КП, СП'!BG23</f>
        <v>40859.599999999999</v>
      </c>
      <c r="BD19" s="15">
        <f>'районы КП, СП'!BH23</f>
        <v>40859.599999999999</v>
      </c>
      <c r="BE19" s="15">
        <f>'районы КП, СП'!BI23</f>
        <v>39447.850000000006</v>
      </c>
      <c r="BF19" s="15">
        <f>'районы КП, СП'!BJ23</f>
        <v>96.544875622864652</v>
      </c>
      <c r="BG19" s="15">
        <f>'районы НП, ЧП'!K23</f>
        <v>199397.2</v>
      </c>
      <c r="BH19" s="15">
        <f>'районы НП, ЧП'!L23</f>
        <v>199397.2</v>
      </c>
      <c r="BI19" s="15">
        <f>'районы НП, ЧП'!M23</f>
        <v>205686.95</v>
      </c>
      <c r="BJ19" s="15">
        <f>'районы НП, ЧП'!N23</f>
        <v>103.15438230827714</v>
      </c>
      <c r="BK19" s="15">
        <f>'районы НП, ЧП'!AA23</f>
        <v>164762.79999999999</v>
      </c>
      <c r="BL19" s="15">
        <f>'районы НП, ЧП'!AB23</f>
        <v>164762.79999999999</v>
      </c>
      <c r="BM19" s="15">
        <f>'районы НП, ЧП'!AC23</f>
        <v>152763.0625</v>
      </c>
      <c r="BN19" s="15">
        <f>'районы НП, ЧП'!AD23</f>
        <v>92.716961899166563</v>
      </c>
      <c r="BO19" s="15">
        <f>'районы НП, ЧП'!AE23</f>
        <v>29135</v>
      </c>
      <c r="BP19" s="15">
        <f>'районы НП, ЧП'!AF23</f>
        <v>29135</v>
      </c>
      <c r="BQ19" s="15">
        <f>'районы НП, ЧП'!AG23</f>
        <v>25047.012500000001</v>
      </c>
      <c r="BR19" s="15">
        <f>'районы НП, ЧП'!AH23</f>
        <v>85.968808992620566</v>
      </c>
      <c r="BS19" s="15">
        <f>'районы НП, ЧП'!AI23</f>
        <v>18233.599999999999</v>
      </c>
      <c r="BT19" s="15">
        <f>'районы НП, ЧП'!AJ23</f>
        <v>18233.599999999999</v>
      </c>
      <c r="BU19" s="15">
        <f>'районы НП, ЧП'!AK23</f>
        <v>14071.975</v>
      </c>
      <c r="BV19" s="15">
        <f>'районы НП, ЧП'!AL23</f>
        <v>77.176065066690072</v>
      </c>
      <c r="BW19" s="15">
        <f>'районы НП, ЧП'!AM23</f>
        <v>64520</v>
      </c>
      <c r="BX19" s="15">
        <f>'районы НП, ЧП'!AN23</f>
        <v>64520</v>
      </c>
      <c r="BY19" s="15">
        <f>'районы НП, ЧП'!AO23</f>
        <v>70557.200000000012</v>
      </c>
      <c r="BZ19" s="15">
        <f>'районы НП, ЧП'!AP23</f>
        <v>109.35709857408557</v>
      </c>
      <c r="CA19" s="15">
        <f>'районы НП, ЧП'!AU23</f>
        <v>199209.80000000002</v>
      </c>
      <c r="CB19" s="15">
        <f>'районы НП, ЧП'!AV23</f>
        <v>199209.80000000002</v>
      </c>
      <c r="CC19" s="15">
        <f>'районы НП, ЧП'!AW23</f>
        <v>144962.29999999999</v>
      </c>
      <c r="CD19" s="15">
        <f>'районы НП, ЧП'!AX23</f>
        <v>72.768658971596764</v>
      </c>
      <c r="CE19" s="292">
        <f t="shared" si="1"/>
        <v>8934842.4000000022</v>
      </c>
      <c r="CF19" s="292">
        <f t="shared" si="2"/>
        <v>8934842.4000000022</v>
      </c>
      <c r="CG19" s="292">
        <f t="shared" si="0"/>
        <v>8917288.0875000022</v>
      </c>
      <c r="CH19" s="293">
        <f t="shared" si="3"/>
        <v>99.803529690685977</v>
      </c>
    </row>
    <row r="20" spans="1:87" ht="14.1" customHeight="1" x14ac:dyDescent="0.2">
      <c r="A20" s="89" t="s">
        <v>137</v>
      </c>
      <c r="B20" s="90" t="s">
        <v>3</v>
      </c>
      <c r="C20" s="15">
        <f>КЛПУ!BS24</f>
        <v>0</v>
      </c>
      <c r="D20" s="15">
        <f>КЛПУ!BT24</f>
        <v>0</v>
      </c>
      <c r="E20" s="15">
        <f>КЛПУ!BU24</f>
        <v>0</v>
      </c>
      <c r="F20" s="15">
        <f>КЛПУ!BV24</f>
        <v>0</v>
      </c>
      <c r="G20" s="15">
        <f>Хабаровск!EY24</f>
        <v>0</v>
      </c>
      <c r="H20" s="15">
        <f>Хабаровск!EZ24</f>
        <v>0</v>
      </c>
      <c r="I20" s="15">
        <f>Хабаровск!FA24</f>
        <v>0</v>
      </c>
      <c r="J20" s="15">
        <f>Хабаровск!FB24</f>
        <v>0</v>
      </c>
      <c r="K20" s="15">
        <f>'Хаб.р-ны'!K24</f>
        <v>0</v>
      </c>
      <c r="L20" s="15">
        <f>'Хаб.р-ны'!L24</f>
        <v>0</v>
      </c>
      <c r="M20" s="15">
        <f>'Хаб.р-ны'!M24</f>
        <v>0</v>
      </c>
      <c r="N20" s="15">
        <f>'Хаб.р-ны'!N24</f>
        <v>0</v>
      </c>
      <c r="O20" s="15">
        <f>'Хаб.р-ны'!AA24</f>
        <v>0</v>
      </c>
      <c r="P20" s="15">
        <f>'Хаб.р-ны'!AB24</f>
        <v>0</v>
      </c>
      <c r="Q20" s="15">
        <f>'Хаб.р-ны'!AC24</f>
        <v>0</v>
      </c>
      <c r="R20" s="15">
        <f>'Хаб.р-ны'!AD24</f>
        <v>0</v>
      </c>
      <c r="S20" s="15">
        <f>'Хаб.р-ны'!AU24</f>
        <v>0</v>
      </c>
      <c r="T20" s="15">
        <f>'Хаб.р-ны'!AV24</f>
        <v>0</v>
      </c>
      <c r="U20" s="15">
        <f>'Хаб.р-ны'!AW24</f>
        <v>0</v>
      </c>
      <c r="V20" s="15">
        <f>'Хаб.р-ны'!AX24</f>
        <v>0</v>
      </c>
      <c r="W20" s="15">
        <f>'Хаб.р-ны'!AY24</f>
        <v>0</v>
      </c>
      <c r="X20" s="15">
        <f>'Хаб.р-ны'!AZ24</f>
        <v>0</v>
      </c>
      <c r="Y20" s="15">
        <f>'Хаб.р-ны'!BA24</f>
        <v>0</v>
      </c>
      <c r="Z20" s="15">
        <f>'Хаб.р-ны'!BB24</f>
        <v>0</v>
      </c>
      <c r="AA20" s="15">
        <f>'Хаб.р-ны'!BK24</f>
        <v>0</v>
      </c>
      <c r="AB20" s="15">
        <f>'Хаб.р-ны'!BL24</f>
        <v>0</v>
      </c>
      <c r="AC20" s="15">
        <f>'Хаб.р-ны'!BM24</f>
        <v>0</v>
      </c>
      <c r="AD20" s="15">
        <f>'Хаб.р-ны'!BN24</f>
        <v>0</v>
      </c>
      <c r="AE20" s="15">
        <f>Комсомольск!BO24</f>
        <v>0</v>
      </c>
      <c r="AF20" s="15">
        <f>Комсомольск!BP24</f>
        <v>0</v>
      </c>
      <c r="AG20" s="15">
        <f>Комсомольск!BQ24</f>
        <v>0</v>
      </c>
      <c r="AH20" s="15">
        <f>Комсомольск!BR24</f>
        <v>0</v>
      </c>
      <c r="AI20" s="15">
        <f>'районы КП, СП'!K24</f>
        <v>0</v>
      </c>
      <c r="AJ20" s="15">
        <f>'районы КП, СП'!L24</f>
        <v>0</v>
      </c>
      <c r="AK20" s="15">
        <f>'районы КП, СП'!M24</f>
        <v>0</v>
      </c>
      <c r="AL20" s="15">
        <f>'районы КП, СП'!N24</f>
        <v>0</v>
      </c>
      <c r="AM20" s="15">
        <f>'районы КП, СП'!W24</f>
        <v>0</v>
      </c>
      <c r="AN20" s="15">
        <f>'районы КП, СП'!X24</f>
        <v>0</v>
      </c>
      <c r="AO20" s="15">
        <f>'районы КП, СП'!Y24</f>
        <v>0</v>
      </c>
      <c r="AP20" s="15"/>
      <c r="AQ20" s="15">
        <f>'районы КП, СП'!AA24</f>
        <v>0</v>
      </c>
      <c r="AR20" s="15">
        <f>'районы КП, СП'!AB24</f>
        <v>0</v>
      </c>
      <c r="AS20" s="15">
        <f>'районы КП, СП'!AC24</f>
        <v>0</v>
      </c>
      <c r="AT20" s="15">
        <f>'районы КП, СП'!AD24</f>
        <v>0</v>
      </c>
      <c r="AU20" s="15">
        <f>'районы КП, СП'!AM24</f>
        <v>0</v>
      </c>
      <c r="AV20" s="15">
        <f>'районы КП, СП'!AN24</f>
        <v>0</v>
      </c>
      <c r="AW20" s="15">
        <f>'районы КП, СП'!AO24</f>
        <v>0</v>
      </c>
      <c r="AX20" s="15">
        <f>'районы КП, СП'!AP24</f>
        <v>0</v>
      </c>
      <c r="AY20" s="15">
        <f>'районы КП, СП'!BC24</f>
        <v>0</v>
      </c>
      <c r="AZ20" s="15">
        <f>'районы КП, СП'!BD24</f>
        <v>0</v>
      </c>
      <c r="BA20" s="15">
        <f>'районы КП, СП'!BE24</f>
        <v>0</v>
      </c>
      <c r="BB20" s="15">
        <f>'районы КП, СП'!BF24</f>
        <v>0</v>
      </c>
      <c r="BC20" s="15">
        <f>'районы КП, СП'!BG24</f>
        <v>0</v>
      </c>
      <c r="BD20" s="15">
        <f>'районы КП, СП'!BH24</f>
        <v>0</v>
      </c>
      <c r="BE20" s="15">
        <f>'районы КП, СП'!BI24</f>
        <v>0</v>
      </c>
      <c r="BF20" s="15">
        <f>'районы КП, СП'!BJ24</f>
        <v>0</v>
      </c>
      <c r="BG20" s="15">
        <f>'районы НП, ЧП'!K24</f>
        <v>0</v>
      </c>
      <c r="BH20" s="15">
        <f>'районы НП, ЧП'!L24</f>
        <v>0</v>
      </c>
      <c r="BI20" s="15">
        <f>'районы НП, ЧП'!M24</f>
        <v>0</v>
      </c>
      <c r="BJ20" s="15">
        <f>'районы НП, ЧП'!N24</f>
        <v>0</v>
      </c>
      <c r="BK20" s="15">
        <f>'районы НП, ЧП'!AA24</f>
        <v>0</v>
      </c>
      <c r="BL20" s="15">
        <f>'районы НП, ЧП'!AB24</f>
        <v>0</v>
      </c>
      <c r="BM20" s="15">
        <f>'районы НП, ЧП'!AC24</f>
        <v>0</v>
      </c>
      <c r="BN20" s="15">
        <f>'районы НП, ЧП'!AD24</f>
        <v>0</v>
      </c>
      <c r="BO20" s="15">
        <f>'районы НП, ЧП'!AE24</f>
        <v>0</v>
      </c>
      <c r="BP20" s="15">
        <f>'районы НП, ЧП'!AF24</f>
        <v>0</v>
      </c>
      <c r="BQ20" s="15">
        <f>'районы НП, ЧП'!AG24</f>
        <v>0</v>
      </c>
      <c r="BR20" s="15">
        <f>'районы НП, ЧП'!AH24</f>
        <v>0</v>
      </c>
      <c r="BS20" s="15">
        <f>'районы НП, ЧП'!AI24</f>
        <v>0</v>
      </c>
      <c r="BT20" s="15">
        <f>'районы НП, ЧП'!AJ24</f>
        <v>0</v>
      </c>
      <c r="BU20" s="15">
        <f>'районы НП, ЧП'!AK24</f>
        <v>0</v>
      </c>
      <c r="BV20" s="15">
        <f>'районы НП, ЧП'!AL24</f>
        <v>0</v>
      </c>
      <c r="BW20" s="15">
        <f>'районы НП, ЧП'!AM24</f>
        <v>0</v>
      </c>
      <c r="BX20" s="15">
        <f>'районы НП, ЧП'!AN24</f>
        <v>0</v>
      </c>
      <c r="BY20" s="15">
        <f>'районы НП, ЧП'!AO24</f>
        <v>0</v>
      </c>
      <c r="BZ20" s="15">
        <f>'районы НП, ЧП'!AP24</f>
        <v>0</v>
      </c>
      <c r="CA20" s="15">
        <f>'районы НП, ЧП'!AU24</f>
        <v>0</v>
      </c>
      <c r="CB20" s="15">
        <f>'районы НП, ЧП'!AV24</f>
        <v>0</v>
      </c>
      <c r="CC20" s="15">
        <f>'районы НП, ЧП'!AW24</f>
        <v>0</v>
      </c>
      <c r="CD20" s="15">
        <f>'районы НП, ЧП'!AX24</f>
        <v>0</v>
      </c>
      <c r="CE20" s="292">
        <f t="shared" si="1"/>
        <v>0</v>
      </c>
      <c r="CF20" s="292">
        <f t="shared" si="2"/>
        <v>0</v>
      </c>
      <c r="CG20" s="292">
        <f t="shared" si="0"/>
        <v>0</v>
      </c>
      <c r="CH20" s="293"/>
    </row>
    <row r="21" spans="1:87" ht="31.5" x14ac:dyDescent="0.2">
      <c r="A21" s="73" t="s">
        <v>125</v>
      </c>
      <c r="B21" s="74" t="s">
        <v>3</v>
      </c>
      <c r="C21" s="15">
        <f>КЛПУ!BS25</f>
        <v>587236</v>
      </c>
      <c r="D21" s="15">
        <f>КЛПУ!BT25</f>
        <v>587236</v>
      </c>
      <c r="E21" s="15">
        <f>КЛПУ!BU25</f>
        <v>558353</v>
      </c>
      <c r="F21" s="15">
        <f>КЛПУ!BV25</f>
        <v>95.081534510826998</v>
      </c>
      <c r="G21" s="15">
        <f>Хабаровск!EY25</f>
        <v>603183.45250000001</v>
      </c>
      <c r="H21" s="15">
        <f>Хабаровск!EZ25</f>
        <v>603183.45250000001</v>
      </c>
      <c r="I21" s="15">
        <f>Хабаровск!FA25</f>
        <v>690328</v>
      </c>
      <c r="J21" s="15">
        <f>Хабаровск!FB25</f>
        <v>114.44743670251796</v>
      </c>
      <c r="K21" s="15">
        <f>'Хаб.р-ны'!K25</f>
        <v>15923</v>
      </c>
      <c r="L21" s="15">
        <f>'Хаб.р-ны'!L25</f>
        <v>15923</v>
      </c>
      <c r="M21" s="15">
        <f>'Хаб.р-ны'!M25</f>
        <v>7813</v>
      </c>
      <c r="N21" s="15">
        <f>'Хаб.р-ны'!N25</f>
        <v>49.067386798970041</v>
      </c>
      <c r="O21" s="15">
        <f>'Хаб.р-ны'!AA25</f>
        <v>12745</v>
      </c>
      <c r="P21" s="15">
        <f>'Хаб.р-ны'!AB25</f>
        <v>12745</v>
      </c>
      <c r="Q21" s="15">
        <f>'Хаб.р-ны'!AC25</f>
        <v>14059</v>
      </c>
      <c r="R21" s="15">
        <f>'Хаб.р-ны'!AD25</f>
        <v>110.30992546096508</v>
      </c>
      <c r="S21" s="15">
        <f>'Хаб.р-ны'!AU25</f>
        <v>57907</v>
      </c>
      <c r="T21" s="15">
        <f>'Хаб.р-ны'!AV25</f>
        <v>57907</v>
      </c>
      <c r="U21" s="15">
        <f>'Хаб.р-ны'!AW25</f>
        <v>32968</v>
      </c>
      <c r="V21" s="15">
        <f>'Хаб.р-ны'!AX25</f>
        <v>56.932667898526944</v>
      </c>
      <c r="W21" s="15">
        <f>'Хаб.р-ны'!AY25</f>
        <v>21421.97</v>
      </c>
      <c r="X21" s="15">
        <f>'Хаб.р-ны'!AZ25</f>
        <v>21421.97</v>
      </c>
      <c r="Y21" s="15">
        <f>'Хаб.р-ны'!BA25</f>
        <v>17971</v>
      </c>
      <c r="Z21" s="15">
        <f>'Хаб.р-ны'!BB25</f>
        <v>83.890510536612638</v>
      </c>
      <c r="AA21" s="15">
        <f>'Хаб.р-ны'!BK25</f>
        <v>49016.904399999999</v>
      </c>
      <c r="AB21" s="15">
        <f>'Хаб.р-ны'!BL25</f>
        <v>49016.904399999999</v>
      </c>
      <c r="AC21" s="15">
        <f>'Хаб.р-ны'!BM25</f>
        <v>42832</v>
      </c>
      <c r="AD21" s="15">
        <f>'Хаб.р-ны'!BN25</f>
        <v>87.382099143739481</v>
      </c>
      <c r="AE21" s="15">
        <f>Комсомольск!BO25</f>
        <v>507353</v>
      </c>
      <c r="AF21" s="15">
        <f>Комсомольск!BP25</f>
        <v>507353</v>
      </c>
      <c r="AG21" s="15">
        <f>Комсомольск!BQ25</f>
        <v>521789</v>
      </c>
      <c r="AH21" s="15">
        <f>Комсомольск!BR25</f>
        <v>102.84535619184277</v>
      </c>
      <c r="AI21" s="15">
        <f>'районы КП, СП'!K25</f>
        <v>56425</v>
      </c>
      <c r="AJ21" s="15">
        <f>'районы КП, СП'!L25</f>
        <v>56425</v>
      </c>
      <c r="AK21" s="15">
        <f>'районы КП, СП'!M25</f>
        <v>57876</v>
      </c>
      <c r="AL21" s="15">
        <f>'районы КП, СП'!N25</f>
        <v>102.57155516171909</v>
      </c>
      <c r="AM21" s="15">
        <f>'районы КП, СП'!W25</f>
        <v>21100</v>
      </c>
      <c r="AN21" s="15">
        <f>'районы КП, СП'!X25</f>
        <v>21100</v>
      </c>
      <c r="AO21" s="15">
        <f>'районы КП, СП'!Y25</f>
        <v>23089</v>
      </c>
      <c r="AP21" s="15">
        <f>'районы КП, СП'!Z25</f>
        <v>109.42654028436019</v>
      </c>
      <c r="AQ21" s="15">
        <f>'районы КП, СП'!AA25</f>
        <v>25273.4087</v>
      </c>
      <c r="AR21" s="15">
        <f>'районы КП, СП'!AB25</f>
        <v>25273.4087</v>
      </c>
      <c r="AS21" s="15">
        <f>'районы КП, СП'!AC25</f>
        <v>31805</v>
      </c>
      <c r="AT21" s="15">
        <f>'районы КП, СП'!AD25</f>
        <v>125.84372918402573</v>
      </c>
      <c r="AU21" s="15">
        <f>'районы КП, СП'!AM25</f>
        <v>42126</v>
      </c>
      <c r="AV21" s="15">
        <f>'районы КП, СП'!AN25</f>
        <v>42126</v>
      </c>
      <c r="AW21" s="15">
        <f>'районы КП, СП'!AO25</f>
        <v>38122</v>
      </c>
      <c r="AX21" s="15">
        <f>'районы КП, СП'!AP25</f>
        <v>90.495181123296774</v>
      </c>
      <c r="AY21" s="15">
        <f>'районы КП, СП'!BC25</f>
        <v>30556</v>
      </c>
      <c r="AZ21" s="15">
        <f>'районы КП, СП'!BD25</f>
        <v>30556</v>
      </c>
      <c r="BA21" s="15">
        <f>'районы КП, СП'!BE25</f>
        <v>24604</v>
      </c>
      <c r="BB21" s="15">
        <f>'районы КП, СП'!BF25</f>
        <v>80.521010603482139</v>
      </c>
      <c r="BC21" s="15">
        <f>'районы КП, СП'!BG25</f>
        <v>4963</v>
      </c>
      <c r="BD21" s="15">
        <f>'районы КП, СП'!BH25</f>
        <v>4963</v>
      </c>
      <c r="BE21" s="15">
        <f>'районы КП, СП'!BI25</f>
        <v>2813</v>
      </c>
      <c r="BF21" s="15">
        <f>'районы КП, СП'!BJ25</f>
        <v>56.679427765464439</v>
      </c>
      <c r="BG21" s="15">
        <f>'районы НП, ЧП'!K25</f>
        <v>39669.5</v>
      </c>
      <c r="BH21" s="15">
        <f>'районы НП, ЧП'!L25</f>
        <v>39669.5</v>
      </c>
      <c r="BI21" s="15">
        <f>'районы НП, ЧП'!M25</f>
        <v>31886</v>
      </c>
      <c r="BJ21" s="15">
        <f>'районы НП, ЧП'!N25</f>
        <v>80.379132582966761</v>
      </c>
      <c r="BK21" s="15">
        <f>'районы НП, ЧП'!AA25</f>
        <v>20553</v>
      </c>
      <c r="BL21" s="15">
        <f>'районы НП, ЧП'!AB25</f>
        <v>20553</v>
      </c>
      <c r="BM21" s="15">
        <f>'районы НП, ЧП'!AC25</f>
        <v>15725</v>
      </c>
      <c r="BN21" s="15">
        <f>'районы НП, ЧП'!AD25</f>
        <v>76.509511993382958</v>
      </c>
      <c r="BO21" s="15">
        <f>'районы НП, ЧП'!AE25</f>
        <v>3577</v>
      </c>
      <c r="BP21" s="15">
        <f>'районы НП, ЧП'!AF25</f>
        <v>3577</v>
      </c>
      <c r="BQ21" s="15">
        <f>'районы НП, ЧП'!AG25</f>
        <v>4989</v>
      </c>
      <c r="BR21" s="15">
        <f>'районы НП, ЧП'!AH25</f>
        <v>139.47441990494829</v>
      </c>
      <c r="BS21" s="15">
        <f>'районы НП, ЧП'!AI25</f>
        <v>1611</v>
      </c>
      <c r="BT21" s="15">
        <f>'районы НП, ЧП'!AJ25</f>
        <v>1611</v>
      </c>
      <c r="BU21" s="15">
        <f>'районы НП, ЧП'!AK25</f>
        <v>1763</v>
      </c>
      <c r="BV21" s="15">
        <f>'районы НП, ЧП'!AL25</f>
        <v>109.43513345747982</v>
      </c>
      <c r="BW21" s="15">
        <f>'районы НП, ЧП'!AM25</f>
        <v>8624</v>
      </c>
      <c r="BX21" s="15">
        <f>'районы НП, ЧП'!AN25</f>
        <v>8624</v>
      </c>
      <c r="BY21" s="15">
        <f>'районы НП, ЧП'!AO25</f>
        <v>5684</v>
      </c>
      <c r="BZ21" s="15">
        <f>'районы НП, ЧП'!AP25</f>
        <v>65.909090909090907</v>
      </c>
      <c r="CA21" s="15">
        <f>'районы НП, ЧП'!AU25</f>
        <v>9247</v>
      </c>
      <c r="CB21" s="15">
        <f>'районы НП, ЧП'!AV25</f>
        <v>9247</v>
      </c>
      <c r="CC21" s="15">
        <f>'районы НП, ЧП'!AW25</f>
        <v>3392</v>
      </c>
      <c r="CD21" s="15">
        <f>'районы НП, ЧП'!AX25</f>
        <v>36.682167189358708</v>
      </c>
      <c r="CE21" s="292">
        <f t="shared" si="1"/>
        <v>2118511.2356000002</v>
      </c>
      <c r="CF21" s="292">
        <f t="shared" si="2"/>
        <v>2118511.2356000002</v>
      </c>
      <c r="CG21" s="292">
        <f t="shared" si="0"/>
        <v>2127861</v>
      </c>
      <c r="CH21" s="293">
        <f t="shared" si="3"/>
        <v>100.441336550068</v>
      </c>
    </row>
    <row r="22" spans="1:87" s="16" customFormat="1" ht="31.5" x14ac:dyDescent="0.2">
      <c r="A22" s="28" t="s">
        <v>126</v>
      </c>
      <c r="B22" s="57" t="s">
        <v>3</v>
      </c>
      <c r="C22" s="15">
        <f>КЛПУ!BS26</f>
        <v>0</v>
      </c>
      <c r="D22" s="15">
        <f>КЛПУ!BT26</f>
        <v>0</v>
      </c>
      <c r="E22" s="15">
        <f>КЛПУ!BU26</f>
        <v>0</v>
      </c>
      <c r="F22" s="15">
        <f>КЛПУ!BV26</f>
        <v>0</v>
      </c>
      <c r="G22" s="15">
        <f>Хабаровск!EY26</f>
        <v>0</v>
      </c>
      <c r="H22" s="15">
        <f>Хабаровск!EZ26</f>
        <v>0</v>
      </c>
      <c r="I22" s="15">
        <f>Хабаровск!FA26</f>
        <v>0</v>
      </c>
      <c r="J22" s="15">
        <f>Хабаровск!FB26</f>
        <v>0</v>
      </c>
      <c r="K22" s="15">
        <f>'Хаб.р-ны'!K26</f>
        <v>0</v>
      </c>
      <c r="L22" s="15">
        <f>'Хаб.р-ны'!L26</f>
        <v>0</v>
      </c>
      <c r="M22" s="15">
        <f>'Хаб.р-ны'!M26</f>
        <v>0</v>
      </c>
      <c r="N22" s="15">
        <f>'Хаб.р-ны'!N26</f>
        <v>0</v>
      </c>
      <c r="O22" s="15">
        <f>'Хаб.р-ны'!AA26</f>
        <v>0</v>
      </c>
      <c r="P22" s="15">
        <f>'Хаб.р-ны'!AB26</f>
        <v>0</v>
      </c>
      <c r="Q22" s="15">
        <f>'Хаб.р-ны'!AC26</f>
        <v>0</v>
      </c>
      <c r="R22" s="15">
        <f>'Хаб.р-ны'!AD26</f>
        <v>0</v>
      </c>
      <c r="S22" s="15">
        <f>'Хаб.р-ны'!AU26</f>
        <v>0</v>
      </c>
      <c r="T22" s="15">
        <f>'Хаб.р-ны'!AV26</f>
        <v>0</v>
      </c>
      <c r="U22" s="15">
        <f>'Хаб.р-ны'!AW26</f>
        <v>0</v>
      </c>
      <c r="V22" s="15">
        <f>'Хаб.р-ны'!AX26</f>
        <v>0</v>
      </c>
      <c r="W22" s="15">
        <f>'Хаб.р-ны'!AY26</f>
        <v>0</v>
      </c>
      <c r="X22" s="15">
        <f>'Хаб.р-ны'!AZ26</f>
        <v>0</v>
      </c>
      <c r="Y22" s="15">
        <f>'Хаб.р-ны'!BA26</f>
        <v>0</v>
      </c>
      <c r="Z22" s="15">
        <f>'Хаб.р-ны'!BB26</f>
        <v>0</v>
      </c>
      <c r="AA22" s="15">
        <f>'Хаб.р-ны'!BK26</f>
        <v>0</v>
      </c>
      <c r="AB22" s="15">
        <f>'Хаб.р-ны'!BL26</f>
        <v>0</v>
      </c>
      <c r="AC22" s="15">
        <f>'Хаб.р-ны'!BM26</f>
        <v>0</v>
      </c>
      <c r="AD22" s="15">
        <f>'Хаб.р-ны'!BN26</f>
        <v>0</v>
      </c>
      <c r="AE22" s="15">
        <f>Комсомольск!BO26</f>
        <v>0</v>
      </c>
      <c r="AF22" s="15">
        <f>Комсомольск!BP26</f>
        <v>0</v>
      </c>
      <c r="AG22" s="15">
        <f>Комсомольск!BQ26</f>
        <v>0</v>
      </c>
      <c r="AH22" s="15">
        <f>Комсомольск!BR26</f>
        <v>0</v>
      </c>
      <c r="AI22" s="15">
        <f>'районы КП, СП'!K26</f>
        <v>0</v>
      </c>
      <c r="AJ22" s="15">
        <f>'районы КП, СП'!L26</f>
        <v>0</v>
      </c>
      <c r="AK22" s="15">
        <f>'районы КП, СП'!M26</f>
        <v>0</v>
      </c>
      <c r="AL22" s="15">
        <f>'районы КП, СП'!N26</f>
        <v>0</v>
      </c>
      <c r="AM22" s="15">
        <f>'районы КП, СП'!W26</f>
        <v>0</v>
      </c>
      <c r="AN22" s="15">
        <f>'районы КП, СП'!X26</f>
        <v>0</v>
      </c>
      <c r="AO22" s="15">
        <f>'районы КП, СП'!Y26</f>
        <v>0</v>
      </c>
      <c r="AP22" s="15">
        <f>'районы КП, СП'!Z26</f>
        <v>0</v>
      </c>
      <c r="AQ22" s="15">
        <f>'районы КП, СП'!AA26</f>
        <v>0</v>
      </c>
      <c r="AR22" s="15">
        <f>'районы КП, СП'!AB26</f>
        <v>0</v>
      </c>
      <c r="AS22" s="15">
        <f>'районы КП, СП'!AC26</f>
        <v>0</v>
      </c>
      <c r="AT22" s="15">
        <f>'районы КП, СП'!AD26</f>
        <v>0</v>
      </c>
      <c r="AU22" s="15">
        <f>'районы КП, СП'!AM26</f>
        <v>0</v>
      </c>
      <c r="AV22" s="15">
        <f>'районы КП, СП'!AN26</f>
        <v>0</v>
      </c>
      <c r="AW22" s="15">
        <f>'районы КП, СП'!AO26</f>
        <v>0</v>
      </c>
      <c r="AX22" s="15">
        <f>'районы КП, СП'!AP26</f>
        <v>0</v>
      </c>
      <c r="AY22" s="15">
        <f>'районы КП, СП'!BC26</f>
        <v>0</v>
      </c>
      <c r="AZ22" s="15">
        <f>'районы КП, СП'!BD26</f>
        <v>0</v>
      </c>
      <c r="BA22" s="15">
        <f>'районы КП, СП'!BE26</f>
        <v>0</v>
      </c>
      <c r="BB22" s="15">
        <f>'районы КП, СП'!BF26</f>
        <v>0</v>
      </c>
      <c r="BC22" s="15">
        <f>'районы КП, СП'!BG26</f>
        <v>0</v>
      </c>
      <c r="BD22" s="15">
        <f>'районы КП, СП'!BH26</f>
        <v>0</v>
      </c>
      <c r="BE22" s="15">
        <f>'районы КП, СП'!BI26</f>
        <v>0</v>
      </c>
      <c r="BF22" s="15">
        <f>'районы КП, СП'!BJ26</f>
        <v>0</v>
      </c>
      <c r="BG22" s="15">
        <f>'районы НП, ЧП'!K26</f>
        <v>0</v>
      </c>
      <c r="BH22" s="15">
        <f>'районы НП, ЧП'!L26</f>
        <v>0</v>
      </c>
      <c r="BI22" s="15">
        <f>'районы НП, ЧП'!M26</f>
        <v>0</v>
      </c>
      <c r="BJ22" s="15">
        <f>'районы НП, ЧП'!N26</f>
        <v>0</v>
      </c>
      <c r="BK22" s="15">
        <f>'районы НП, ЧП'!AA26</f>
        <v>0</v>
      </c>
      <c r="BL22" s="15">
        <f>'районы НП, ЧП'!AB26</f>
        <v>0</v>
      </c>
      <c r="BM22" s="15">
        <f>'районы НП, ЧП'!AC26</f>
        <v>0</v>
      </c>
      <c r="BN22" s="15">
        <f>'районы НП, ЧП'!AD26</f>
        <v>0</v>
      </c>
      <c r="BO22" s="15">
        <f>'районы НП, ЧП'!AE26</f>
        <v>0</v>
      </c>
      <c r="BP22" s="15">
        <f>'районы НП, ЧП'!AF26</f>
        <v>0</v>
      </c>
      <c r="BQ22" s="15">
        <f>'районы НП, ЧП'!AG26</f>
        <v>0</v>
      </c>
      <c r="BR22" s="15">
        <f>'районы НП, ЧП'!AH26</f>
        <v>0</v>
      </c>
      <c r="BS22" s="15">
        <f>'районы НП, ЧП'!AI26</f>
        <v>0</v>
      </c>
      <c r="BT22" s="15">
        <f>'районы НП, ЧП'!AJ26</f>
        <v>0</v>
      </c>
      <c r="BU22" s="15">
        <f>'районы НП, ЧП'!AK26</f>
        <v>0</v>
      </c>
      <c r="BV22" s="15">
        <f>'районы НП, ЧП'!AL26</f>
        <v>0</v>
      </c>
      <c r="BW22" s="15">
        <f>'районы НП, ЧП'!AM26</f>
        <v>0</v>
      </c>
      <c r="BX22" s="15">
        <f>'районы НП, ЧП'!AN26</f>
        <v>0</v>
      </c>
      <c r="BY22" s="15">
        <f>'районы НП, ЧП'!AO26</f>
        <v>0</v>
      </c>
      <c r="BZ22" s="15">
        <f>'районы НП, ЧП'!AP26</f>
        <v>0</v>
      </c>
      <c r="CA22" s="15">
        <f>'районы НП, ЧП'!AU26</f>
        <v>0</v>
      </c>
      <c r="CB22" s="15">
        <f>'районы НП, ЧП'!AV26</f>
        <v>0</v>
      </c>
      <c r="CC22" s="15">
        <f>'районы НП, ЧП'!AW26</f>
        <v>0</v>
      </c>
      <c r="CD22" s="15">
        <f>'районы НП, ЧП'!AX26</f>
        <v>0</v>
      </c>
      <c r="CE22" s="292">
        <f t="shared" si="1"/>
        <v>0</v>
      </c>
      <c r="CF22" s="292">
        <f t="shared" si="2"/>
        <v>0</v>
      </c>
      <c r="CG22" s="292">
        <f t="shared" si="0"/>
        <v>0</v>
      </c>
      <c r="CH22" s="293"/>
    </row>
    <row r="23" spans="1:87" ht="15.75" x14ac:dyDescent="0.25">
      <c r="A23" s="88" t="s">
        <v>199</v>
      </c>
      <c r="B23" s="57"/>
      <c r="C23" s="15">
        <f>КЛПУ!BS27</f>
        <v>49615</v>
      </c>
      <c r="D23" s="15">
        <f>КЛПУ!BT27</f>
        <v>49615</v>
      </c>
      <c r="E23" s="15">
        <f>КЛПУ!BU27</f>
        <v>47043</v>
      </c>
      <c r="F23" s="15">
        <f>КЛПУ!BV27</f>
        <v>94.816083845611203</v>
      </c>
      <c r="G23" s="15">
        <f>Хабаровск!EY27</f>
        <v>0</v>
      </c>
      <c r="H23" s="15">
        <f>Хабаровск!EZ27</f>
        <v>0</v>
      </c>
      <c r="I23" s="15">
        <f>Хабаровск!FA27</f>
        <v>0</v>
      </c>
      <c r="J23" s="15">
        <f>Хабаровск!FB27</f>
        <v>0</v>
      </c>
      <c r="K23" s="15">
        <f>'Хаб.р-ны'!K27</f>
        <v>0</v>
      </c>
      <c r="L23" s="15">
        <f>'Хаб.р-ны'!L27</f>
        <v>0</v>
      </c>
      <c r="M23" s="15">
        <f>'Хаб.р-ны'!M27</f>
        <v>0</v>
      </c>
      <c r="N23" s="15">
        <f>'Хаб.р-ны'!N27</f>
        <v>0</v>
      </c>
      <c r="O23" s="15">
        <f>'Хаб.р-ны'!AA27</f>
        <v>0</v>
      </c>
      <c r="P23" s="15">
        <f>'Хаб.р-ны'!AB27</f>
        <v>0</v>
      </c>
      <c r="Q23" s="15">
        <f>'Хаб.р-ны'!AC27</f>
        <v>0</v>
      </c>
      <c r="R23" s="15">
        <f>'Хаб.р-ны'!AD27</f>
        <v>0</v>
      </c>
      <c r="S23" s="15">
        <f>'Хаб.р-ны'!AU27</f>
        <v>0</v>
      </c>
      <c r="T23" s="15">
        <f>'Хаб.р-ны'!AV27</f>
        <v>0</v>
      </c>
      <c r="U23" s="15">
        <f>'Хаб.р-ны'!AW27</f>
        <v>0</v>
      </c>
      <c r="V23" s="15">
        <f>'Хаб.р-ны'!AX27</f>
        <v>0</v>
      </c>
      <c r="W23" s="15">
        <f>'Хаб.р-ны'!AY27</f>
        <v>0</v>
      </c>
      <c r="X23" s="15">
        <f>'Хаб.р-ны'!AZ27</f>
        <v>0</v>
      </c>
      <c r="Y23" s="15">
        <f>'Хаб.р-ны'!BA27</f>
        <v>0</v>
      </c>
      <c r="Z23" s="15">
        <f>'Хаб.р-ны'!BB27</f>
        <v>0</v>
      </c>
      <c r="AA23" s="15">
        <f>'Хаб.р-ны'!BK27</f>
        <v>0</v>
      </c>
      <c r="AB23" s="15">
        <f>'Хаб.р-ны'!BL27</f>
        <v>0</v>
      </c>
      <c r="AC23" s="15">
        <f>'Хаб.р-ны'!BM27</f>
        <v>0</v>
      </c>
      <c r="AD23" s="15">
        <f>'Хаб.р-ны'!BN27</f>
        <v>0</v>
      </c>
      <c r="AE23" s="15">
        <f>Комсомольск!BO27</f>
        <v>16000</v>
      </c>
      <c r="AF23" s="15">
        <f>Комсомольск!BP27</f>
        <v>16000</v>
      </c>
      <c r="AG23" s="15">
        <f>Комсомольск!BQ27</f>
        <v>15993</v>
      </c>
      <c r="AH23" s="15">
        <f>Комсомольск!BR27</f>
        <v>99.956249999999997</v>
      </c>
      <c r="AI23" s="15">
        <f>'районы КП, СП'!K27</f>
        <v>0</v>
      </c>
      <c r="AJ23" s="15">
        <f>'районы КП, СП'!L27</f>
        <v>0</v>
      </c>
      <c r="AK23" s="15">
        <f>'районы КП, СП'!M27</f>
        <v>0</v>
      </c>
      <c r="AL23" s="15">
        <f>'районы КП, СП'!N27</f>
        <v>0</v>
      </c>
      <c r="AM23" s="15">
        <f>'районы КП, СП'!W27</f>
        <v>0</v>
      </c>
      <c r="AN23" s="15">
        <f>'районы КП, СП'!X27</f>
        <v>0</v>
      </c>
      <c r="AO23" s="15">
        <f>'районы КП, СП'!Y27</f>
        <v>0</v>
      </c>
      <c r="AP23" s="15">
        <f>'районы КП, СП'!Z27</f>
        <v>0</v>
      </c>
      <c r="AQ23" s="15">
        <f>'районы КП, СП'!AA27</f>
        <v>0</v>
      </c>
      <c r="AR23" s="15">
        <f>'районы КП, СП'!AB27</f>
        <v>0</v>
      </c>
      <c r="AS23" s="15">
        <f>'районы КП, СП'!AC27</f>
        <v>0</v>
      </c>
      <c r="AT23" s="15">
        <f>'районы КП, СП'!AD27</f>
        <v>0</v>
      </c>
      <c r="AU23" s="15">
        <f>'районы КП, СП'!AM27</f>
        <v>0</v>
      </c>
      <c r="AV23" s="15">
        <f>'районы КП, СП'!AN27</f>
        <v>0</v>
      </c>
      <c r="AW23" s="15">
        <f>'районы КП, СП'!AO27</f>
        <v>0</v>
      </c>
      <c r="AX23" s="15">
        <f>'районы КП, СП'!AP27</f>
        <v>0</v>
      </c>
      <c r="AY23" s="15">
        <f>'районы КП, СП'!BC27</f>
        <v>0</v>
      </c>
      <c r="AZ23" s="15">
        <f>'районы КП, СП'!BD27</f>
        <v>0</v>
      </c>
      <c r="BA23" s="15">
        <f>'районы КП, СП'!BE27</f>
        <v>0</v>
      </c>
      <c r="BB23" s="15">
        <f>'районы КП, СП'!BF27</f>
        <v>0</v>
      </c>
      <c r="BC23" s="15">
        <f>'районы КП, СП'!BG27</f>
        <v>0</v>
      </c>
      <c r="BD23" s="15">
        <f>'районы КП, СП'!BH27</f>
        <v>0</v>
      </c>
      <c r="BE23" s="15">
        <f>'районы КП, СП'!BI27</f>
        <v>0</v>
      </c>
      <c r="BF23" s="15">
        <f>'районы КП, СП'!BJ27</f>
        <v>0</v>
      </c>
      <c r="BG23" s="15">
        <f>'районы НП, ЧП'!K27</f>
        <v>0</v>
      </c>
      <c r="BH23" s="15">
        <f>'районы НП, ЧП'!L27</f>
        <v>0</v>
      </c>
      <c r="BI23" s="15">
        <f>'районы НП, ЧП'!M27</f>
        <v>0</v>
      </c>
      <c r="BJ23" s="15">
        <f>'районы НП, ЧП'!N27</f>
        <v>0</v>
      </c>
      <c r="BK23" s="15">
        <f>'районы НП, ЧП'!AA27</f>
        <v>0</v>
      </c>
      <c r="BL23" s="15">
        <f>'районы НП, ЧП'!AB27</f>
        <v>0</v>
      </c>
      <c r="BM23" s="15">
        <f>'районы НП, ЧП'!AC27</f>
        <v>0</v>
      </c>
      <c r="BN23" s="15">
        <f>'районы НП, ЧП'!AD27</f>
        <v>0</v>
      </c>
      <c r="BO23" s="15">
        <f>'районы НП, ЧП'!AE27</f>
        <v>0</v>
      </c>
      <c r="BP23" s="15">
        <f>'районы НП, ЧП'!AF27</f>
        <v>0</v>
      </c>
      <c r="BQ23" s="15">
        <f>'районы НП, ЧП'!AG27</f>
        <v>0</v>
      </c>
      <c r="BR23" s="15">
        <f>'районы НП, ЧП'!AH27</f>
        <v>0</v>
      </c>
      <c r="BS23" s="15">
        <f>'районы НП, ЧП'!AI27</f>
        <v>0</v>
      </c>
      <c r="BT23" s="15">
        <f>'районы НП, ЧП'!AJ27</f>
        <v>0</v>
      </c>
      <c r="BU23" s="15">
        <f>'районы НП, ЧП'!AK27</f>
        <v>0</v>
      </c>
      <c r="BV23" s="15">
        <f>'районы НП, ЧП'!AL27</f>
        <v>0</v>
      </c>
      <c r="BW23" s="15">
        <f>'районы НП, ЧП'!AM27</f>
        <v>0</v>
      </c>
      <c r="BX23" s="15">
        <f>'районы НП, ЧП'!AN27</f>
        <v>0</v>
      </c>
      <c r="BY23" s="15">
        <f>'районы НП, ЧП'!AO27</f>
        <v>0</v>
      </c>
      <c r="BZ23" s="15">
        <f>'районы НП, ЧП'!AP27</f>
        <v>0</v>
      </c>
      <c r="CA23" s="15">
        <f>'районы НП, ЧП'!AU27</f>
        <v>0</v>
      </c>
      <c r="CB23" s="15">
        <f>'районы НП, ЧП'!AV27</f>
        <v>0</v>
      </c>
      <c r="CC23" s="15">
        <f>'районы НП, ЧП'!AW27</f>
        <v>0</v>
      </c>
      <c r="CD23" s="15">
        <f>'районы НП, ЧП'!AX27</f>
        <v>0</v>
      </c>
      <c r="CE23" s="292">
        <f t="shared" si="1"/>
        <v>65615</v>
      </c>
      <c r="CF23" s="292">
        <f t="shared" si="2"/>
        <v>65615</v>
      </c>
      <c r="CG23" s="333">
        <f t="shared" si="0"/>
        <v>63036</v>
      </c>
      <c r="CH23" s="293">
        <f t="shared" si="3"/>
        <v>96.069496304198736</v>
      </c>
    </row>
    <row r="24" spans="1:87" ht="47.25" x14ac:dyDescent="0.2">
      <c r="A24" s="28" t="s">
        <v>138</v>
      </c>
      <c r="B24" s="57" t="s">
        <v>3</v>
      </c>
      <c r="C24" s="15">
        <f>КЛПУ!BS28</f>
        <v>20709</v>
      </c>
      <c r="D24" s="15">
        <f>КЛПУ!BT28</f>
        <v>20709</v>
      </c>
      <c r="E24" s="15">
        <f>КЛПУ!BU28</f>
        <v>24237</v>
      </c>
      <c r="F24" s="15">
        <f>КЛПУ!BV28</f>
        <v>117.0360712733594</v>
      </c>
      <c r="G24" s="15">
        <f>Хабаровск!EY28</f>
        <v>0</v>
      </c>
      <c r="H24" s="15">
        <f>Хабаровск!EZ28</f>
        <v>0</v>
      </c>
      <c r="I24" s="15">
        <f>Хабаровск!FA28</f>
        <v>0</v>
      </c>
      <c r="J24" s="15">
        <f>Хабаровск!FB28</f>
        <v>0</v>
      </c>
      <c r="K24" s="15">
        <f>'Хаб.р-ны'!K28</f>
        <v>0</v>
      </c>
      <c r="L24" s="15">
        <f>'Хаб.р-ны'!L28</f>
        <v>0</v>
      </c>
      <c r="M24" s="15">
        <f>'Хаб.р-ны'!M28</f>
        <v>0</v>
      </c>
      <c r="N24" s="15">
        <f>'Хаб.р-ны'!N28</f>
        <v>0</v>
      </c>
      <c r="O24" s="15">
        <f>'Хаб.р-ны'!AA28</f>
        <v>0</v>
      </c>
      <c r="P24" s="15">
        <f>'Хаб.р-ны'!AB28</f>
        <v>0</v>
      </c>
      <c r="Q24" s="15">
        <f>'Хаб.р-ны'!AC28</f>
        <v>0</v>
      </c>
      <c r="R24" s="15">
        <f>'Хаб.р-ны'!AD28</f>
        <v>0</v>
      </c>
      <c r="S24" s="15">
        <f>'Хаб.р-ны'!AU28</f>
        <v>0</v>
      </c>
      <c r="T24" s="15">
        <f>'Хаб.р-ны'!AV28</f>
        <v>0</v>
      </c>
      <c r="U24" s="15">
        <f>'Хаб.р-ны'!AW28</f>
        <v>0</v>
      </c>
      <c r="V24" s="15">
        <f>'Хаб.р-ны'!AX28</f>
        <v>0</v>
      </c>
      <c r="W24" s="15">
        <f>'Хаб.р-ны'!AY28</f>
        <v>0</v>
      </c>
      <c r="X24" s="15">
        <f>'Хаб.р-ны'!AZ28</f>
        <v>0</v>
      </c>
      <c r="Y24" s="15">
        <f>'Хаб.р-ны'!BA28</f>
        <v>0</v>
      </c>
      <c r="Z24" s="15">
        <f>'Хаб.р-ны'!BB28</f>
        <v>0</v>
      </c>
      <c r="AA24" s="15">
        <f>'Хаб.р-ны'!BK28</f>
        <v>0</v>
      </c>
      <c r="AB24" s="15">
        <f>'Хаб.р-ны'!BL28</f>
        <v>0</v>
      </c>
      <c r="AC24" s="15">
        <f>'Хаб.р-ны'!BM28</f>
        <v>0</v>
      </c>
      <c r="AD24" s="15">
        <f>'Хаб.р-ны'!BN28</f>
        <v>0</v>
      </c>
      <c r="AE24" s="15">
        <f>Комсомольск!BO28</f>
        <v>55000</v>
      </c>
      <c r="AF24" s="15">
        <f>Комсомольск!BP28</f>
        <v>55000</v>
      </c>
      <c r="AG24" s="15">
        <f>Комсомольск!BQ28</f>
        <v>39360</v>
      </c>
      <c r="AH24" s="15">
        <f>Комсомольск!BR28</f>
        <v>71.563636363636363</v>
      </c>
      <c r="AI24" s="15">
        <f>'районы КП, СП'!K28</f>
        <v>0</v>
      </c>
      <c r="AJ24" s="15">
        <f>'районы КП, СП'!L28</f>
        <v>0</v>
      </c>
      <c r="AK24" s="15">
        <f>'районы КП, СП'!M28</f>
        <v>0</v>
      </c>
      <c r="AL24" s="15">
        <f>'районы КП, СП'!N28</f>
        <v>0</v>
      </c>
      <c r="AM24" s="15">
        <f>'районы КП, СП'!W28</f>
        <v>0</v>
      </c>
      <c r="AN24" s="15">
        <f>'районы КП, СП'!X28</f>
        <v>0</v>
      </c>
      <c r="AO24" s="15">
        <f>'районы КП, СП'!Y28</f>
        <v>0</v>
      </c>
      <c r="AP24" s="15">
        <f>'районы КП, СП'!Z28</f>
        <v>0</v>
      </c>
      <c r="AQ24" s="15">
        <f>'районы КП, СП'!AA28</f>
        <v>0</v>
      </c>
      <c r="AR24" s="15">
        <f>'районы КП, СП'!AB28</f>
        <v>0</v>
      </c>
      <c r="AS24" s="15">
        <f>'районы КП, СП'!AC28</f>
        <v>0</v>
      </c>
      <c r="AT24" s="15">
        <f>'районы КП, СП'!AD28</f>
        <v>0</v>
      </c>
      <c r="AU24" s="15">
        <f>'районы КП, СП'!AM28</f>
        <v>0</v>
      </c>
      <c r="AV24" s="15">
        <f>'районы КП, СП'!AN28</f>
        <v>0</v>
      </c>
      <c r="AW24" s="15">
        <f>'районы КП, СП'!AO28</f>
        <v>0</v>
      </c>
      <c r="AX24" s="15">
        <f>'районы КП, СП'!AP28</f>
        <v>0</v>
      </c>
      <c r="AY24" s="15">
        <f>'районы КП, СП'!BC28</f>
        <v>0</v>
      </c>
      <c r="AZ24" s="15">
        <f>'районы КП, СП'!BD28</f>
        <v>0</v>
      </c>
      <c r="BA24" s="15">
        <f>'районы КП, СП'!BE28</f>
        <v>0</v>
      </c>
      <c r="BB24" s="15">
        <f>'районы КП, СП'!BF28</f>
        <v>0</v>
      </c>
      <c r="BC24" s="15">
        <f>'районы КП, СП'!BG28</f>
        <v>0</v>
      </c>
      <c r="BD24" s="15">
        <f>'районы КП, СП'!BH28</f>
        <v>0</v>
      </c>
      <c r="BE24" s="15">
        <f>'районы КП, СП'!BI28</f>
        <v>0</v>
      </c>
      <c r="BF24" s="15">
        <f>'районы КП, СП'!BJ28</f>
        <v>0</v>
      </c>
      <c r="BG24" s="15">
        <f>'районы НП, ЧП'!K28</f>
        <v>0</v>
      </c>
      <c r="BH24" s="15">
        <f>'районы НП, ЧП'!L28</f>
        <v>0</v>
      </c>
      <c r="BI24" s="15">
        <f>'районы НП, ЧП'!M28</f>
        <v>0</v>
      </c>
      <c r="BJ24" s="15">
        <f>'районы НП, ЧП'!N28</f>
        <v>0</v>
      </c>
      <c r="BK24" s="15">
        <f>'районы НП, ЧП'!AA28</f>
        <v>0</v>
      </c>
      <c r="BL24" s="15">
        <f>'районы НП, ЧП'!AB28</f>
        <v>0</v>
      </c>
      <c r="BM24" s="15">
        <f>'районы НП, ЧП'!AC28</f>
        <v>0</v>
      </c>
      <c r="BN24" s="15">
        <f>'районы НП, ЧП'!AD28</f>
        <v>0</v>
      </c>
      <c r="BO24" s="15">
        <f>'районы НП, ЧП'!AE28</f>
        <v>0</v>
      </c>
      <c r="BP24" s="15">
        <f>'районы НП, ЧП'!AF28</f>
        <v>0</v>
      </c>
      <c r="BQ24" s="15">
        <f>'районы НП, ЧП'!AG28</f>
        <v>0</v>
      </c>
      <c r="BR24" s="15">
        <f>'районы НП, ЧП'!AH28</f>
        <v>0</v>
      </c>
      <c r="BS24" s="15">
        <f>'районы НП, ЧП'!AI28</f>
        <v>0</v>
      </c>
      <c r="BT24" s="15">
        <f>'районы НП, ЧП'!AJ28</f>
        <v>0</v>
      </c>
      <c r="BU24" s="15">
        <f>'районы НП, ЧП'!AK28</f>
        <v>0</v>
      </c>
      <c r="BV24" s="15">
        <f>'районы НП, ЧП'!AL28</f>
        <v>0</v>
      </c>
      <c r="BW24" s="15">
        <f>'районы НП, ЧП'!AM28</f>
        <v>0</v>
      </c>
      <c r="BX24" s="15">
        <f>'районы НП, ЧП'!AN28</f>
        <v>0</v>
      </c>
      <c r="BY24" s="15">
        <f>'районы НП, ЧП'!AO28</f>
        <v>0</v>
      </c>
      <c r="BZ24" s="15">
        <f>'районы НП, ЧП'!AP28</f>
        <v>0</v>
      </c>
      <c r="CA24" s="15">
        <f>'районы НП, ЧП'!AU28</f>
        <v>0</v>
      </c>
      <c r="CB24" s="15">
        <f>'районы НП, ЧП'!AV28</f>
        <v>0</v>
      </c>
      <c r="CC24" s="15">
        <f>'районы НП, ЧП'!AW28</f>
        <v>0</v>
      </c>
      <c r="CD24" s="15">
        <f>'районы НП, ЧП'!AX28</f>
        <v>0</v>
      </c>
      <c r="CE24" s="292">
        <f t="shared" si="1"/>
        <v>75709</v>
      </c>
      <c r="CF24" s="292">
        <f t="shared" si="2"/>
        <v>75709</v>
      </c>
      <c r="CG24" s="333">
        <f t="shared" si="2"/>
        <v>63597</v>
      </c>
      <c r="CH24" s="293">
        <f t="shared" si="3"/>
        <v>84.001902019574942</v>
      </c>
    </row>
    <row r="25" spans="1:87" ht="31.5" x14ac:dyDescent="0.2">
      <c r="A25" s="28" t="s">
        <v>139</v>
      </c>
      <c r="B25" s="57" t="s">
        <v>3</v>
      </c>
      <c r="C25" s="15">
        <f>КЛПУ!BS29</f>
        <v>0</v>
      </c>
      <c r="D25" s="15">
        <f>КЛПУ!BT29</f>
        <v>0</v>
      </c>
      <c r="E25" s="15">
        <f>КЛПУ!BU29</f>
        <v>0</v>
      </c>
      <c r="F25" s="15">
        <f>КЛПУ!BV29</f>
        <v>0</v>
      </c>
      <c r="G25" s="15">
        <f>Хабаровск!EY29</f>
        <v>13000</v>
      </c>
      <c r="H25" s="15">
        <f>Хабаровск!EZ29</f>
        <v>13000</v>
      </c>
      <c r="I25" s="15">
        <f>Хабаровск!FA29</f>
        <v>24399</v>
      </c>
      <c r="J25" s="15">
        <f>Хабаровск!FB29</f>
        <v>187.68461538461537</v>
      </c>
      <c r="K25" s="15">
        <f>'Хаб.р-ны'!K29</f>
        <v>0</v>
      </c>
      <c r="L25" s="15">
        <f>'Хаб.р-ны'!L29</f>
        <v>0</v>
      </c>
      <c r="M25" s="15">
        <f>'Хаб.р-ны'!M29</f>
        <v>0</v>
      </c>
      <c r="N25" s="15">
        <f>'Хаб.р-ны'!N29</f>
        <v>0</v>
      </c>
      <c r="O25" s="15">
        <f>'Хаб.р-ны'!AA29</f>
        <v>0</v>
      </c>
      <c r="P25" s="15">
        <f>'Хаб.р-ны'!AB29</f>
        <v>0</v>
      </c>
      <c r="Q25" s="15">
        <f>'Хаб.р-ны'!AC29</f>
        <v>0</v>
      </c>
      <c r="R25" s="15">
        <f>'Хаб.р-ны'!AD29</f>
        <v>0</v>
      </c>
      <c r="S25" s="15">
        <f>'Хаб.р-ны'!AU29</f>
        <v>0</v>
      </c>
      <c r="T25" s="15">
        <f>'Хаб.р-ны'!AV29</f>
        <v>0</v>
      </c>
      <c r="U25" s="15">
        <f>'Хаб.р-ны'!AW29</f>
        <v>0</v>
      </c>
      <c r="V25" s="15">
        <f>'Хаб.р-ны'!AX29</f>
        <v>0</v>
      </c>
      <c r="W25" s="15">
        <f>'Хаб.р-ны'!AY29</f>
        <v>0</v>
      </c>
      <c r="X25" s="15">
        <f>'Хаб.р-ны'!AZ29</f>
        <v>0</v>
      </c>
      <c r="Y25" s="15">
        <f>'Хаб.р-ны'!BA29</f>
        <v>0</v>
      </c>
      <c r="Z25" s="15">
        <f>'Хаб.р-ны'!BB29</f>
        <v>0</v>
      </c>
      <c r="AA25" s="15">
        <f>'Хаб.р-ны'!BK29</f>
        <v>0</v>
      </c>
      <c r="AB25" s="15">
        <f>'Хаб.р-ны'!BL29</f>
        <v>0</v>
      </c>
      <c r="AC25" s="15">
        <f>'Хаб.р-ны'!BM29</f>
        <v>0</v>
      </c>
      <c r="AD25" s="15">
        <f>'Хаб.р-ны'!BN29</f>
        <v>0</v>
      </c>
      <c r="AE25" s="15">
        <f>Комсомольск!BO29</f>
        <v>0</v>
      </c>
      <c r="AF25" s="15">
        <f>Комсомольск!BP29</f>
        <v>0</v>
      </c>
      <c r="AG25" s="15">
        <f>Комсомольск!BQ29</f>
        <v>0</v>
      </c>
      <c r="AH25" s="15">
        <f>Комсомольск!BR29</f>
        <v>0</v>
      </c>
      <c r="AI25" s="15">
        <f>'районы КП, СП'!K29</f>
        <v>0</v>
      </c>
      <c r="AJ25" s="15">
        <f>'районы КП, СП'!L29</f>
        <v>0</v>
      </c>
      <c r="AK25" s="15">
        <f>'районы КП, СП'!M29</f>
        <v>0</v>
      </c>
      <c r="AL25" s="15">
        <f>'районы КП, СП'!N29</f>
        <v>0</v>
      </c>
      <c r="AM25" s="15">
        <f>'районы КП, СП'!W29</f>
        <v>0</v>
      </c>
      <c r="AN25" s="15">
        <f>'районы КП, СП'!X29</f>
        <v>0</v>
      </c>
      <c r="AO25" s="15">
        <f>'районы КП, СП'!Y29</f>
        <v>0</v>
      </c>
      <c r="AP25" s="15">
        <f>'районы КП, СП'!Z29</f>
        <v>0</v>
      </c>
      <c r="AQ25" s="15">
        <f>'районы КП, СП'!AA29</f>
        <v>0</v>
      </c>
      <c r="AR25" s="15">
        <f>'районы КП, СП'!AB29</f>
        <v>0</v>
      </c>
      <c r="AS25" s="15">
        <f>'районы КП, СП'!AC29</f>
        <v>0</v>
      </c>
      <c r="AT25" s="15">
        <f>'районы КП, СП'!AD29</f>
        <v>0</v>
      </c>
      <c r="AU25" s="15">
        <f>'районы КП, СП'!AM29</f>
        <v>0</v>
      </c>
      <c r="AV25" s="15">
        <f>'районы КП, СП'!AN29</f>
        <v>0</v>
      </c>
      <c r="AW25" s="15">
        <f>'районы КП, СП'!AO29</f>
        <v>0</v>
      </c>
      <c r="AX25" s="15">
        <f>'районы КП, СП'!AP29</f>
        <v>0</v>
      </c>
      <c r="AY25" s="15">
        <f>'районы КП, СП'!BC29</f>
        <v>0</v>
      </c>
      <c r="AZ25" s="15">
        <f>'районы КП, СП'!BD29</f>
        <v>0</v>
      </c>
      <c r="BA25" s="15">
        <f>'районы КП, СП'!BE29</f>
        <v>0</v>
      </c>
      <c r="BB25" s="15">
        <f>'районы КП, СП'!BF29</f>
        <v>0</v>
      </c>
      <c r="BC25" s="15">
        <f>'районы КП, СП'!BG29</f>
        <v>0</v>
      </c>
      <c r="BD25" s="15">
        <f>'районы КП, СП'!BH29</f>
        <v>0</v>
      </c>
      <c r="BE25" s="15">
        <f>'районы КП, СП'!BI29</f>
        <v>0</v>
      </c>
      <c r="BF25" s="15">
        <f>'районы КП, СП'!BJ29</f>
        <v>0</v>
      </c>
      <c r="BG25" s="15">
        <f>'районы НП, ЧП'!K29</f>
        <v>0</v>
      </c>
      <c r="BH25" s="15">
        <f>'районы НП, ЧП'!L29</f>
        <v>0</v>
      </c>
      <c r="BI25" s="15">
        <f>'районы НП, ЧП'!M29</f>
        <v>0</v>
      </c>
      <c r="BJ25" s="15">
        <f>'районы НП, ЧП'!N29</f>
        <v>0</v>
      </c>
      <c r="BK25" s="15">
        <f>'районы НП, ЧП'!AA29</f>
        <v>0</v>
      </c>
      <c r="BL25" s="15">
        <f>'районы НП, ЧП'!AB29</f>
        <v>0</v>
      </c>
      <c r="BM25" s="15">
        <f>'районы НП, ЧП'!AC29</f>
        <v>0</v>
      </c>
      <c r="BN25" s="15">
        <f>'районы НП, ЧП'!AD29</f>
        <v>0</v>
      </c>
      <c r="BO25" s="15">
        <f>'районы НП, ЧП'!AE29</f>
        <v>0</v>
      </c>
      <c r="BP25" s="15">
        <f>'районы НП, ЧП'!AF29</f>
        <v>0</v>
      </c>
      <c r="BQ25" s="15">
        <f>'районы НП, ЧП'!AG29</f>
        <v>0</v>
      </c>
      <c r="BR25" s="15">
        <f>'районы НП, ЧП'!AH29</f>
        <v>0</v>
      </c>
      <c r="BS25" s="15">
        <f>'районы НП, ЧП'!AI29</f>
        <v>0</v>
      </c>
      <c r="BT25" s="15">
        <f>'районы НП, ЧП'!AJ29</f>
        <v>0</v>
      </c>
      <c r="BU25" s="15">
        <f>'районы НП, ЧП'!AK29</f>
        <v>0</v>
      </c>
      <c r="BV25" s="15">
        <f>'районы НП, ЧП'!AL29</f>
        <v>0</v>
      </c>
      <c r="BW25" s="15">
        <f>'районы НП, ЧП'!AM29</f>
        <v>0</v>
      </c>
      <c r="BX25" s="15">
        <f>'районы НП, ЧП'!AN29</f>
        <v>0</v>
      </c>
      <c r="BY25" s="15">
        <f>'районы НП, ЧП'!AO29</f>
        <v>0</v>
      </c>
      <c r="BZ25" s="15">
        <f>'районы НП, ЧП'!AP29</f>
        <v>0</v>
      </c>
      <c r="CA25" s="15">
        <f>'районы НП, ЧП'!AU29</f>
        <v>0</v>
      </c>
      <c r="CB25" s="15">
        <f>'районы НП, ЧП'!AV29</f>
        <v>0</v>
      </c>
      <c r="CC25" s="15">
        <f>'районы НП, ЧП'!AW29</f>
        <v>0</v>
      </c>
      <c r="CD25" s="15">
        <f>'районы НП, ЧП'!AX29</f>
        <v>0</v>
      </c>
      <c r="CE25" s="292">
        <f t="shared" si="1"/>
        <v>13000</v>
      </c>
      <c r="CF25" s="292">
        <f t="shared" si="2"/>
        <v>13000</v>
      </c>
      <c r="CG25" s="333">
        <f t="shared" si="2"/>
        <v>24399</v>
      </c>
      <c r="CH25" s="293">
        <f t="shared" si="3"/>
        <v>187.68461538461537</v>
      </c>
    </row>
    <row r="26" spans="1:87" ht="31.5" x14ac:dyDescent="0.2">
      <c r="A26" s="28" t="s">
        <v>140</v>
      </c>
      <c r="B26" s="57" t="s">
        <v>3</v>
      </c>
      <c r="C26" s="15">
        <f>КЛПУ!BS30</f>
        <v>0</v>
      </c>
      <c r="D26" s="15">
        <f>КЛПУ!BT30</f>
        <v>0</v>
      </c>
      <c r="E26" s="15">
        <f>КЛПУ!BU30</f>
        <v>0</v>
      </c>
      <c r="F26" s="15">
        <f>КЛПУ!BV30</f>
        <v>0</v>
      </c>
      <c r="G26" s="15">
        <f>Хабаровск!EY30</f>
        <v>0</v>
      </c>
      <c r="H26" s="15">
        <f>Хабаровск!EZ30</f>
        <v>0</v>
      </c>
      <c r="I26" s="15">
        <f>Хабаровск!FA30</f>
        <v>0</v>
      </c>
      <c r="J26" s="15">
        <f>Хабаровск!FB30</f>
        <v>0</v>
      </c>
      <c r="K26" s="15">
        <f>'Хаб.р-ны'!K30</f>
        <v>0</v>
      </c>
      <c r="L26" s="15">
        <f>'Хаб.р-ны'!L30</f>
        <v>0</v>
      </c>
      <c r="M26" s="15">
        <f>'Хаб.р-ны'!M30</f>
        <v>0</v>
      </c>
      <c r="N26" s="15">
        <f>'Хаб.р-ны'!N30</f>
        <v>0</v>
      </c>
      <c r="O26" s="15">
        <f>'Хаб.р-ны'!AA30</f>
        <v>0</v>
      </c>
      <c r="P26" s="15">
        <f>'Хаб.р-ны'!AB30</f>
        <v>0</v>
      </c>
      <c r="Q26" s="15">
        <f>'Хаб.р-ны'!AC30</f>
        <v>0</v>
      </c>
      <c r="R26" s="15">
        <f>'Хаб.р-ны'!AD30</f>
        <v>0</v>
      </c>
      <c r="S26" s="15">
        <f>'Хаб.р-ны'!AU30</f>
        <v>0</v>
      </c>
      <c r="T26" s="15">
        <f>'Хаб.р-ны'!AV30</f>
        <v>0</v>
      </c>
      <c r="U26" s="15">
        <f>'Хаб.р-ны'!AW30</f>
        <v>0</v>
      </c>
      <c r="V26" s="15">
        <f>'Хаб.р-ны'!AX30</f>
        <v>0</v>
      </c>
      <c r="W26" s="15">
        <f>'Хаб.р-ны'!AY30</f>
        <v>0</v>
      </c>
      <c r="X26" s="15">
        <f>'Хаб.р-ны'!AZ30</f>
        <v>0</v>
      </c>
      <c r="Y26" s="15">
        <f>'Хаб.р-ны'!BA30</f>
        <v>0</v>
      </c>
      <c r="Z26" s="15">
        <f>'Хаб.р-ны'!BB30</f>
        <v>0</v>
      </c>
      <c r="AA26" s="15">
        <f>'Хаб.р-ны'!BK30</f>
        <v>0</v>
      </c>
      <c r="AB26" s="15">
        <f>'Хаб.р-ны'!BL30</f>
        <v>0</v>
      </c>
      <c r="AC26" s="15">
        <f>'Хаб.р-ны'!BM30</f>
        <v>0</v>
      </c>
      <c r="AD26" s="15">
        <f>'Хаб.р-ны'!BN30</f>
        <v>0</v>
      </c>
      <c r="AE26" s="15">
        <f>Комсомольск!BO30</f>
        <v>12000</v>
      </c>
      <c r="AF26" s="15">
        <f>Комсомольск!BP30</f>
        <v>12000</v>
      </c>
      <c r="AG26" s="15">
        <f>Комсомольск!BQ30</f>
        <v>17149</v>
      </c>
      <c r="AH26" s="15">
        <f>Комсомольск!BR30</f>
        <v>142.90833333333333</v>
      </c>
      <c r="AI26" s="15">
        <f>'районы КП, СП'!K30</f>
        <v>0</v>
      </c>
      <c r="AJ26" s="15">
        <f>'районы КП, СП'!L30</f>
        <v>0</v>
      </c>
      <c r="AK26" s="15">
        <f>'районы КП, СП'!M30</f>
        <v>0</v>
      </c>
      <c r="AL26" s="15">
        <f>'районы КП, СП'!N30</f>
        <v>0</v>
      </c>
      <c r="AM26" s="15">
        <f>'районы КП, СП'!W30</f>
        <v>0</v>
      </c>
      <c r="AN26" s="15">
        <f>'районы КП, СП'!X30</f>
        <v>0</v>
      </c>
      <c r="AO26" s="15">
        <f>'районы КП, СП'!Y30</f>
        <v>0</v>
      </c>
      <c r="AP26" s="15">
        <f>'районы КП, СП'!Z30</f>
        <v>0</v>
      </c>
      <c r="AQ26" s="15">
        <f>'районы КП, СП'!AA30</f>
        <v>0</v>
      </c>
      <c r="AR26" s="15">
        <f>'районы КП, СП'!AB30</f>
        <v>0</v>
      </c>
      <c r="AS26" s="15">
        <f>'районы КП, СП'!AC30</f>
        <v>0</v>
      </c>
      <c r="AT26" s="15">
        <f>'районы КП, СП'!AD30</f>
        <v>0</v>
      </c>
      <c r="AU26" s="15">
        <f>'районы КП, СП'!AM30</f>
        <v>0</v>
      </c>
      <c r="AV26" s="15">
        <f>'районы КП, СП'!AN30</f>
        <v>0</v>
      </c>
      <c r="AW26" s="15">
        <f>'районы КП, СП'!AO30</f>
        <v>0</v>
      </c>
      <c r="AX26" s="15">
        <f>'районы КП, СП'!AP30</f>
        <v>0</v>
      </c>
      <c r="AY26" s="15">
        <f>'районы КП, СП'!BC30</f>
        <v>0</v>
      </c>
      <c r="AZ26" s="15">
        <f>'районы КП, СП'!BD30</f>
        <v>0</v>
      </c>
      <c r="BA26" s="15">
        <f>'районы КП, СП'!BE30</f>
        <v>0</v>
      </c>
      <c r="BB26" s="15">
        <f>'районы КП, СП'!BF30</f>
        <v>0</v>
      </c>
      <c r="BC26" s="15">
        <f>'районы КП, СП'!BG30</f>
        <v>0</v>
      </c>
      <c r="BD26" s="15">
        <f>'районы КП, СП'!BH30</f>
        <v>0</v>
      </c>
      <c r="BE26" s="15">
        <f>'районы КП, СП'!BI30</f>
        <v>0</v>
      </c>
      <c r="BF26" s="15">
        <f>'районы КП, СП'!BJ30</f>
        <v>0</v>
      </c>
      <c r="BG26" s="15">
        <f>'районы НП, ЧП'!K30</f>
        <v>0</v>
      </c>
      <c r="BH26" s="15">
        <f>'районы НП, ЧП'!L30</f>
        <v>0</v>
      </c>
      <c r="BI26" s="15">
        <f>'районы НП, ЧП'!M30</f>
        <v>0</v>
      </c>
      <c r="BJ26" s="15">
        <f>'районы НП, ЧП'!N30</f>
        <v>0</v>
      </c>
      <c r="BK26" s="15">
        <f>'районы НП, ЧП'!AA30</f>
        <v>0</v>
      </c>
      <c r="BL26" s="15">
        <f>'районы НП, ЧП'!AB30</f>
        <v>0</v>
      </c>
      <c r="BM26" s="15">
        <f>'районы НП, ЧП'!AC30</f>
        <v>0</v>
      </c>
      <c r="BN26" s="15">
        <f>'районы НП, ЧП'!AD30</f>
        <v>0</v>
      </c>
      <c r="BO26" s="15">
        <f>'районы НП, ЧП'!AE30</f>
        <v>0</v>
      </c>
      <c r="BP26" s="15">
        <f>'районы НП, ЧП'!AF30</f>
        <v>0</v>
      </c>
      <c r="BQ26" s="15">
        <f>'районы НП, ЧП'!AG30</f>
        <v>0</v>
      </c>
      <c r="BR26" s="15">
        <f>'районы НП, ЧП'!AH30</f>
        <v>0</v>
      </c>
      <c r="BS26" s="15">
        <f>'районы НП, ЧП'!AI30</f>
        <v>0</v>
      </c>
      <c r="BT26" s="15">
        <f>'районы НП, ЧП'!AJ30</f>
        <v>0</v>
      </c>
      <c r="BU26" s="15">
        <f>'районы НП, ЧП'!AK30</f>
        <v>0</v>
      </c>
      <c r="BV26" s="15">
        <f>'районы НП, ЧП'!AL30</f>
        <v>0</v>
      </c>
      <c r="BW26" s="15">
        <f>'районы НП, ЧП'!AM30</f>
        <v>0</v>
      </c>
      <c r="BX26" s="15">
        <f>'районы НП, ЧП'!AN30</f>
        <v>0</v>
      </c>
      <c r="BY26" s="15">
        <f>'районы НП, ЧП'!AO30</f>
        <v>0</v>
      </c>
      <c r="BZ26" s="15">
        <f>'районы НП, ЧП'!AP30</f>
        <v>0</v>
      </c>
      <c r="CA26" s="15">
        <f>'районы НП, ЧП'!AU30</f>
        <v>0</v>
      </c>
      <c r="CB26" s="15">
        <f>'районы НП, ЧП'!AV30</f>
        <v>0</v>
      </c>
      <c r="CC26" s="15">
        <f>'районы НП, ЧП'!AW30</f>
        <v>0</v>
      </c>
      <c r="CD26" s="15">
        <f>'районы НП, ЧП'!AX30</f>
        <v>0</v>
      </c>
      <c r="CE26" s="292">
        <f t="shared" si="1"/>
        <v>12000</v>
      </c>
      <c r="CF26" s="292">
        <f t="shared" si="2"/>
        <v>12000</v>
      </c>
      <c r="CG26" s="292">
        <f t="shared" si="2"/>
        <v>17149</v>
      </c>
      <c r="CH26" s="293">
        <f t="shared" si="3"/>
        <v>142.90833333333333</v>
      </c>
    </row>
    <row r="27" spans="1:87" ht="31.5" x14ac:dyDescent="0.2">
      <c r="A27" s="36" t="s">
        <v>141</v>
      </c>
      <c r="B27" s="59" t="s">
        <v>3</v>
      </c>
      <c r="C27" s="15">
        <f>КЛПУ!BS31</f>
        <v>2500</v>
      </c>
      <c r="D27" s="15">
        <f>КЛПУ!BT31</f>
        <v>2500</v>
      </c>
      <c r="E27" s="15">
        <f>КЛПУ!BU31</f>
        <v>401</v>
      </c>
      <c r="F27" s="15">
        <f>КЛПУ!BV31</f>
        <v>16.04</v>
      </c>
      <c r="G27" s="15">
        <f>Хабаровск!EY31</f>
        <v>167629.95250000001</v>
      </c>
      <c r="H27" s="15">
        <f>Хабаровск!EZ31</f>
        <v>167629.95250000001</v>
      </c>
      <c r="I27" s="15">
        <f>Хабаровск!FA31</f>
        <v>157915</v>
      </c>
      <c r="J27" s="15">
        <f>Хабаровск!FB31</f>
        <v>94.204524695549253</v>
      </c>
      <c r="K27" s="15">
        <f>'Хаб.р-ны'!K31</f>
        <v>5028</v>
      </c>
      <c r="L27" s="15">
        <f>'Хаб.р-ны'!L31</f>
        <v>5028</v>
      </c>
      <c r="M27" s="15">
        <f>'Хаб.р-ны'!M31</f>
        <v>4263</v>
      </c>
      <c r="N27" s="15">
        <f>'Хаб.р-ны'!N31</f>
        <v>84.785202863961814</v>
      </c>
      <c r="O27" s="15">
        <f>'Хаб.р-ны'!AA31</f>
        <v>5427</v>
      </c>
      <c r="P27" s="15">
        <f>'Хаб.р-ны'!AB31</f>
        <v>5427</v>
      </c>
      <c r="Q27" s="15">
        <f>'Хаб.р-ны'!AC31</f>
        <v>5741</v>
      </c>
      <c r="R27" s="15">
        <f>'Хаб.р-ны'!AD31</f>
        <v>105.78588538787544</v>
      </c>
      <c r="S27" s="15">
        <f>'Хаб.р-ны'!AU31</f>
        <v>9694</v>
      </c>
      <c r="T27" s="15">
        <f>'Хаб.р-ны'!AV31</f>
        <v>9694</v>
      </c>
      <c r="U27" s="15">
        <f>'Хаб.р-ны'!AW31</f>
        <v>7444</v>
      </c>
      <c r="V27" s="15">
        <f>'Хаб.р-ны'!AX31</f>
        <v>76.789766866102752</v>
      </c>
      <c r="W27" s="15">
        <f>'Хаб.р-ны'!AY31</f>
        <v>5288.97</v>
      </c>
      <c r="X27" s="15">
        <f>'Хаб.р-ны'!AZ31</f>
        <v>5288.97</v>
      </c>
      <c r="Y27" s="15">
        <f>'Хаб.р-ны'!BA31</f>
        <v>5604</v>
      </c>
      <c r="Z27" s="15">
        <f>'Хаб.р-ны'!BB31</f>
        <v>105.95635823232121</v>
      </c>
      <c r="AA27" s="15">
        <f>'Хаб.р-ны'!BK31</f>
        <v>17188.904399999999</v>
      </c>
      <c r="AB27" s="15">
        <f>'Хаб.р-ны'!BL31</f>
        <v>17188.904399999999</v>
      </c>
      <c r="AC27" s="15">
        <f>'Хаб.р-ны'!BM31</f>
        <v>15461</v>
      </c>
      <c r="AD27" s="15">
        <f>'Хаб.р-ны'!BN31</f>
        <v>89.947559426766034</v>
      </c>
      <c r="AE27" s="15">
        <f>Комсомольск!BO31</f>
        <v>88391</v>
      </c>
      <c r="AF27" s="15">
        <f>Комсомольск!BP31</f>
        <v>88391</v>
      </c>
      <c r="AG27" s="15">
        <f>Комсомольск!BQ31</f>
        <v>76862</v>
      </c>
      <c r="AH27" s="15">
        <f>Комсомольск!BR31</f>
        <v>86.956816870495871</v>
      </c>
      <c r="AI27" s="15">
        <f>'районы КП, СП'!K31</f>
        <v>11162</v>
      </c>
      <c r="AJ27" s="15">
        <f>'районы КП, СП'!L31</f>
        <v>11162</v>
      </c>
      <c r="AK27" s="15">
        <f>'районы КП, СП'!M31</f>
        <v>11302</v>
      </c>
      <c r="AL27" s="15">
        <f>'районы КП, СП'!N31</f>
        <v>101.25425550976527</v>
      </c>
      <c r="AM27" s="15">
        <f>'районы КП, СП'!W31</f>
        <v>7478</v>
      </c>
      <c r="AN27" s="15">
        <f>'районы КП, СП'!X31</f>
        <v>7478</v>
      </c>
      <c r="AO27" s="15">
        <f>'районы КП, СП'!Y31</f>
        <v>6676</v>
      </c>
      <c r="AP27" s="15">
        <f>'районы КП, СП'!Z31</f>
        <v>89.275207274672368</v>
      </c>
      <c r="AQ27" s="15">
        <f>'районы КП, СП'!AA31</f>
        <v>7814.4087</v>
      </c>
      <c r="AR27" s="15">
        <f>'районы КП, СП'!AB31</f>
        <v>7814.4087</v>
      </c>
      <c r="AS27" s="15">
        <f>'районы КП, СП'!AC31</f>
        <v>7710</v>
      </c>
      <c r="AT27" s="15">
        <f>'районы КП, СП'!AD31</f>
        <v>98.663895068605768</v>
      </c>
      <c r="AU27" s="15">
        <f>'районы КП, СП'!AM31</f>
        <v>17132</v>
      </c>
      <c r="AV27" s="15">
        <f>'районы КП, СП'!AN31</f>
        <v>17132</v>
      </c>
      <c r="AW27" s="15">
        <f>'районы КП, СП'!AO31</f>
        <v>9950</v>
      </c>
      <c r="AX27" s="15">
        <f>'районы КП, СП'!AP31</f>
        <v>58.078449684800368</v>
      </c>
      <c r="AY27" s="15">
        <f>'районы КП, СП'!BC31</f>
        <v>6235</v>
      </c>
      <c r="AZ27" s="15">
        <f>'районы КП, СП'!BD31</f>
        <v>6235</v>
      </c>
      <c r="BA27" s="15">
        <f>'районы КП, СП'!BE31</f>
        <v>6909</v>
      </c>
      <c r="BB27" s="15">
        <f>'районы КП, СП'!BF31</f>
        <v>110.80994386527667</v>
      </c>
      <c r="BC27" s="15">
        <f>'районы КП, СП'!BG31</f>
        <v>1168</v>
      </c>
      <c r="BD27" s="15">
        <f>'районы КП, СП'!BH31</f>
        <v>1168</v>
      </c>
      <c r="BE27" s="15">
        <f>'районы КП, СП'!BI31</f>
        <v>547</v>
      </c>
      <c r="BF27" s="15">
        <f>'районы КП, СП'!BJ31</f>
        <v>46.832191780821915</v>
      </c>
      <c r="BG27" s="15">
        <f>'районы НП, ЧП'!K31</f>
        <v>8105.5</v>
      </c>
      <c r="BH27" s="15">
        <f>'районы НП, ЧП'!L31</f>
        <v>8105.5</v>
      </c>
      <c r="BI27" s="15">
        <f>'районы НП, ЧП'!M31</f>
        <v>6917</v>
      </c>
      <c r="BJ27" s="15">
        <f>'районы НП, ЧП'!N31</f>
        <v>85.337116772561842</v>
      </c>
      <c r="BK27" s="15">
        <f>'районы НП, ЧП'!AA31</f>
        <v>5438</v>
      </c>
      <c r="BL27" s="15">
        <f>'районы НП, ЧП'!AB31</f>
        <v>5438</v>
      </c>
      <c r="BM27" s="15">
        <f>'районы НП, ЧП'!AC31</f>
        <v>5535</v>
      </c>
      <c r="BN27" s="15">
        <f>'районы НП, ЧП'!AD31</f>
        <v>101.78374402353808</v>
      </c>
      <c r="BO27" s="15">
        <f>'районы НП, ЧП'!AE31</f>
        <v>778</v>
      </c>
      <c r="BP27" s="15">
        <f>'районы НП, ЧП'!AF31</f>
        <v>778</v>
      </c>
      <c r="BQ27" s="15">
        <f>'районы НП, ЧП'!AG31</f>
        <v>673</v>
      </c>
      <c r="BR27" s="15">
        <f>'районы НП, ЧП'!AH31</f>
        <v>86.503856041131115</v>
      </c>
      <c r="BS27" s="15">
        <f>'районы НП, ЧП'!AI31</f>
        <v>469</v>
      </c>
      <c r="BT27" s="15">
        <f>'районы НП, ЧП'!AJ31</f>
        <v>469</v>
      </c>
      <c r="BU27" s="15">
        <f>'районы НП, ЧП'!AK31</f>
        <v>485</v>
      </c>
      <c r="BV27" s="15">
        <f>'районы НП, ЧП'!AL31</f>
        <v>103.41151385927505</v>
      </c>
      <c r="BW27" s="15">
        <f>'районы НП, ЧП'!AM31</f>
        <v>1794</v>
      </c>
      <c r="BX27" s="15">
        <f>'районы НП, ЧП'!AN31</f>
        <v>1794</v>
      </c>
      <c r="BY27" s="15">
        <f>'районы НП, ЧП'!AO31</f>
        <v>1666</v>
      </c>
      <c r="BZ27" s="15">
        <f>'районы НП, ЧП'!AP31</f>
        <v>92.865105908584169</v>
      </c>
      <c r="CA27" s="15">
        <f>'районы НП, ЧП'!AU31</f>
        <v>4846</v>
      </c>
      <c r="CB27" s="15">
        <f>'районы НП, ЧП'!AV31</f>
        <v>4846</v>
      </c>
      <c r="CC27" s="15">
        <f>'районы НП, ЧП'!AW31</f>
        <v>2713</v>
      </c>
      <c r="CD27" s="15">
        <f>'районы НП, ЧП'!AX31</f>
        <v>55.984316962443245</v>
      </c>
      <c r="CE27" s="292">
        <f t="shared" si="1"/>
        <v>373567.73560000001</v>
      </c>
      <c r="CF27" s="292">
        <f t="shared" si="2"/>
        <v>373567.73560000001</v>
      </c>
      <c r="CG27" s="292">
        <f t="shared" si="2"/>
        <v>334774</v>
      </c>
      <c r="CH27" s="293">
        <f t="shared" si="3"/>
        <v>89.615340966828398</v>
      </c>
    </row>
    <row r="28" spans="1:87" ht="15.75" x14ac:dyDescent="0.2">
      <c r="A28" s="28" t="s">
        <v>132</v>
      </c>
      <c r="B28" s="56"/>
      <c r="C28" s="15">
        <f>КЛПУ!BS32</f>
        <v>0</v>
      </c>
      <c r="D28" s="15">
        <f>КЛПУ!BT32</f>
        <v>0</v>
      </c>
      <c r="E28" s="15">
        <f>КЛПУ!BU32</f>
        <v>0</v>
      </c>
      <c r="F28" s="15">
        <f>КЛПУ!BV32</f>
        <v>0</v>
      </c>
      <c r="G28" s="15">
        <f>Хабаровск!EY32</f>
        <v>0</v>
      </c>
      <c r="H28" s="15">
        <f>Хабаровск!EZ32</f>
        <v>0</v>
      </c>
      <c r="I28" s="15">
        <f>Хабаровск!FA32</f>
        <v>0</v>
      </c>
      <c r="J28" s="15">
        <f>Хабаровск!FB32</f>
        <v>0</v>
      </c>
      <c r="K28" s="15">
        <f>'Хаб.р-ны'!K32</f>
        <v>0</v>
      </c>
      <c r="L28" s="15">
        <f>'Хаб.р-ны'!L32</f>
        <v>0</v>
      </c>
      <c r="M28" s="15">
        <f>'Хаб.р-ны'!M32</f>
        <v>0</v>
      </c>
      <c r="N28" s="15">
        <f>'Хаб.р-ны'!N32</f>
        <v>0</v>
      </c>
      <c r="O28" s="15">
        <f>'Хаб.р-ны'!AA32</f>
        <v>0</v>
      </c>
      <c r="P28" s="15">
        <f>'Хаб.р-ны'!AB32</f>
        <v>0</v>
      </c>
      <c r="Q28" s="15">
        <f>'Хаб.р-ны'!AC32</f>
        <v>0</v>
      </c>
      <c r="R28" s="15">
        <f>'Хаб.р-ны'!AD32</f>
        <v>0</v>
      </c>
      <c r="S28" s="15">
        <f>'Хаб.р-ны'!AU32</f>
        <v>0</v>
      </c>
      <c r="T28" s="15">
        <f>'Хаб.р-ны'!AV32</f>
        <v>0</v>
      </c>
      <c r="U28" s="15">
        <f>'Хаб.р-ны'!AW32</f>
        <v>0</v>
      </c>
      <c r="V28" s="15">
        <f>'Хаб.р-ны'!AX32</f>
        <v>0</v>
      </c>
      <c r="W28" s="15">
        <f>'Хаб.р-ны'!AY32</f>
        <v>0</v>
      </c>
      <c r="X28" s="15">
        <f>'Хаб.р-ны'!AZ32</f>
        <v>0</v>
      </c>
      <c r="Y28" s="15">
        <f>'Хаб.р-ны'!BA32</f>
        <v>0</v>
      </c>
      <c r="Z28" s="15">
        <f>'Хаб.р-ны'!BB32</f>
        <v>0</v>
      </c>
      <c r="AA28" s="15">
        <f>'Хаб.р-ны'!BK32</f>
        <v>0</v>
      </c>
      <c r="AB28" s="15">
        <f>'Хаб.р-ны'!BL32</f>
        <v>0</v>
      </c>
      <c r="AC28" s="15">
        <f>'Хаб.р-ны'!BM32</f>
        <v>0</v>
      </c>
      <c r="AD28" s="15">
        <f>'Хаб.р-ны'!BN32</f>
        <v>0</v>
      </c>
      <c r="AE28" s="15">
        <f>Комсомольск!BO32</f>
        <v>0</v>
      </c>
      <c r="AF28" s="15">
        <f>Комсомольск!BP32</f>
        <v>0</v>
      </c>
      <c r="AG28" s="15">
        <f>Комсомольск!BQ32</f>
        <v>0</v>
      </c>
      <c r="AH28" s="15">
        <f>Комсомольск!BR32</f>
        <v>0</v>
      </c>
      <c r="AI28" s="15">
        <f>'районы КП, СП'!K32</f>
        <v>0</v>
      </c>
      <c r="AJ28" s="15">
        <f>'районы КП, СП'!L32</f>
        <v>0</v>
      </c>
      <c r="AK28" s="15">
        <f>'районы КП, СП'!M32</f>
        <v>0</v>
      </c>
      <c r="AL28" s="15">
        <f>'районы КП, СП'!N32</f>
        <v>0</v>
      </c>
      <c r="AM28" s="15">
        <f>'районы КП, СП'!W32</f>
        <v>0</v>
      </c>
      <c r="AN28" s="15">
        <f>'районы КП, СП'!X32</f>
        <v>0</v>
      </c>
      <c r="AO28" s="15">
        <f>'районы КП, СП'!Y32</f>
        <v>0</v>
      </c>
      <c r="AP28" s="15"/>
      <c r="AQ28" s="15">
        <f>'районы КП, СП'!AA32</f>
        <v>0</v>
      </c>
      <c r="AR28" s="15">
        <f>'районы КП, СП'!AB32</f>
        <v>0</v>
      </c>
      <c r="AS28" s="15">
        <f>'районы КП, СП'!AC32</f>
        <v>0</v>
      </c>
      <c r="AT28" s="15">
        <f>'районы КП, СП'!AD32</f>
        <v>0</v>
      </c>
      <c r="AU28" s="15">
        <f>'районы КП, СП'!AM32</f>
        <v>0</v>
      </c>
      <c r="AV28" s="15">
        <f>'районы КП, СП'!AN32</f>
        <v>0</v>
      </c>
      <c r="AW28" s="15">
        <f>'районы КП, СП'!AO32</f>
        <v>0</v>
      </c>
      <c r="AX28" s="15">
        <f>'районы КП, СП'!AP32</f>
        <v>0</v>
      </c>
      <c r="AY28" s="15">
        <f>'районы КП, СП'!BC32</f>
        <v>0</v>
      </c>
      <c r="AZ28" s="15">
        <f>'районы КП, СП'!BD32</f>
        <v>0</v>
      </c>
      <c r="BA28" s="15">
        <f>'районы КП, СП'!BE32</f>
        <v>0</v>
      </c>
      <c r="BB28" s="15">
        <f>'районы КП, СП'!BF32</f>
        <v>0</v>
      </c>
      <c r="BC28" s="15">
        <f>'районы КП, СП'!BG32</f>
        <v>0</v>
      </c>
      <c r="BD28" s="15">
        <f>'районы КП, СП'!BH32</f>
        <v>0</v>
      </c>
      <c r="BE28" s="15">
        <f>'районы КП, СП'!BI32</f>
        <v>0</v>
      </c>
      <c r="BF28" s="15">
        <f>'районы КП, СП'!BJ32</f>
        <v>0</v>
      </c>
      <c r="BG28" s="15">
        <f>'районы НП, ЧП'!K32</f>
        <v>0</v>
      </c>
      <c r="BH28" s="15">
        <f>'районы НП, ЧП'!L32</f>
        <v>0</v>
      </c>
      <c r="BI28" s="15">
        <f>'районы НП, ЧП'!M32</f>
        <v>0</v>
      </c>
      <c r="BJ28" s="15">
        <f>'районы НП, ЧП'!N32</f>
        <v>0</v>
      </c>
      <c r="BK28" s="15">
        <f>'районы НП, ЧП'!AA32</f>
        <v>0</v>
      </c>
      <c r="BL28" s="15">
        <f>'районы НП, ЧП'!AB32</f>
        <v>0</v>
      </c>
      <c r="BM28" s="15">
        <f>'районы НП, ЧП'!AC32</f>
        <v>0</v>
      </c>
      <c r="BN28" s="15">
        <f>'районы НП, ЧП'!AD32</f>
        <v>0</v>
      </c>
      <c r="BO28" s="15">
        <f>'районы НП, ЧП'!AE32</f>
        <v>0</v>
      </c>
      <c r="BP28" s="15">
        <f>'районы НП, ЧП'!AF32</f>
        <v>0</v>
      </c>
      <c r="BQ28" s="15">
        <f>'районы НП, ЧП'!AG32</f>
        <v>0</v>
      </c>
      <c r="BR28" s="15">
        <f>'районы НП, ЧП'!AH32</f>
        <v>0</v>
      </c>
      <c r="BS28" s="15">
        <f>'районы НП, ЧП'!AI32</f>
        <v>0</v>
      </c>
      <c r="BT28" s="15">
        <f>'районы НП, ЧП'!AJ32</f>
        <v>0</v>
      </c>
      <c r="BU28" s="15">
        <f>'районы НП, ЧП'!AK32</f>
        <v>0</v>
      </c>
      <c r="BV28" s="15">
        <f>'районы НП, ЧП'!AL32</f>
        <v>0</v>
      </c>
      <c r="BW28" s="15">
        <f>'районы НП, ЧП'!AM32</f>
        <v>0</v>
      </c>
      <c r="BX28" s="15">
        <f>'районы НП, ЧП'!AN32</f>
        <v>0</v>
      </c>
      <c r="BY28" s="15">
        <f>'районы НП, ЧП'!AO32</f>
        <v>0</v>
      </c>
      <c r="BZ28" s="15">
        <f>'районы НП, ЧП'!AP32</f>
        <v>0</v>
      </c>
      <c r="CA28" s="15">
        <f>'районы НП, ЧП'!AU32</f>
        <v>0</v>
      </c>
      <c r="CB28" s="15">
        <f>'районы НП, ЧП'!AV32</f>
        <v>0</v>
      </c>
      <c r="CC28" s="15">
        <f>'районы НП, ЧП'!AW32</f>
        <v>0</v>
      </c>
      <c r="CD28" s="15">
        <f>'районы НП, ЧП'!AX32</f>
        <v>0</v>
      </c>
      <c r="CE28" s="292">
        <f t="shared" si="1"/>
        <v>0</v>
      </c>
      <c r="CF28" s="292">
        <f t="shared" si="2"/>
        <v>0</v>
      </c>
      <c r="CG28" s="292">
        <f t="shared" si="2"/>
        <v>0</v>
      </c>
      <c r="CH28" s="293"/>
    </row>
    <row r="29" spans="1:87" s="17" customFormat="1" ht="31.5" x14ac:dyDescent="0.2">
      <c r="A29" s="312" t="s">
        <v>142</v>
      </c>
      <c r="B29" s="60" t="s">
        <v>3</v>
      </c>
      <c r="C29" s="313">
        <f>КЛПУ!BS33</f>
        <v>1700</v>
      </c>
      <c r="D29" s="313">
        <f>КЛПУ!BT33</f>
        <v>1700</v>
      </c>
      <c r="E29" s="313">
        <f>КЛПУ!BU33</f>
        <v>364</v>
      </c>
      <c r="F29" s="313">
        <f>КЛПУ!BV33</f>
        <v>21.411764705882351</v>
      </c>
      <c r="G29" s="313">
        <f>Хабаровск!EY33</f>
        <v>117639.9525</v>
      </c>
      <c r="H29" s="313">
        <f>Хабаровск!EZ33</f>
        <v>117639.9525</v>
      </c>
      <c r="I29" s="313">
        <f>Хабаровск!FA33</f>
        <v>107032</v>
      </c>
      <c r="J29" s="313">
        <f>Хабаровск!FB33</f>
        <v>90.982695696005152</v>
      </c>
      <c r="K29" s="313">
        <f>'Хаб.р-ны'!K33</f>
        <v>2255</v>
      </c>
      <c r="L29" s="313">
        <f>'Хаб.р-ны'!L33</f>
        <v>2255</v>
      </c>
      <c r="M29" s="313">
        <f>'Хаб.р-ны'!M33</f>
        <v>1959</v>
      </c>
      <c r="N29" s="313">
        <f>'Хаб.р-ны'!N33</f>
        <v>86.873614190687363</v>
      </c>
      <c r="O29" s="313">
        <f>'Хаб.р-ны'!AA33</f>
        <v>2301</v>
      </c>
      <c r="P29" s="313">
        <f>'Хаб.р-ны'!AB33</f>
        <v>2301</v>
      </c>
      <c r="Q29" s="313">
        <f>'Хаб.р-ны'!AC33</f>
        <v>2161</v>
      </c>
      <c r="R29" s="313">
        <f>'Хаб.р-ны'!AD33</f>
        <v>93.915688830943068</v>
      </c>
      <c r="S29" s="313">
        <f>'Хаб.р-ны'!AU33</f>
        <v>6721</v>
      </c>
      <c r="T29" s="313">
        <f>'Хаб.р-ны'!AV33</f>
        <v>6721</v>
      </c>
      <c r="U29" s="313">
        <f>'Хаб.р-ны'!AW33</f>
        <v>5479</v>
      </c>
      <c r="V29" s="313">
        <f>'Хаб.р-ны'!AX33</f>
        <v>81.520607052521939</v>
      </c>
      <c r="W29" s="313">
        <f>'Хаб.р-ны'!AY33</f>
        <v>3471.9700000000003</v>
      </c>
      <c r="X29" s="313">
        <f>'Хаб.р-ны'!AZ33</f>
        <v>3471.9700000000003</v>
      </c>
      <c r="Y29" s="313">
        <f>'Хаб.р-ны'!BA33</f>
        <v>3065</v>
      </c>
      <c r="Z29" s="313">
        <f>'Хаб.р-ны'!BB33</f>
        <v>88.278412543887185</v>
      </c>
      <c r="AA29" s="313">
        <f>'Хаб.р-ны'!BK33</f>
        <v>14084.904399999999</v>
      </c>
      <c r="AB29" s="313">
        <f>'Хаб.р-ны'!BL33</f>
        <v>14084.904399999999</v>
      </c>
      <c r="AC29" s="313">
        <f>'Хаб.р-ны'!BM33</f>
        <v>12626</v>
      </c>
      <c r="AD29" s="313">
        <f>'Хаб.р-ны'!BN33</f>
        <v>89.642070982036628</v>
      </c>
      <c r="AE29" s="313">
        <f>Комсомольск!BO33</f>
        <v>56390</v>
      </c>
      <c r="AF29" s="313">
        <f>Комсомольск!BP33</f>
        <v>56390</v>
      </c>
      <c r="AG29" s="313">
        <f>Комсомольск!BQ33</f>
        <v>49633</v>
      </c>
      <c r="AH29" s="313">
        <f>Комсомольск!BR33</f>
        <v>88.017378967902118</v>
      </c>
      <c r="AI29" s="313">
        <f>'районы КП, СП'!K33</f>
        <v>8680</v>
      </c>
      <c r="AJ29" s="313">
        <f>'районы КП, СП'!L33</f>
        <v>8680</v>
      </c>
      <c r="AK29" s="313">
        <f>'районы КП, СП'!M33</f>
        <v>8256</v>
      </c>
      <c r="AL29" s="313">
        <f>'районы КП, СП'!N33</f>
        <v>95.115207373271886</v>
      </c>
      <c r="AM29" s="313">
        <f>'районы КП, СП'!W33</f>
        <v>5215</v>
      </c>
      <c r="AN29" s="313">
        <f>'районы КП, СП'!X33</f>
        <v>5215</v>
      </c>
      <c r="AO29" s="313">
        <f>'районы КП, СП'!Y33</f>
        <v>4709</v>
      </c>
      <c r="AP29" s="313">
        <f>'районы КП, СП'!Z33</f>
        <v>90.297219558964528</v>
      </c>
      <c r="AQ29" s="313">
        <f>'районы КП, СП'!AA33</f>
        <v>4920.4087</v>
      </c>
      <c r="AR29" s="313">
        <f>'районы КП, СП'!AB33</f>
        <v>4920.4087</v>
      </c>
      <c r="AS29" s="313">
        <f>'районы КП, СП'!AC33</f>
        <v>4412</v>
      </c>
      <c r="AT29" s="313">
        <f>'районы КП, СП'!AD33</f>
        <v>89.667348161546016</v>
      </c>
      <c r="AU29" s="313">
        <f>'районы КП, СП'!AM33</f>
        <v>7100</v>
      </c>
      <c r="AV29" s="313">
        <f>'районы КП, СП'!AN33</f>
        <v>7100</v>
      </c>
      <c r="AW29" s="313">
        <f>'районы КП, СП'!AO33</f>
        <v>6261</v>
      </c>
      <c r="AX29" s="313">
        <f>'районы КП, СП'!AP33</f>
        <v>88.183098591549296</v>
      </c>
      <c r="AY29" s="313">
        <f>'районы КП, СП'!BC33</f>
        <v>4229</v>
      </c>
      <c r="AZ29" s="313">
        <f>'районы КП, СП'!BD33</f>
        <v>4229</v>
      </c>
      <c r="BA29" s="313">
        <f>'районы КП, СП'!BE33</f>
        <v>4088</v>
      </c>
      <c r="BB29" s="313">
        <f>'районы КП, СП'!BF33</f>
        <v>96.665878458264359</v>
      </c>
      <c r="BC29" s="313">
        <f>'районы КП, СП'!BG33</f>
        <v>435</v>
      </c>
      <c r="BD29" s="313">
        <f>'районы КП, СП'!BH33</f>
        <v>435</v>
      </c>
      <c r="BE29" s="313">
        <f>'районы КП, СП'!BI33</f>
        <v>522</v>
      </c>
      <c r="BF29" s="313">
        <f>'районы КП, СП'!BJ33</f>
        <v>120</v>
      </c>
      <c r="BG29" s="313">
        <f>'районы НП, ЧП'!K33</f>
        <v>4873.5</v>
      </c>
      <c r="BH29" s="313">
        <f>'районы НП, ЧП'!L33</f>
        <v>4873.5</v>
      </c>
      <c r="BI29" s="313">
        <f>'районы НП, ЧП'!M33</f>
        <v>4478</v>
      </c>
      <c r="BJ29" s="313">
        <f>'районы НП, ЧП'!N33</f>
        <v>91.884682466399909</v>
      </c>
      <c r="BK29" s="313">
        <f>'районы НП, ЧП'!AA33</f>
        <v>2998</v>
      </c>
      <c r="BL29" s="313">
        <f>'районы НП, ЧП'!AB33</f>
        <v>2998</v>
      </c>
      <c r="BM29" s="313">
        <f>'районы НП, ЧП'!AC33</f>
        <v>2635</v>
      </c>
      <c r="BN29" s="313">
        <f>'районы НП, ЧП'!AD33</f>
        <v>87.891927951967972</v>
      </c>
      <c r="BO29" s="313">
        <f>'районы НП, ЧП'!AE33</f>
        <v>312</v>
      </c>
      <c r="BP29" s="313">
        <f>'районы НП, ЧП'!AF33</f>
        <v>312</v>
      </c>
      <c r="BQ29" s="313">
        <f>'районы НП, ЧП'!AG33</f>
        <v>294</v>
      </c>
      <c r="BR29" s="313">
        <f>'районы НП, ЧП'!AH33</f>
        <v>94.230769230769226</v>
      </c>
      <c r="BS29" s="313">
        <f>'районы НП, ЧП'!AI33</f>
        <v>387</v>
      </c>
      <c r="BT29" s="313">
        <f>'районы НП, ЧП'!AJ33</f>
        <v>387</v>
      </c>
      <c r="BU29" s="313">
        <f>'районы НП, ЧП'!AK33</f>
        <v>383</v>
      </c>
      <c r="BV29" s="313">
        <f>'районы НП, ЧП'!AL33</f>
        <v>98.966408268733858</v>
      </c>
      <c r="BW29" s="313">
        <f>'районы НП, ЧП'!AM33</f>
        <v>840</v>
      </c>
      <c r="BX29" s="313">
        <f>'районы НП, ЧП'!AN33</f>
        <v>840</v>
      </c>
      <c r="BY29" s="313">
        <f>'районы НП, ЧП'!AO33</f>
        <v>960</v>
      </c>
      <c r="BZ29" s="313">
        <f>'районы НП, ЧП'!AP33</f>
        <v>114.28571428571428</v>
      </c>
      <c r="CA29" s="313">
        <f>'районы НП, ЧП'!AU33</f>
        <v>2956</v>
      </c>
      <c r="CB29" s="313">
        <f>'районы НП, ЧП'!AV33</f>
        <v>2956</v>
      </c>
      <c r="CC29" s="313">
        <f>'районы НП, ЧП'!AW33</f>
        <v>2197</v>
      </c>
      <c r="CD29" s="313">
        <f>'районы НП, ЧП'!AX33</f>
        <v>74.323410013531799</v>
      </c>
      <c r="CE29" s="314">
        <f t="shared" si="1"/>
        <v>247509.73560000001</v>
      </c>
      <c r="CF29" s="314">
        <f t="shared" si="2"/>
        <v>247509.73560000001</v>
      </c>
      <c r="CG29" s="314">
        <f t="shared" si="2"/>
        <v>221514</v>
      </c>
      <c r="CH29" s="315">
        <f t="shared" si="3"/>
        <v>89.497085624942173</v>
      </c>
      <c r="CI29" s="369">
        <v>-2167</v>
      </c>
    </row>
    <row r="30" spans="1:87" ht="15.75" x14ac:dyDescent="0.2">
      <c r="A30" s="29" t="s">
        <v>143</v>
      </c>
      <c r="B30" s="60" t="s">
        <v>339</v>
      </c>
      <c r="C30" s="15">
        <f>КЛПУ!BS34</f>
        <v>10</v>
      </c>
      <c r="D30" s="15">
        <f>КЛПУ!BT34</f>
        <v>10</v>
      </c>
      <c r="E30" s="15">
        <f>КЛПУ!BU34</f>
        <v>2</v>
      </c>
      <c r="F30" s="15">
        <f>КЛПУ!BV34</f>
        <v>20</v>
      </c>
      <c r="G30" s="15">
        <f>Хабаровск!EY34</f>
        <v>14010.7425</v>
      </c>
      <c r="H30" s="15">
        <f>Хабаровск!EZ34</f>
        <v>14010.7425</v>
      </c>
      <c r="I30" s="15">
        <f>Хабаровск!FA34</f>
        <v>15470</v>
      </c>
      <c r="J30" s="15">
        <f>Хабаровск!FB34</f>
        <v>110.41527599268919</v>
      </c>
      <c r="K30" s="15">
        <f>'Хаб.р-ны'!K34</f>
        <v>314</v>
      </c>
      <c r="L30" s="15">
        <f>'Хаб.р-ны'!L34</f>
        <v>314</v>
      </c>
      <c r="M30" s="15">
        <f>'Хаб.р-ны'!M34</f>
        <v>262</v>
      </c>
      <c r="N30" s="15">
        <f>'Хаб.р-ны'!N34</f>
        <v>83.439490445859875</v>
      </c>
      <c r="O30" s="15">
        <f>'Хаб.р-ны'!AA34</f>
        <v>451</v>
      </c>
      <c r="P30" s="15">
        <f>'Хаб.р-ны'!AB34</f>
        <v>451</v>
      </c>
      <c r="Q30" s="15">
        <f>'Хаб.р-ны'!AC34</f>
        <v>371</v>
      </c>
      <c r="R30" s="15">
        <f>'Хаб.р-ны'!AD34</f>
        <v>82.261640798226168</v>
      </c>
      <c r="S30" s="15">
        <f>'Хаб.р-ны'!AU34</f>
        <v>975</v>
      </c>
      <c r="T30" s="15">
        <f>'Хаб.р-ны'!AV34</f>
        <v>975</v>
      </c>
      <c r="U30" s="15">
        <f>'Хаб.р-ны'!AW34</f>
        <v>608</v>
      </c>
      <c r="V30" s="15">
        <f>'Хаб.р-ны'!AX34</f>
        <v>62.358974358974365</v>
      </c>
      <c r="W30" s="15">
        <f>'Хаб.р-ны'!AY34</f>
        <v>532.48500000000001</v>
      </c>
      <c r="X30" s="15">
        <f>'Хаб.р-ны'!AZ34</f>
        <v>532.48500000000001</v>
      </c>
      <c r="Y30" s="15">
        <f>'Хаб.р-ны'!BA34</f>
        <v>451</v>
      </c>
      <c r="Z30" s="15">
        <f>'Хаб.р-ны'!BB34</f>
        <v>84.697221517977027</v>
      </c>
      <c r="AA30" s="15">
        <f>'Хаб.р-ны'!BK34</f>
        <v>1635.83</v>
      </c>
      <c r="AB30" s="15">
        <f>'Хаб.р-ны'!BL34</f>
        <v>1635.83</v>
      </c>
      <c r="AC30" s="15">
        <f>'Хаб.р-ны'!BM34</f>
        <v>1780</v>
      </c>
      <c r="AD30" s="15">
        <f>'Хаб.р-ны'!BN34</f>
        <v>108.81326299187567</v>
      </c>
      <c r="AE30" s="15">
        <f>Комсомольск!BO34</f>
        <v>6764</v>
      </c>
      <c r="AF30" s="15">
        <f>Комсомольск!BP34</f>
        <v>6764</v>
      </c>
      <c r="AG30" s="15">
        <f>Комсомольск!BQ34</f>
        <v>8661</v>
      </c>
      <c r="AH30" s="15">
        <f>Комсомольск!BR34</f>
        <v>128.04553518628029</v>
      </c>
      <c r="AI30" s="15">
        <f>'районы КП, СП'!K34</f>
        <v>700</v>
      </c>
      <c r="AJ30" s="15">
        <f>'районы КП, СП'!L34</f>
        <v>700</v>
      </c>
      <c r="AK30" s="15">
        <f>'районы КП, СП'!M34</f>
        <v>1341</v>
      </c>
      <c r="AL30" s="15">
        <f>'районы КП, СП'!N34</f>
        <v>191.57142857142858</v>
      </c>
      <c r="AM30" s="15">
        <f>'районы КП, СП'!W34</f>
        <v>830</v>
      </c>
      <c r="AN30" s="15">
        <f>'районы КП, СП'!X34</f>
        <v>830</v>
      </c>
      <c r="AO30" s="15">
        <f>'районы КП, СП'!Y34</f>
        <v>742</v>
      </c>
      <c r="AP30" s="15">
        <f>'районы КП, СП'!Z34</f>
        <v>89.397590361445779</v>
      </c>
      <c r="AQ30" s="15">
        <f>'районы КП, СП'!AA34</f>
        <v>519.40869999999995</v>
      </c>
      <c r="AR30" s="15">
        <f>'районы КП, СП'!AB34</f>
        <v>519.40869999999995</v>
      </c>
      <c r="AS30" s="15">
        <f>'районы КП, СП'!AC34</f>
        <v>619</v>
      </c>
      <c r="AT30" s="15">
        <f>'районы КП, СП'!AD34</f>
        <v>119.17397610013079</v>
      </c>
      <c r="AU30" s="15">
        <f>'районы КП, СП'!AM34</f>
        <v>502</v>
      </c>
      <c r="AV30" s="15">
        <f>'районы КП, СП'!AN34</f>
        <v>502</v>
      </c>
      <c r="AW30" s="15">
        <f>'районы КП, СП'!AO34</f>
        <v>845</v>
      </c>
      <c r="AX30" s="15">
        <f>'районы КП, СП'!AP34</f>
        <v>168.32669322709165</v>
      </c>
      <c r="AY30" s="15">
        <f>'районы КП, СП'!BC34</f>
        <v>592</v>
      </c>
      <c r="AZ30" s="15">
        <f>'районы КП, СП'!BD34</f>
        <v>592</v>
      </c>
      <c r="BA30" s="15">
        <f>'районы КП, СП'!BE34</f>
        <v>445</v>
      </c>
      <c r="BB30" s="15">
        <f>'районы КП, СП'!BF34</f>
        <v>75.168918918918919</v>
      </c>
      <c r="BC30" s="15">
        <f>'районы КП, СП'!BG34</f>
        <v>70</v>
      </c>
      <c r="BD30" s="15">
        <f>'районы КП, СП'!BH34</f>
        <v>70</v>
      </c>
      <c r="BE30" s="15">
        <f>'районы КП, СП'!BI34</f>
        <v>70</v>
      </c>
      <c r="BF30" s="15">
        <f>'районы КП, СП'!BJ34</f>
        <v>100</v>
      </c>
      <c r="BG30" s="15">
        <f>'районы НП, ЧП'!K34</f>
        <v>628.125</v>
      </c>
      <c r="BH30" s="15">
        <f>'районы НП, ЧП'!L34</f>
        <v>628.125</v>
      </c>
      <c r="BI30" s="15">
        <f>'районы НП, ЧП'!M34</f>
        <v>584</v>
      </c>
      <c r="BJ30" s="15">
        <f>'районы НП, ЧП'!N34</f>
        <v>92.975124378109456</v>
      </c>
      <c r="BK30" s="15">
        <f>'районы НП, ЧП'!AA34</f>
        <v>339</v>
      </c>
      <c r="BL30" s="15">
        <f>'районы НП, ЧП'!AB34</f>
        <v>339</v>
      </c>
      <c r="BM30" s="15">
        <f>'районы НП, ЧП'!AC34</f>
        <v>428</v>
      </c>
      <c r="BN30" s="15">
        <f>'районы НП, ЧП'!AD34</f>
        <v>126.25368731563422</v>
      </c>
      <c r="BO30" s="15">
        <f>'районы НП, ЧП'!AE34</f>
        <v>33</v>
      </c>
      <c r="BP30" s="15">
        <f>'районы НП, ЧП'!AF34</f>
        <v>33</v>
      </c>
      <c r="BQ30" s="15">
        <f>'районы НП, ЧП'!AG34</f>
        <v>44</v>
      </c>
      <c r="BR30" s="15">
        <f>'районы НП, ЧП'!AH34</f>
        <v>133.33333333333331</v>
      </c>
      <c r="BS30" s="15">
        <f>'районы НП, ЧП'!AI34</f>
        <v>65</v>
      </c>
      <c r="BT30" s="15">
        <f>'районы НП, ЧП'!AJ34</f>
        <v>65</v>
      </c>
      <c r="BU30" s="15">
        <f>'районы НП, ЧП'!AK34</f>
        <v>59</v>
      </c>
      <c r="BV30" s="15">
        <f>'районы НП, ЧП'!AL34</f>
        <v>90.769230769230774</v>
      </c>
      <c r="BW30" s="15">
        <f>'районы НП, ЧП'!AM34</f>
        <v>192</v>
      </c>
      <c r="BX30" s="15">
        <f>'районы НП, ЧП'!AN34</f>
        <v>192</v>
      </c>
      <c r="BY30" s="15">
        <f>'районы НП, ЧП'!AO34</f>
        <v>107</v>
      </c>
      <c r="BZ30" s="15">
        <f>'районы НП, ЧП'!AP34</f>
        <v>55.729166666666664</v>
      </c>
      <c r="CA30" s="15">
        <f>'районы НП, ЧП'!AU34</f>
        <v>557</v>
      </c>
      <c r="CB30" s="15">
        <f>'районы НП, ЧП'!AV34</f>
        <v>557</v>
      </c>
      <c r="CC30" s="15">
        <f>'районы НП, ЧП'!AW34</f>
        <v>452</v>
      </c>
      <c r="CD30" s="15">
        <f>'районы НП, ЧП'!AX34</f>
        <v>81.149012567324945</v>
      </c>
      <c r="CE30" s="292">
        <f t="shared" si="1"/>
        <v>29720.591200000003</v>
      </c>
      <c r="CF30" s="292">
        <f t="shared" si="2"/>
        <v>29720.591200000003</v>
      </c>
      <c r="CG30" s="292">
        <f t="shared" si="2"/>
        <v>33341</v>
      </c>
      <c r="CH30" s="293">
        <f t="shared" si="3"/>
        <v>112.18148311935327</v>
      </c>
    </row>
    <row r="31" spans="1:87" ht="15.75" x14ac:dyDescent="0.2">
      <c r="A31" s="29" t="s">
        <v>144</v>
      </c>
      <c r="B31" s="60" t="s">
        <v>339</v>
      </c>
      <c r="C31" s="15">
        <f>КЛПУ!BS35</f>
        <v>120</v>
      </c>
      <c r="D31" s="15">
        <f>КЛПУ!BT35</f>
        <v>120</v>
      </c>
      <c r="E31" s="15">
        <f>КЛПУ!BU35</f>
        <v>15</v>
      </c>
      <c r="F31" s="15">
        <f>КЛПУ!BV35</f>
        <v>12.5</v>
      </c>
      <c r="G31" s="15">
        <f>Хабаровск!EY35</f>
        <v>17589.4215</v>
      </c>
      <c r="H31" s="15">
        <f>Хабаровск!EZ35</f>
        <v>17589.4215</v>
      </c>
      <c r="I31" s="15">
        <f>Хабаровск!FA35</f>
        <v>19456</v>
      </c>
      <c r="J31" s="15">
        <f>Хабаровск!FB35</f>
        <v>110.61193797647068</v>
      </c>
      <c r="K31" s="15">
        <f>'Хаб.р-ны'!K35</f>
        <v>401</v>
      </c>
      <c r="L31" s="15">
        <f>'Хаб.р-ны'!L35</f>
        <v>401</v>
      </c>
      <c r="M31" s="15">
        <f>'Хаб.р-ны'!M35</f>
        <v>400</v>
      </c>
      <c r="N31" s="15">
        <f>'Хаб.р-ны'!N35</f>
        <v>99.750623441396513</v>
      </c>
      <c r="O31" s="15">
        <f>'Хаб.р-ны'!AA35</f>
        <v>300</v>
      </c>
      <c r="P31" s="15">
        <f>'Хаб.р-ны'!AB35</f>
        <v>300</v>
      </c>
      <c r="Q31" s="15">
        <f>'Хаб.р-ны'!AC35</f>
        <v>437</v>
      </c>
      <c r="R31" s="15">
        <f>'Хаб.р-ны'!AD35</f>
        <v>145.66666666666669</v>
      </c>
      <c r="S31" s="15">
        <f>'Хаб.р-ны'!AU35</f>
        <v>1052</v>
      </c>
      <c r="T31" s="15">
        <f>'Хаб.р-ны'!AV35</f>
        <v>1052</v>
      </c>
      <c r="U31" s="15">
        <f>'Хаб.р-ны'!AW35</f>
        <v>887</v>
      </c>
      <c r="V31" s="15">
        <f>'Хаб.р-ны'!AX35</f>
        <v>84.315589353612168</v>
      </c>
      <c r="W31" s="15">
        <f>'Хаб.р-ны'!AY35</f>
        <v>532.48500000000001</v>
      </c>
      <c r="X31" s="15">
        <f>'Хаб.р-ны'!AZ35</f>
        <v>532.48500000000001</v>
      </c>
      <c r="Y31" s="15">
        <f>'Хаб.р-ны'!BA35</f>
        <v>502</v>
      </c>
      <c r="Z31" s="15">
        <f>'Хаб.р-ны'!BB35</f>
        <v>94.274956102049828</v>
      </c>
      <c r="AA31" s="15">
        <f>'Хаб.р-ны'!BK35</f>
        <v>1838</v>
      </c>
      <c r="AB31" s="15">
        <f>'Хаб.р-ны'!BL35</f>
        <v>1838</v>
      </c>
      <c r="AC31" s="15">
        <f>'Хаб.р-ны'!BM35</f>
        <v>2023</v>
      </c>
      <c r="AD31" s="15">
        <f>'Хаб.р-ны'!BN35</f>
        <v>110.06528835690968</v>
      </c>
      <c r="AE31" s="15">
        <f>Комсомольск!BO35</f>
        <v>7248</v>
      </c>
      <c r="AF31" s="15">
        <f>Комсомольск!BP35</f>
        <v>7248</v>
      </c>
      <c r="AG31" s="15">
        <f>Комсомольск!BQ35</f>
        <v>8518</v>
      </c>
      <c r="AH31" s="15">
        <f>Комсомольск!BR35</f>
        <v>117.52207505518764</v>
      </c>
      <c r="AI31" s="15">
        <f>'районы КП, СП'!K35</f>
        <v>700</v>
      </c>
      <c r="AJ31" s="15">
        <f>'районы КП, СП'!L35</f>
        <v>700</v>
      </c>
      <c r="AK31" s="15">
        <f>'районы КП, СП'!M35</f>
        <v>1268</v>
      </c>
      <c r="AL31" s="15">
        <f>'районы КП, СП'!N35</f>
        <v>181.14285714285714</v>
      </c>
      <c r="AM31" s="15">
        <f>'районы КП, СП'!W35</f>
        <v>760</v>
      </c>
      <c r="AN31" s="15">
        <f>'районы КП, СП'!X35</f>
        <v>760</v>
      </c>
      <c r="AO31" s="15">
        <f>'районы КП, СП'!Y35</f>
        <v>889</v>
      </c>
      <c r="AP31" s="15">
        <f>'районы КП, СП'!Z35</f>
        <v>116.97368421052632</v>
      </c>
      <c r="AQ31" s="15">
        <f>'районы КП, СП'!AA35</f>
        <v>722</v>
      </c>
      <c r="AR31" s="15">
        <f>'районы КП, СП'!AB35</f>
        <v>722</v>
      </c>
      <c r="AS31" s="15">
        <f>'районы КП, СП'!AC35</f>
        <v>742</v>
      </c>
      <c r="AT31" s="15">
        <f>'районы КП, СП'!AD35</f>
        <v>102.77008310249307</v>
      </c>
      <c r="AU31" s="15">
        <f>'районы КП, СП'!AM35</f>
        <v>596</v>
      </c>
      <c r="AV31" s="15">
        <f>'районы КП, СП'!AN35</f>
        <v>596</v>
      </c>
      <c r="AW31" s="15">
        <f>'районы КП, СП'!AO35</f>
        <v>931</v>
      </c>
      <c r="AX31" s="15">
        <f>'районы КП, СП'!AP35</f>
        <v>156.20805369127518</v>
      </c>
      <c r="AY31" s="15">
        <f>'районы КП, СП'!BC35</f>
        <v>678</v>
      </c>
      <c r="AZ31" s="15">
        <f>'районы КП, СП'!BD35</f>
        <v>678</v>
      </c>
      <c r="BA31" s="15">
        <f>'районы КП, СП'!BE35</f>
        <v>590</v>
      </c>
      <c r="BB31" s="15">
        <f>'районы КП, СП'!BF35</f>
        <v>87.020648967551622</v>
      </c>
      <c r="BC31" s="15">
        <f>'районы КП, СП'!BG35</f>
        <v>70</v>
      </c>
      <c r="BD31" s="15">
        <f>'районы КП, СП'!BH35</f>
        <v>70</v>
      </c>
      <c r="BE31" s="15">
        <f>'районы КП, СП'!BI35</f>
        <v>73</v>
      </c>
      <c r="BF31" s="15">
        <f>'районы КП, СП'!BJ35</f>
        <v>104.28571428571429</v>
      </c>
      <c r="BG31" s="15">
        <f>'районы НП, ЧП'!K35</f>
        <v>640</v>
      </c>
      <c r="BH31" s="15">
        <f>'районы НП, ЧП'!L35</f>
        <v>640</v>
      </c>
      <c r="BI31" s="15">
        <f>'районы НП, ЧП'!M35</f>
        <v>577</v>
      </c>
      <c r="BJ31" s="15">
        <f>'районы НП, ЧП'!N35</f>
        <v>90.15625</v>
      </c>
      <c r="BK31" s="15">
        <f>'районы НП, ЧП'!AA35</f>
        <v>339</v>
      </c>
      <c r="BL31" s="15">
        <f>'районы НП, ЧП'!AB35</f>
        <v>339</v>
      </c>
      <c r="BM31" s="15">
        <f>'районы НП, ЧП'!AC35</f>
        <v>425</v>
      </c>
      <c r="BN31" s="15">
        <f>'районы НП, ЧП'!AD35</f>
        <v>125.36873156342183</v>
      </c>
      <c r="BO31" s="15">
        <f>'районы НП, ЧП'!AE35</f>
        <v>28</v>
      </c>
      <c r="BP31" s="15">
        <f>'районы НП, ЧП'!AF35</f>
        <v>28</v>
      </c>
      <c r="BQ31" s="15">
        <f>'районы НП, ЧП'!AG35</f>
        <v>49</v>
      </c>
      <c r="BR31" s="15">
        <f>'районы НП, ЧП'!AH35</f>
        <v>175</v>
      </c>
      <c r="BS31" s="15">
        <f>'районы НП, ЧП'!AI35</f>
        <v>42</v>
      </c>
      <c r="BT31" s="15">
        <f>'районы НП, ЧП'!AJ35</f>
        <v>42</v>
      </c>
      <c r="BU31" s="15">
        <f>'районы НП, ЧП'!AK35</f>
        <v>81</v>
      </c>
      <c r="BV31" s="15">
        <f>'районы НП, ЧП'!AL35</f>
        <v>192.85714285714286</v>
      </c>
      <c r="BW31" s="15">
        <f>'районы НП, ЧП'!AM35</f>
        <v>233</v>
      </c>
      <c r="BX31" s="15">
        <f>'районы НП, ЧП'!AN35</f>
        <v>233</v>
      </c>
      <c r="BY31" s="15">
        <f>'районы НП, ЧП'!AO35</f>
        <v>171</v>
      </c>
      <c r="BZ31" s="15">
        <f>'районы НП, ЧП'!AP35</f>
        <v>73.39055793991416</v>
      </c>
      <c r="CA31" s="15">
        <f>'районы НП, ЧП'!AU35</f>
        <v>557</v>
      </c>
      <c r="CB31" s="15">
        <f>'районы НП, ЧП'!AV35</f>
        <v>557</v>
      </c>
      <c r="CC31" s="15">
        <f>'районы НП, ЧП'!AW35</f>
        <v>426</v>
      </c>
      <c r="CD31" s="15">
        <f>'районы НП, ЧП'!AX35</f>
        <v>76.481149012567329</v>
      </c>
      <c r="CE31" s="292">
        <f t="shared" si="1"/>
        <v>34445.906499999997</v>
      </c>
      <c r="CF31" s="292">
        <f t="shared" si="2"/>
        <v>34445.906499999997</v>
      </c>
      <c r="CG31" s="292">
        <f t="shared" si="2"/>
        <v>38460</v>
      </c>
      <c r="CH31" s="293">
        <f t="shared" si="3"/>
        <v>111.65332519264663</v>
      </c>
    </row>
    <row r="32" spans="1:87" ht="15.75" x14ac:dyDescent="0.2">
      <c r="A32" s="29" t="s">
        <v>145</v>
      </c>
      <c r="B32" s="60" t="s">
        <v>339</v>
      </c>
      <c r="C32" s="15">
        <f>КЛПУ!BS36</f>
        <v>40</v>
      </c>
      <c r="D32" s="15">
        <f>КЛПУ!BT36</f>
        <v>40</v>
      </c>
      <c r="E32" s="15">
        <f>КЛПУ!BU36</f>
        <v>2</v>
      </c>
      <c r="F32" s="15">
        <f>КЛПУ!BV36</f>
        <v>5</v>
      </c>
      <c r="G32" s="15">
        <f>Хабаровск!EY36</f>
        <v>5151</v>
      </c>
      <c r="H32" s="15">
        <f>Хабаровск!EZ36</f>
        <v>5151</v>
      </c>
      <c r="I32" s="15">
        <f>Хабаровск!FA36</f>
        <v>3773</v>
      </c>
      <c r="J32" s="15">
        <f>Хабаровск!FB36</f>
        <v>73.247913026596777</v>
      </c>
      <c r="K32" s="15">
        <f>'Хаб.р-ны'!K36</f>
        <v>150</v>
      </c>
      <c r="L32" s="15">
        <f>'Хаб.р-ны'!L36</f>
        <v>150</v>
      </c>
      <c r="M32" s="15">
        <f>'Хаб.р-ны'!M36</f>
        <v>62</v>
      </c>
      <c r="N32" s="15">
        <f>'Хаб.р-ны'!N36</f>
        <v>41.333333333333336</v>
      </c>
      <c r="O32" s="15">
        <f>'Хаб.р-ны'!AA36</f>
        <v>350</v>
      </c>
      <c r="P32" s="15">
        <f>'Хаб.р-ны'!AB36</f>
        <v>350</v>
      </c>
      <c r="Q32" s="15">
        <f>'Хаб.р-ны'!AC36</f>
        <v>126</v>
      </c>
      <c r="R32" s="15">
        <f>'Хаб.р-ны'!AD36</f>
        <v>36</v>
      </c>
      <c r="S32" s="15">
        <f>'Хаб.р-ны'!AU36</f>
        <v>276</v>
      </c>
      <c r="T32" s="15">
        <f>'Хаб.р-ны'!AV36</f>
        <v>276</v>
      </c>
      <c r="U32" s="15">
        <f>'Хаб.р-ны'!AW36</f>
        <v>177</v>
      </c>
      <c r="V32" s="15">
        <f>'Хаб.р-ны'!AX36</f>
        <v>64.130434782608688</v>
      </c>
      <c r="W32" s="15">
        <f>'Хаб.р-ны'!AY36</f>
        <v>150</v>
      </c>
      <c r="X32" s="15">
        <f>'Хаб.р-ны'!AZ36</f>
        <v>150</v>
      </c>
      <c r="Y32" s="15">
        <f>'Хаб.р-ны'!BA36</f>
        <v>142</v>
      </c>
      <c r="Z32" s="15">
        <f>'Хаб.р-ны'!BB36</f>
        <v>94.666666666666671</v>
      </c>
      <c r="AA32" s="15">
        <f>'Хаб.р-ны'!BK36</f>
        <v>475.39499999999998</v>
      </c>
      <c r="AB32" s="15">
        <f>'Хаб.р-ны'!BL36</f>
        <v>475.39499999999998</v>
      </c>
      <c r="AC32" s="15">
        <f>'Хаб.р-ны'!BM36</f>
        <v>506</v>
      </c>
      <c r="AD32" s="15">
        <f>'Хаб.р-ны'!BN36</f>
        <v>106.43780435217029</v>
      </c>
      <c r="AE32" s="15">
        <f>Комсомольск!BO36</f>
        <v>2443</v>
      </c>
      <c r="AF32" s="15">
        <f>Комсомольск!BP36</f>
        <v>2443</v>
      </c>
      <c r="AG32" s="15">
        <f>Комсомольск!BQ36</f>
        <v>1839</v>
      </c>
      <c r="AH32" s="15">
        <f>Комсомольск!BR36</f>
        <v>75.276299631600494</v>
      </c>
      <c r="AI32" s="15">
        <f>'районы КП, СП'!K36</f>
        <v>1400</v>
      </c>
      <c r="AJ32" s="15">
        <f>'районы КП, СП'!L36</f>
        <v>1400</v>
      </c>
      <c r="AK32" s="15">
        <f>'районы КП, СП'!M36</f>
        <v>233</v>
      </c>
      <c r="AL32" s="15">
        <f>'районы КП, СП'!N36</f>
        <v>16.642857142857142</v>
      </c>
      <c r="AM32" s="15">
        <f>'районы КП, СП'!W36</f>
        <v>460</v>
      </c>
      <c r="AN32" s="15">
        <f>'районы КП, СП'!X36</f>
        <v>460</v>
      </c>
      <c r="AO32" s="15">
        <f>'районы КП, СП'!Y36</f>
        <v>235</v>
      </c>
      <c r="AP32" s="15">
        <f>'районы КП, СП'!Z36</f>
        <v>51.086956521739133</v>
      </c>
      <c r="AQ32" s="15">
        <f>'районы КП, СП'!AA36</f>
        <v>218</v>
      </c>
      <c r="AR32" s="15">
        <f>'районы КП, СП'!AB36</f>
        <v>218</v>
      </c>
      <c r="AS32" s="15">
        <f>'районы КП, СП'!AC36</f>
        <v>203</v>
      </c>
      <c r="AT32" s="15">
        <f>'районы КП, СП'!AD36</f>
        <v>93.11926605504587</v>
      </c>
      <c r="AU32" s="15">
        <f>'районы КП, СП'!AM36</f>
        <v>250</v>
      </c>
      <c r="AV32" s="15">
        <f>'районы КП, СП'!AN36</f>
        <v>250</v>
      </c>
      <c r="AW32" s="15">
        <f>'районы КП, СП'!AO36</f>
        <v>203</v>
      </c>
      <c r="AX32" s="15">
        <f>'районы КП, СП'!AP36</f>
        <v>81.2</v>
      </c>
      <c r="AY32" s="15">
        <f>'районы КП, СП'!BC36</f>
        <v>241</v>
      </c>
      <c r="AZ32" s="15">
        <f>'районы КП, СП'!BD36</f>
        <v>241</v>
      </c>
      <c r="BA32" s="15">
        <f>'районы КП, СП'!BE36</f>
        <v>153</v>
      </c>
      <c r="BB32" s="15">
        <f>'районы КП, СП'!BF36</f>
        <v>63.485477178423231</v>
      </c>
      <c r="BC32" s="15">
        <f>'районы КП, СП'!BG36</f>
        <v>20</v>
      </c>
      <c r="BD32" s="15">
        <f>'районы КП, СП'!BH36</f>
        <v>20</v>
      </c>
      <c r="BE32" s="15">
        <f>'районы КП, СП'!BI36</f>
        <v>18</v>
      </c>
      <c r="BF32" s="15">
        <f>'районы КП, СП'!BJ36</f>
        <v>90</v>
      </c>
      <c r="BG32" s="15">
        <f>'районы НП, ЧП'!K36</f>
        <v>315.375</v>
      </c>
      <c r="BH32" s="15">
        <f>'районы НП, ЧП'!L36</f>
        <v>315.375</v>
      </c>
      <c r="BI32" s="15">
        <f>'районы НП, ЧП'!M36</f>
        <v>210</v>
      </c>
      <c r="BJ32" s="15">
        <f>'районы НП, ЧП'!N36</f>
        <v>66.58739595719382</v>
      </c>
      <c r="BK32" s="15">
        <f>'районы НП, ЧП'!AA36</f>
        <v>424</v>
      </c>
      <c r="BL32" s="15">
        <f>'районы НП, ЧП'!AB36</f>
        <v>424</v>
      </c>
      <c r="BM32" s="15">
        <f>'районы НП, ЧП'!AC36</f>
        <v>130</v>
      </c>
      <c r="BN32" s="15">
        <f>'районы НП, ЧП'!AD36</f>
        <v>30.660377358490564</v>
      </c>
      <c r="BO32" s="15">
        <f>'районы НП, ЧП'!AE36</f>
        <v>36</v>
      </c>
      <c r="BP32" s="15">
        <f>'районы НП, ЧП'!AF36</f>
        <v>36</v>
      </c>
      <c r="BQ32" s="15">
        <f>'районы НП, ЧП'!AG36</f>
        <v>11</v>
      </c>
      <c r="BR32" s="15">
        <f>'районы НП, ЧП'!AH36</f>
        <v>30.555555555555557</v>
      </c>
      <c r="BS32" s="15">
        <f>'районы НП, ЧП'!AI36</f>
        <v>18</v>
      </c>
      <c r="BT32" s="15">
        <f>'районы НП, ЧП'!AJ36</f>
        <v>18</v>
      </c>
      <c r="BU32" s="15">
        <f>'районы НП, ЧП'!AK36</f>
        <v>16</v>
      </c>
      <c r="BV32" s="15">
        <f>'районы НП, ЧП'!AL36</f>
        <v>88.888888888888886</v>
      </c>
      <c r="BW32" s="15">
        <f>'районы НП, ЧП'!AM36</f>
        <v>150</v>
      </c>
      <c r="BX32" s="15">
        <f>'районы НП, ЧП'!AN36</f>
        <v>150</v>
      </c>
      <c r="BY32" s="15">
        <f>'районы НП, ЧП'!AO36</f>
        <v>42</v>
      </c>
      <c r="BZ32" s="15">
        <f>'районы НП, ЧП'!AP36</f>
        <v>28.000000000000004</v>
      </c>
      <c r="CA32" s="15">
        <f>'районы НП, ЧП'!AU36</f>
        <v>150</v>
      </c>
      <c r="CB32" s="15">
        <f>'районы НП, ЧП'!AV36</f>
        <v>150</v>
      </c>
      <c r="CC32" s="15">
        <f>'районы НП, ЧП'!AW36</f>
        <v>119</v>
      </c>
      <c r="CD32" s="15">
        <f>'районы НП, ЧП'!AX36</f>
        <v>79.333333333333329</v>
      </c>
      <c r="CE32" s="292">
        <f t="shared" si="1"/>
        <v>12717.77</v>
      </c>
      <c r="CF32" s="292">
        <f t="shared" si="2"/>
        <v>12717.77</v>
      </c>
      <c r="CG32" s="292">
        <f t="shared" si="2"/>
        <v>8200</v>
      </c>
      <c r="CH32" s="293">
        <f t="shared" si="3"/>
        <v>64.476712505415648</v>
      </c>
    </row>
    <row r="33" spans="1:87" ht="15.75" x14ac:dyDescent="0.2">
      <c r="A33" s="29" t="s">
        <v>146</v>
      </c>
      <c r="B33" s="60" t="s">
        <v>339</v>
      </c>
      <c r="C33" s="15">
        <f>КЛПУ!BS37</f>
        <v>240</v>
      </c>
      <c r="D33" s="15">
        <f>КЛПУ!BT37</f>
        <v>240</v>
      </c>
      <c r="E33" s="15">
        <f>КЛПУ!BU37</f>
        <v>27</v>
      </c>
      <c r="F33" s="15">
        <f>КЛПУ!BV37</f>
        <v>11.25</v>
      </c>
      <c r="G33" s="15">
        <f>Хабаровск!EY37</f>
        <v>6768.7885000000006</v>
      </c>
      <c r="H33" s="15">
        <f>Хабаровск!EZ37</f>
        <v>6768.7885000000006</v>
      </c>
      <c r="I33" s="15">
        <f>Хабаровск!FA37</f>
        <v>5261</v>
      </c>
      <c r="J33" s="15">
        <f>Хабаровск!FB37</f>
        <v>77.724396322916562</v>
      </c>
      <c r="K33" s="15">
        <f>'Хаб.р-ны'!K37</f>
        <v>150</v>
      </c>
      <c r="L33" s="15">
        <f>'Хаб.р-ны'!L37</f>
        <v>150</v>
      </c>
      <c r="M33" s="15">
        <f>'Хаб.р-ны'!M37</f>
        <v>80</v>
      </c>
      <c r="N33" s="15">
        <f>'Хаб.р-ны'!N37</f>
        <v>53.333333333333336</v>
      </c>
      <c r="O33" s="15">
        <f>'Хаб.р-ны'!AA37</f>
        <v>300</v>
      </c>
      <c r="P33" s="15">
        <f>'Хаб.р-ны'!AB37</f>
        <v>300</v>
      </c>
      <c r="Q33" s="15">
        <f>'Хаб.р-ны'!AC37</f>
        <v>133</v>
      </c>
      <c r="R33" s="15">
        <f>'Хаб.р-ны'!AD37</f>
        <v>44.333333333333336</v>
      </c>
      <c r="S33" s="15">
        <f>'Хаб.р-ны'!AU37</f>
        <v>356</v>
      </c>
      <c r="T33" s="15">
        <f>'Хаб.р-ны'!AV37</f>
        <v>356</v>
      </c>
      <c r="U33" s="15">
        <f>'Хаб.р-ны'!AW37</f>
        <v>256</v>
      </c>
      <c r="V33" s="15">
        <f>'Хаб.р-ны'!AX37</f>
        <v>71.910112359550567</v>
      </c>
      <c r="W33" s="15">
        <f>'Хаб.р-ны'!AY37</f>
        <v>160</v>
      </c>
      <c r="X33" s="15">
        <f>'Хаб.р-ны'!AZ37</f>
        <v>160</v>
      </c>
      <c r="Y33" s="15">
        <f>'Хаб.р-ны'!BA37</f>
        <v>205</v>
      </c>
      <c r="Z33" s="15">
        <f>'Хаб.р-ны'!BB37</f>
        <v>128.125</v>
      </c>
      <c r="AA33" s="15">
        <f>'Хаб.р-ны'!BK37</f>
        <v>633.36500000000001</v>
      </c>
      <c r="AB33" s="15">
        <f>'Хаб.р-ны'!BL37</f>
        <v>633.36500000000001</v>
      </c>
      <c r="AC33" s="15">
        <f>'Хаб.р-ны'!BM37</f>
        <v>648</v>
      </c>
      <c r="AD33" s="15">
        <f>'Хаб.р-ны'!BN37</f>
        <v>102.31067393998721</v>
      </c>
      <c r="AE33" s="15">
        <f>Комсомольск!BO37</f>
        <v>3006</v>
      </c>
      <c r="AF33" s="15">
        <f>Комсомольск!BP37</f>
        <v>3006</v>
      </c>
      <c r="AG33" s="15">
        <f>Комсомольск!BQ37</f>
        <v>2222</v>
      </c>
      <c r="AH33" s="15">
        <f>Комсомольск!BR37</f>
        <v>73.918829008649368</v>
      </c>
      <c r="AI33" s="15">
        <f>'районы КП, СП'!K37</f>
        <v>1400</v>
      </c>
      <c r="AJ33" s="15">
        <f>'районы КП, СП'!L37</f>
        <v>1400</v>
      </c>
      <c r="AK33" s="15">
        <f>'районы КП, СП'!M37</f>
        <v>339</v>
      </c>
      <c r="AL33" s="15">
        <f>'районы КП, СП'!N37</f>
        <v>24.214285714285712</v>
      </c>
      <c r="AM33" s="15">
        <f>'районы КП, СП'!W37</f>
        <v>450</v>
      </c>
      <c r="AN33" s="15">
        <f>'районы КП, СП'!X37</f>
        <v>450</v>
      </c>
      <c r="AO33" s="15">
        <f>'районы КП, СП'!Y37</f>
        <v>328</v>
      </c>
      <c r="AP33" s="15">
        <f>'районы КП, СП'!Z37</f>
        <v>72.888888888888886</v>
      </c>
      <c r="AQ33" s="15">
        <f>'районы КП, СП'!AA37</f>
        <v>285</v>
      </c>
      <c r="AR33" s="15">
        <f>'районы КП, СП'!AB37</f>
        <v>285</v>
      </c>
      <c r="AS33" s="15">
        <f>'районы КП, СП'!AC37</f>
        <v>246</v>
      </c>
      <c r="AT33" s="15">
        <f>'районы КП, СП'!AD37</f>
        <v>86.31578947368422</v>
      </c>
      <c r="AU33" s="15">
        <f>'районы КП, СП'!AM37</f>
        <v>302</v>
      </c>
      <c r="AV33" s="15">
        <f>'районы КП, СП'!AN37</f>
        <v>302</v>
      </c>
      <c r="AW33" s="15">
        <f>'районы КП, СП'!AO37</f>
        <v>343</v>
      </c>
      <c r="AX33" s="15">
        <f>'районы КП, СП'!AP37</f>
        <v>113.57615894039735</v>
      </c>
      <c r="AY33" s="15">
        <f>'районы КП, СП'!BC37</f>
        <v>251</v>
      </c>
      <c r="AZ33" s="15">
        <f>'районы КП, СП'!BD37</f>
        <v>251</v>
      </c>
      <c r="BA33" s="15">
        <f>'районы КП, СП'!BE37</f>
        <v>231</v>
      </c>
      <c r="BB33" s="15">
        <f>'районы КП, СП'!BF37</f>
        <v>92.031872509960152</v>
      </c>
      <c r="BC33" s="15">
        <f>'районы КП, СП'!BG37</f>
        <v>35</v>
      </c>
      <c r="BD33" s="15">
        <f>'районы КП, СП'!BH37</f>
        <v>35</v>
      </c>
      <c r="BE33" s="15">
        <f>'районы КП, СП'!BI37</f>
        <v>34</v>
      </c>
      <c r="BF33" s="15">
        <f>'районы КП, СП'!BJ37</f>
        <v>97.142857142857139</v>
      </c>
      <c r="BG33" s="15">
        <f>'районы НП, ЧП'!K37</f>
        <v>437.25</v>
      </c>
      <c r="BH33" s="15">
        <f>'районы НП, ЧП'!L37</f>
        <v>437.25</v>
      </c>
      <c r="BI33" s="15">
        <f>'районы НП, ЧП'!M37</f>
        <v>258</v>
      </c>
      <c r="BJ33" s="15">
        <f>'районы НП, ЧП'!N37</f>
        <v>59.005145797598622</v>
      </c>
      <c r="BK33" s="15">
        <f>'районы НП, ЧП'!AA37</f>
        <v>429</v>
      </c>
      <c r="BL33" s="15">
        <f>'районы НП, ЧП'!AB37</f>
        <v>429</v>
      </c>
      <c r="BM33" s="15">
        <f>'районы НП, ЧП'!AC37</f>
        <v>138</v>
      </c>
      <c r="BN33" s="15">
        <f>'районы НП, ЧП'!AD37</f>
        <v>32.167832167832167</v>
      </c>
      <c r="BO33" s="15">
        <f>'районы НП, ЧП'!AE37</f>
        <v>25</v>
      </c>
      <c r="BP33" s="15">
        <f>'районы НП, ЧП'!AF37</f>
        <v>25</v>
      </c>
      <c r="BQ33" s="15">
        <f>'районы НП, ЧП'!AG37</f>
        <v>14</v>
      </c>
      <c r="BR33" s="15">
        <f>'районы НП, ЧП'!AH37</f>
        <v>56.000000000000007</v>
      </c>
      <c r="BS33" s="15">
        <f>'районы НП, ЧП'!AI37</f>
        <v>23</v>
      </c>
      <c r="BT33" s="15">
        <f>'районы НП, ЧП'!AJ37</f>
        <v>23</v>
      </c>
      <c r="BU33" s="15">
        <f>'районы НП, ЧП'!AK37</f>
        <v>18</v>
      </c>
      <c r="BV33" s="15">
        <f>'районы НП, ЧП'!AL37</f>
        <v>78.260869565217391</v>
      </c>
      <c r="BW33" s="15">
        <f>'районы НП, ЧП'!AM37</f>
        <v>151</v>
      </c>
      <c r="BX33" s="15">
        <f>'районы НП, ЧП'!AN37</f>
        <v>151</v>
      </c>
      <c r="BY33" s="15">
        <f>'районы НП, ЧП'!AO37</f>
        <v>50</v>
      </c>
      <c r="BZ33" s="15">
        <f>'районы НП, ЧП'!AP37</f>
        <v>33.112582781456958</v>
      </c>
      <c r="CA33" s="15">
        <f>'районы НП, ЧП'!AU37</f>
        <v>150</v>
      </c>
      <c r="CB33" s="15">
        <f>'районы НП, ЧП'!AV37</f>
        <v>150</v>
      </c>
      <c r="CC33" s="15">
        <f>'районы НП, ЧП'!AW37</f>
        <v>112</v>
      </c>
      <c r="CD33" s="15">
        <f>'районы НП, ЧП'!AX37</f>
        <v>74.666666666666671</v>
      </c>
      <c r="CE33" s="292">
        <f t="shared" si="1"/>
        <v>15552.4035</v>
      </c>
      <c r="CF33" s="292">
        <f t="shared" si="2"/>
        <v>15552.4035</v>
      </c>
      <c r="CG33" s="292">
        <f t="shared" si="2"/>
        <v>10943</v>
      </c>
      <c r="CH33" s="293">
        <f t="shared" si="3"/>
        <v>70.362114768948743</v>
      </c>
    </row>
    <row r="34" spans="1:87" ht="15.75" x14ac:dyDescent="0.2">
      <c r="A34" s="29" t="s">
        <v>147</v>
      </c>
      <c r="B34" s="60" t="s">
        <v>339</v>
      </c>
      <c r="C34" s="15">
        <f>КЛПУ!BS38</f>
        <v>90</v>
      </c>
      <c r="D34" s="15">
        <f>КЛПУ!BT38</f>
        <v>90</v>
      </c>
      <c r="E34" s="15">
        <f>КЛПУ!BU38</f>
        <v>146</v>
      </c>
      <c r="F34" s="15">
        <f>КЛПУ!BV38</f>
        <v>162.22222222222223</v>
      </c>
      <c r="G34" s="15">
        <f>Хабаровск!EY38</f>
        <v>18170</v>
      </c>
      <c r="H34" s="15">
        <f>Хабаровск!EZ38</f>
        <v>18170</v>
      </c>
      <c r="I34" s="15">
        <f>Хабаровск!FA38</f>
        <v>16899</v>
      </c>
      <c r="J34" s="15">
        <f>Хабаровск!FB38</f>
        <v>93.004953219592736</v>
      </c>
      <c r="K34" s="15">
        <f>'Хаб.р-ны'!K38</f>
        <v>200</v>
      </c>
      <c r="L34" s="15">
        <f>'Хаб.р-ны'!L38</f>
        <v>200</v>
      </c>
      <c r="M34" s="15">
        <f>'Хаб.р-ны'!M38</f>
        <v>301</v>
      </c>
      <c r="N34" s="15">
        <f>'Хаб.р-ны'!N38</f>
        <v>150.5</v>
      </c>
      <c r="O34" s="15">
        <f>'Хаб.р-ны'!AA38</f>
        <v>300</v>
      </c>
      <c r="P34" s="15">
        <f>'Хаб.р-ны'!AB38</f>
        <v>300</v>
      </c>
      <c r="Q34" s="15">
        <f>'Хаб.р-ны'!AC38</f>
        <v>372</v>
      </c>
      <c r="R34" s="15">
        <f>'Хаб.р-ны'!AD38</f>
        <v>124</v>
      </c>
      <c r="S34" s="15">
        <f>'Хаб.р-ны'!AU38</f>
        <v>966</v>
      </c>
      <c r="T34" s="15">
        <f>'Хаб.р-ны'!AV38</f>
        <v>966</v>
      </c>
      <c r="U34" s="15">
        <f>'Хаб.р-ны'!AW38</f>
        <v>969</v>
      </c>
      <c r="V34" s="15">
        <f>'Хаб.р-ны'!AX38</f>
        <v>100.31055900621118</v>
      </c>
      <c r="W34" s="15">
        <f>'Хаб.р-ны'!AY38</f>
        <v>613</v>
      </c>
      <c r="X34" s="15">
        <f>'Хаб.р-ны'!AZ38</f>
        <v>613</v>
      </c>
      <c r="Y34" s="15">
        <f>'Хаб.р-ны'!BA38</f>
        <v>631</v>
      </c>
      <c r="Z34" s="15">
        <f>'Хаб.р-ны'!BB38</f>
        <v>102.93637846655793</v>
      </c>
      <c r="AA34" s="15">
        <f>'Хаб.р-ны'!BK38</f>
        <v>2372.9643999999998</v>
      </c>
      <c r="AB34" s="15">
        <f>'Хаб.р-ны'!BL38</f>
        <v>2372.9643999999998</v>
      </c>
      <c r="AC34" s="15">
        <f>'Хаб.р-ны'!BM38</f>
        <v>2212</v>
      </c>
      <c r="AD34" s="15">
        <f>'Хаб.р-ны'!BN38</f>
        <v>93.216737680514726</v>
      </c>
      <c r="AE34" s="15">
        <f>Комсомольск!BO38</f>
        <v>8309</v>
      </c>
      <c r="AF34" s="15">
        <f>Комсомольск!BP38</f>
        <v>8309</v>
      </c>
      <c r="AG34" s="15">
        <f>Комсомольск!BQ38</f>
        <v>7550</v>
      </c>
      <c r="AH34" s="15">
        <f>Комсомольск!BR38</f>
        <v>90.865326754122037</v>
      </c>
      <c r="AI34" s="15">
        <f>'районы КП, СП'!K38</f>
        <v>1120</v>
      </c>
      <c r="AJ34" s="15">
        <f>'районы КП, СП'!L38</f>
        <v>1120</v>
      </c>
      <c r="AK34" s="15">
        <f>'районы КП, СП'!M38</f>
        <v>1430</v>
      </c>
      <c r="AL34" s="15">
        <f>'районы КП, СП'!N38</f>
        <v>127.67857142857142</v>
      </c>
      <c r="AM34" s="15">
        <f>'районы КП, СП'!W38</f>
        <v>745</v>
      </c>
      <c r="AN34" s="15">
        <f>'районы КП, СП'!X38</f>
        <v>745</v>
      </c>
      <c r="AO34" s="15">
        <f>'районы КП, СП'!Y38</f>
        <v>874</v>
      </c>
      <c r="AP34" s="15">
        <f>'районы КП, СП'!Z38</f>
        <v>117.31543624161074</v>
      </c>
      <c r="AQ34" s="15">
        <f>'районы КП, СП'!AA38</f>
        <v>796</v>
      </c>
      <c r="AR34" s="15">
        <f>'районы КП, СП'!AB38</f>
        <v>796</v>
      </c>
      <c r="AS34" s="15">
        <f>'районы КП, СП'!AC38</f>
        <v>827</v>
      </c>
      <c r="AT34" s="15">
        <f>'районы КП, СП'!AD38</f>
        <v>103.89447236180904</v>
      </c>
      <c r="AU34" s="15">
        <f>'районы КП, СП'!AM38</f>
        <v>1750</v>
      </c>
      <c r="AV34" s="15">
        <f>'районы КП, СП'!AN38</f>
        <v>1750</v>
      </c>
      <c r="AW34" s="15">
        <f>'районы КП, СП'!AO38</f>
        <v>1095</v>
      </c>
      <c r="AX34" s="15">
        <f>'районы КП, СП'!AP38</f>
        <v>62.571428571428569</v>
      </c>
      <c r="AY34" s="15">
        <f>'районы КП, СП'!BC38</f>
        <v>737</v>
      </c>
      <c r="AZ34" s="15">
        <f>'районы КП, СП'!BD38</f>
        <v>737</v>
      </c>
      <c r="BA34" s="15">
        <f>'районы КП, СП'!BE38</f>
        <v>780</v>
      </c>
      <c r="BB34" s="15">
        <f>'районы КП, СП'!BF38</f>
        <v>105.83446404341927</v>
      </c>
      <c r="BC34" s="15">
        <f>'районы КП, СП'!BG38</f>
        <v>80</v>
      </c>
      <c r="BD34" s="15">
        <f>'районы КП, СП'!BH38</f>
        <v>80</v>
      </c>
      <c r="BE34" s="15">
        <f>'районы КП, СП'!BI38</f>
        <v>101</v>
      </c>
      <c r="BF34" s="15">
        <f>'районы КП, СП'!BJ38</f>
        <v>126.25</v>
      </c>
      <c r="BG34" s="15">
        <f>'районы НП, ЧП'!K38</f>
        <v>748.75</v>
      </c>
      <c r="BH34" s="15">
        <f>'районы НП, ЧП'!L38</f>
        <v>748.75</v>
      </c>
      <c r="BI34" s="15">
        <f>'районы НП, ЧП'!M38</f>
        <v>915</v>
      </c>
      <c r="BJ34" s="15">
        <f>'районы НП, ЧП'!N38</f>
        <v>122.20367278797997</v>
      </c>
      <c r="BK34" s="15">
        <f>'районы НП, ЧП'!AA38</f>
        <v>459</v>
      </c>
      <c r="BL34" s="15">
        <f>'районы НП, ЧП'!AB38</f>
        <v>459</v>
      </c>
      <c r="BM34" s="15">
        <f>'районы НП, ЧП'!AC38</f>
        <v>577</v>
      </c>
      <c r="BN34" s="15">
        <f>'районы НП, ЧП'!AD38</f>
        <v>125.70806100217864</v>
      </c>
      <c r="BO34" s="15">
        <f>'районы НП, ЧП'!AE38</f>
        <v>66</v>
      </c>
      <c r="BP34" s="15">
        <f>'районы НП, ЧП'!AF38</f>
        <v>66</v>
      </c>
      <c r="BQ34" s="15">
        <f>'районы НП, ЧП'!AG38</f>
        <v>65</v>
      </c>
      <c r="BR34" s="15">
        <f>'районы НП, ЧП'!AH38</f>
        <v>98.484848484848484</v>
      </c>
      <c r="BS34" s="15">
        <f>'районы НП, ЧП'!AI38</f>
        <v>65</v>
      </c>
      <c r="BT34" s="15">
        <f>'районы НП, ЧП'!AJ38</f>
        <v>65</v>
      </c>
      <c r="BU34" s="15">
        <f>'районы НП, ЧП'!AK38</f>
        <v>53</v>
      </c>
      <c r="BV34" s="15">
        <f>'районы НП, ЧП'!AL38</f>
        <v>81.538461538461533</v>
      </c>
      <c r="BW34" s="15">
        <f>'районы НП, ЧП'!AM38</f>
        <v>34</v>
      </c>
      <c r="BX34" s="15">
        <f>'районы НП, ЧП'!AN38</f>
        <v>34</v>
      </c>
      <c r="BY34" s="15">
        <f>'районы НП, ЧП'!AO38</f>
        <v>174</v>
      </c>
      <c r="BZ34" s="15">
        <f>'районы НП, ЧП'!AP38</f>
        <v>511.76470588235293</v>
      </c>
      <c r="CA34" s="15">
        <f>'районы НП, ЧП'!AU38</f>
        <v>400</v>
      </c>
      <c r="CB34" s="15">
        <f>'районы НП, ЧП'!AV38</f>
        <v>400</v>
      </c>
      <c r="CC34" s="15">
        <f>'районы НП, ЧП'!AW38</f>
        <v>439</v>
      </c>
      <c r="CD34" s="15">
        <f>'районы НП, ЧП'!AX38</f>
        <v>109.74999999999999</v>
      </c>
      <c r="CE34" s="292">
        <f t="shared" si="1"/>
        <v>38021.714399999997</v>
      </c>
      <c r="CF34" s="292">
        <f t="shared" si="2"/>
        <v>38021.714399999997</v>
      </c>
      <c r="CG34" s="292">
        <f t="shared" si="2"/>
        <v>36410</v>
      </c>
      <c r="CH34" s="293">
        <f t="shared" si="3"/>
        <v>95.761068575066673</v>
      </c>
    </row>
    <row r="35" spans="1:87" s="341" customFormat="1" ht="31.5" x14ac:dyDescent="0.2">
      <c r="A35" s="340" t="s">
        <v>342</v>
      </c>
      <c r="B35" s="60" t="s">
        <v>339</v>
      </c>
      <c r="C35" s="15">
        <f>КЛПУ!BS39</f>
        <v>600</v>
      </c>
      <c r="D35" s="15">
        <f>КЛПУ!BT39</f>
        <v>600</v>
      </c>
      <c r="E35" s="15">
        <f>КЛПУ!BU39</f>
        <v>46</v>
      </c>
      <c r="F35" s="15">
        <f>КЛПУ!BV39</f>
        <v>7.6666666666666661</v>
      </c>
      <c r="G35" s="15">
        <f>Хабаровск!EY39</f>
        <v>27975</v>
      </c>
      <c r="H35" s="15">
        <f>Хабаровск!EZ39</f>
        <v>27975</v>
      </c>
      <c r="I35" s="15">
        <f>Хабаровск!FA39</f>
        <v>14580</v>
      </c>
      <c r="J35" s="15">
        <f>Хабаровск!FB39</f>
        <v>52.117962466487931</v>
      </c>
      <c r="K35" s="15">
        <f>'Хаб.р-ны'!K39</f>
        <v>520</v>
      </c>
      <c r="L35" s="15">
        <f>'Хаб.р-ны'!L39</f>
        <v>520</v>
      </c>
      <c r="M35" s="15">
        <f>'Хаб.р-ны'!M39</f>
        <v>218</v>
      </c>
      <c r="N35" s="15">
        <f>'Хаб.р-ны'!N39</f>
        <v>41.923076923076927</v>
      </c>
      <c r="O35" s="15">
        <f>'Хаб.р-ны'!AA39</f>
        <v>300</v>
      </c>
      <c r="P35" s="15">
        <f>'Хаб.р-ны'!AB39</f>
        <v>300</v>
      </c>
      <c r="Q35" s="15">
        <f>'Хаб.р-ны'!AC39</f>
        <v>150</v>
      </c>
      <c r="R35" s="15">
        <f>'Хаб.р-ны'!AD39</f>
        <v>50</v>
      </c>
      <c r="S35" s="15">
        <f>'Хаб.р-ны'!AU39</f>
        <v>1548</v>
      </c>
      <c r="T35" s="15">
        <f>'Хаб.р-ны'!AV39</f>
        <v>1548</v>
      </c>
      <c r="U35" s="15">
        <f>'Хаб.р-ны'!AW39</f>
        <v>871</v>
      </c>
      <c r="V35" s="15">
        <f>'Хаб.р-ны'!AX39</f>
        <v>56.26614987080103</v>
      </c>
      <c r="W35" s="15">
        <f>'Хаб.р-ны'!AY39</f>
        <v>742</v>
      </c>
      <c r="X35" s="15">
        <f>'Хаб.р-ны'!AZ39</f>
        <v>742</v>
      </c>
      <c r="Y35" s="15">
        <f>'Хаб.р-ны'!BA39</f>
        <v>334</v>
      </c>
      <c r="Z35" s="15">
        <f>'Хаб.р-ны'!BB39</f>
        <v>107.81671159029649</v>
      </c>
      <c r="AA35" s="15">
        <f>'Хаб.р-ны'!BK39</f>
        <v>3564.6750000000002</v>
      </c>
      <c r="AB35" s="15">
        <f>'Хаб.р-ны'!BL39</f>
        <v>3564.6750000000002</v>
      </c>
      <c r="AC35" s="15">
        <f>'Хаб.р-ны'!BM39</f>
        <v>2016</v>
      </c>
      <c r="AD35" s="15">
        <f>'Хаб.р-ны'!BN39</f>
        <v>56.554945401754722</v>
      </c>
      <c r="AE35" s="15">
        <f>Комсомольск!BO39</f>
        <v>14310</v>
      </c>
      <c r="AF35" s="15">
        <f>Комсомольск!BP39</f>
        <v>14310</v>
      </c>
      <c r="AG35" s="15">
        <f>Комсомольск!BQ39</f>
        <v>7751</v>
      </c>
      <c r="AH35" s="15">
        <f>Комсомольск!BR39</f>
        <v>54.164919636617746</v>
      </c>
      <c r="AI35" s="15">
        <f>'районы КП, СП'!K39</f>
        <v>1680</v>
      </c>
      <c r="AJ35" s="15">
        <f>'районы КП, СП'!L39</f>
        <v>1680</v>
      </c>
      <c r="AK35" s="15">
        <f>'районы КП, СП'!M39</f>
        <v>1228</v>
      </c>
      <c r="AL35" s="15">
        <f>'районы КП, СП'!N39</f>
        <v>73.095238095238088</v>
      </c>
      <c r="AM35" s="15">
        <f>'районы КП, СП'!W39</f>
        <v>985</v>
      </c>
      <c r="AN35" s="15">
        <f>'районы КП, СП'!X39</f>
        <v>985</v>
      </c>
      <c r="AO35" s="15">
        <f>'районы КП, СП'!Y39</f>
        <v>393</v>
      </c>
      <c r="AP35" s="15">
        <f>'районы КП, СП'!Z39</f>
        <v>39.898477157360404</v>
      </c>
      <c r="AQ35" s="15">
        <f>'районы КП, СП'!AA39</f>
        <v>1190</v>
      </c>
      <c r="AR35" s="15">
        <f>'районы КП, СП'!AB39</f>
        <v>1190</v>
      </c>
      <c r="AS35" s="15">
        <f>'районы КП, СП'!AC39</f>
        <v>681</v>
      </c>
      <c r="AT35" s="15">
        <f>'районы КП, СП'!AD39</f>
        <v>91.932773109243698</v>
      </c>
      <c r="AU35" s="15">
        <f>'районы КП, СП'!AM39</f>
        <v>1850</v>
      </c>
      <c r="AV35" s="15">
        <f>'районы КП, СП'!AN39</f>
        <v>1850</v>
      </c>
      <c r="AW35" s="15">
        <f>'районы КП, СП'!AO39</f>
        <v>941</v>
      </c>
      <c r="AX35" s="15">
        <f>'районы КП, СП'!AP39</f>
        <v>50.86486486486487</v>
      </c>
      <c r="AY35" s="15">
        <f>'районы КП, СП'!BC39</f>
        <v>865</v>
      </c>
      <c r="AZ35" s="15">
        <f>'районы КП, СП'!BD39</f>
        <v>865</v>
      </c>
      <c r="BA35" s="15">
        <f>'районы КП, СП'!BE39</f>
        <v>575</v>
      </c>
      <c r="BB35" s="15">
        <f>'районы КП, СП'!BF39</f>
        <v>66.473988439306353</v>
      </c>
      <c r="BC35" s="15">
        <f>'районы КП, СП'!BG39</f>
        <v>80</v>
      </c>
      <c r="BD35" s="15">
        <f>'районы КП, СП'!BH39</f>
        <v>80</v>
      </c>
      <c r="BE35" s="15">
        <f>'районы КП, СП'!BI39</f>
        <v>69</v>
      </c>
      <c r="BF35" s="15">
        <f>'районы КП, СП'!BJ39</f>
        <v>196.25</v>
      </c>
      <c r="BG35" s="15">
        <f>'районы НП, ЧП'!K39</f>
        <v>1052</v>
      </c>
      <c r="BH35" s="15">
        <f>'районы НП, ЧП'!L39</f>
        <v>1052</v>
      </c>
      <c r="BI35" s="15">
        <f>'районы НП, ЧП'!M39</f>
        <v>743</v>
      </c>
      <c r="BJ35" s="15">
        <f>'районы НП, ЧП'!N39</f>
        <v>70.627376425855516</v>
      </c>
      <c r="BK35" s="15">
        <f>'районы НП, ЧП'!AA39</f>
        <v>504</v>
      </c>
      <c r="BL35" s="15">
        <f>'районы НП, ЧП'!AB39</f>
        <v>504</v>
      </c>
      <c r="BM35" s="15">
        <f>'районы НП, ЧП'!AC39</f>
        <v>162</v>
      </c>
      <c r="BN35" s="15">
        <f>'районы НП, ЧП'!AD39</f>
        <v>32.142857142857146</v>
      </c>
      <c r="BO35" s="15">
        <f>'районы НП, ЧП'!AE39</f>
        <v>62</v>
      </c>
      <c r="BP35" s="15">
        <f>'районы НП, ЧП'!AF39</f>
        <v>62</v>
      </c>
      <c r="BQ35" s="15">
        <f>'районы НП, ЧП'!AG39</f>
        <v>31</v>
      </c>
      <c r="BR35" s="15">
        <f>'районы НП, ЧП'!AH39</f>
        <v>129.03225806451613</v>
      </c>
      <c r="BS35" s="15">
        <f>'районы НП, ЧП'!AI39</f>
        <v>87</v>
      </c>
      <c r="BT35" s="15">
        <f>'районы НП, ЧП'!AJ39</f>
        <v>87</v>
      </c>
      <c r="BU35" s="15">
        <f>'районы НП, ЧП'!AK39</f>
        <v>56</v>
      </c>
      <c r="BV35" s="15">
        <f>'районы НП, ЧП'!AL39</f>
        <v>114.94252873563218</v>
      </c>
      <c r="BW35" s="15">
        <f>'районы НП, ЧП'!AM39</f>
        <v>40</v>
      </c>
      <c r="BX35" s="15">
        <f>'районы НП, ЧП'!AN39</f>
        <v>40</v>
      </c>
      <c r="BY35" s="15">
        <f>'районы НП, ЧП'!AO39</f>
        <v>146</v>
      </c>
      <c r="BZ35" s="15">
        <f>'районы НП, ЧП'!AP39</f>
        <v>675</v>
      </c>
      <c r="CA35" s="15">
        <f>'районы НП, ЧП'!AU39</f>
        <v>571</v>
      </c>
      <c r="CB35" s="15">
        <f>'районы НП, ЧП'!AV39</f>
        <v>571</v>
      </c>
      <c r="CC35" s="15">
        <f>'районы НП, ЧП'!AW39</f>
        <v>94</v>
      </c>
      <c r="CD35" s="15">
        <f>'районы НП, ЧП'!AX39</f>
        <v>97.197898423817861</v>
      </c>
      <c r="CE35" s="292">
        <f t="shared" si="1"/>
        <v>58525.675000000003</v>
      </c>
      <c r="CF35" s="292">
        <f t="shared" si="2"/>
        <v>58525.675000000003</v>
      </c>
      <c r="CG35" s="292">
        <f t="shared" si="2"/>
        <v>31085</v>
      </c>
      <c r="CH35" s="293">
        <f t="shared" si="3"/>
        <v>53.113441237542325</v>
      </c>
    </row>
    <row r="36" spans="1:87" ht="31.5" x14ac:dyDescent="0.2">
      <c r="A36" s="338" t="s">
        <v>343</v>
      </c>
      <c r="B36" s="60" t="s">
        <v>339</v>
      </c>
      <c r="C36" s="15">
        <f>КЛПУ!BS40</f>
        <v>0</v>
      </c>
      <c r="D36" s="15">
        <f>КЛПУ!BT40</f>
        <v>0</v>
      </c>
      <c r="E36" s="15">
        <f>КЛПУ!BU40</f>
        <v>80</v>
      </c>
      <c r="F36" s="15">
        <f>КЛПУ!BV40</f>
        <v>0</v>
      </c>
      <c r="G36" s="15">
        <f>Хабаровск!EY40</f>
        <v>0</v>
      </c>
      <c r="H36" s="15">
        <f>Хабаровск!EZ40</f>
        <v>0</v>
      </c>
      <c r="I36" s="15">
        <f>Хабаровск!FA40</f>
        <v>17013</v>
      </c>
      <c r="J36" s="15">
        <f>Хабаровск!FB40</f>
        <v>0</v>
      </c>
      <c r="K36" s="15">
        <f>'Хаб.р-ны'!K40</f>
        <v>0</v>
      </c>
      <c r="L36" s="15">
        <f>'Хаб.р-ны'!L40</f>
        <v>0</v>
      </c>
      <c r="M36" s="15">
        <f>'Хаб.р-ны'!M40</f>
        <v>418</v>
      </c>
      <c r="N36" s="15">
        <f>'Хаб.р-ны'!N40</f>
        <v>0</v>
      </c>
      <c r="O36" s="15">
        <f>'Хаб.р-ны'!AA40</f>
        <v>0</v>
      </c>
      <c r="P36" s="15">
        <f>'Хаб.р-ны'!AB40</f>
        <v>0</v>
      </c>
      <c r="Q36" s="15">
        <f>'Хаб.р-ны'!AC40</f>
        <v>422</v>
      </c>
      <c r="R36" s="15">
        <f>'Хаб.р-ны'!AD40</f>
        <v>0</v>
      </c>
      <c r="S36" s="15">
        <f>'Хаб.р-ны'!AU40</f>
        <v>0</v>
      </c>
      <c r="T36" s="15">
        <f>'Хаб.р-ны'!AV40</f>
        <v>0</v>
      </c>
      <c r="U36" s="15">
        <f>'Хаб.р-ны'!AW40</f>
        <v>840</v>
      </c>
      <c r="V36" s="15">
        <f>'Хаб.р-ны'!AX40</f>
        <v>0</v>
      </c>
      <c r="W36" s="15">
        <f>'Хаб.р-ны'!AY40</f>
        <v>0</v>
      </c>
      <c r="X36" s="15">
        <f>'Хаб.р-ны'!AZ40</f>
        <v>0</v>
      </c>
      <c r="Y36" s="15">
        <f>'Хаб.р-ны'!BA40</f>
        <v>466</v>
      </c>
      <c r="Z36" s="15">
        <f>'Хаб.р-ны'!BB40</f>
        <v>0</v>
      </c>
      <c r="AA36" s="15">
        <f>'Хаб.р-ны'!BK40</f>
        <v>0</v>
      </c>
      <c r="AB36" s="15">
        <f>'Хаб.р-ны'!BL40</f>
        <v>0</v>
      </c>
      <c r="AC36" s="15">
        <f>'Хаб.р-ны'!BM40</f>
        <v>1425</v>
      </c>
      <c r="AD36" s="15">
        <f>'Хаб.р-ны'!BN40</f>
        <v>0</v>
      </c>
      <c r="AE36" s="15">
        <f>Комсомольск!BO40</f>
        <v>0</v>
      </c>
      <c r="AF36" s="15">
        <f>Комсомольск!BP40</f>
        <v>0</v>
      </c>
      <c r="AG36" s="15">
        <f>Комсомольск!BQ40</f>
        <v>5341</v>
      </c>
      <c r="AH36" s="15">
        <f>Комсомольск!BR40</f>
        <v>0</v>
      </c>
      <c r="AI36" s="15">
        <f>'районы КП, СП'!K40</f>
        <v>0</v>
      </c>
      <c r="AJ36" s="15">
        <f>'районы КП, СП'!L40</f>
        <v>0</v>
      </c>
      <c r="AK36" s="15">
        <f>'районы КП, СП'!M40</f>
        <v>1189</v>
      </c>
      <c r="AL36" s="15">
        <f>'районы КП, СП'!N40</f>
        <v>0</v>
      </c>
      <c r="AM36" s="15">
        <f>'районы КП, СП'!W40</f>
        <v>0</v>
      </c>
      <c r="AN36" s="15">
        <f>'районы КП, СП'!X40</f>
        <v>0</v>
      </c>
      <c r="AO36" s="15">
        <f>'районы КП, СП'!Y40</f>
        <v>855</v>
      </c>
      <c r="AP36" s="15">
        <f>'районы КП, СП'!Z40</f>
        <v>0</v>
      </c>
      <c r="AQ36" s="15">
        <f>'районы КП, СП'!AA40</f>
        <v>0</v>
      </c>
      <c r="AR36" s="15">
        <f>'районы КП, СП'!AB40</f>
        <v>0</v>
      </c>
      <c r="AS36" s="15">
        <f>'районы КП, СП'!AC40</f>
        <v>413</v>
      </c>
      <c r="AT36" s="15">
        <f>'районы КП, СП'!AD40</f>
        <v>0</v>
      </c>
      <c r="AU36" s="15">
        <f>'районы КП, СП'!AM40</f>
        <v>0</v>
      </c>
      <c r="AV36" s="15">
        <f>'районы КП, СП'!AN40</f>
        <v>0</v>
      </c>
      <c r="AW36" s="15">
        <f>'районы КП, СП'!AO40</f>
        <v>962</v>
      </c>
      <c r="AX36" s="15">
        <f>'районы КП, СП'!AP40</f>
        <v>0</v>
      </c>
      <c r="AY36" s="15">
        <f>'районы КП, СП'!BC40</f>
        <v>0</v>
      </c>
      <c r="AZ36" s="15">
        <f>'районы КП, СП'!BD40</f>
        <v>0</v>
      </c>
      <c r="BA36" s="15">
        <f>'районы КП, СП'!BE40</f>
        <v>739</v>
      </c>
      <c r="BB36" s="15">
        <f>'районы КП, СП'!BF40</f>
        <v>0</v>
      </c>
      <c r="BC36" s="15">
        <f>'районы КП, СП'!BG40</f>
        <v>0</v>
      </c>
      <c r="BD36" s="15">
        <f>'районы КП, СП'!BH40</f>
        <v>0</v>
      </c>
      <c r="BE36" s="15">
        <f>'районы КП, СП'!BI40</f>
        <v>88</v>
      </c>
      <c r="BF36" s="15">
        <f>'районы КП, СП'!BJ40</f>
        <v>0</v>
      </c>
      <c r="BG36" s="15">
        <f>'районы НП, ЧП'!K40</f>
        <v>0</v>
      </c>
      <c r="BH36" s="15">
        <f>'районы НП, ЧП'!L40</f>
        <v>0</v>
      </c>
      <c r="BI36" s="15">
        <f>'районы НП, ЧП'!M40</f>
        <v>448</v>
      </c>
      <c r="BJ36" s="15">
        <f>'районы НП, ЧП'!N40</f>
        <v>0</v>
      </c>
      <c r="BK36" s="15">
        <f>'районы НП, ЧП'!AA40</f>
        <v>0</v>
      </c>
      <c r="BL36" s="15">
        <f>'районы НП, ЧП'!AB40</f>
        <v>0</v>
      </c>
      <c r="BM36" s="15">
        <f>'районы НП, ЧП'!AC40</f>
        <v>613</v>
      </c>
      <c r="BN36" s="15">
        <f>'районы НП, ЧП'!AD40</f>
        <v>0</v>
      </c>
      <c r="BO36" s="15">
        <f>'районы НП, ЧП'!AE40</f>
        <v>0</v>
      </c>
      <c r="BP36" s="15">
        <f>'районы НП, ЧП'!AF40</f>
        <v>0</v>
      </c>
      <c r="BQ36" s="15">
        <f>'районы НП, ЧП'!AG40</f>
        <v>49</v>
      </c>
      <c r="BR36" s="15">
        <f>'районы НП, ЧП'!AH40</f>
        <v>0</v>
      </c>
      <c r="BS36" s="15">
        <f>'районы НП, ЧП'!AI40</f>
        <v>0</v>
      </c>
      <c r="BT36" s="15">
        <f>'районы НП, ЧП'!AJ40</f>
        <v>0</v>
      </c>
      <c r="BU36" s="15">
        <f>'районы НП, ЧП'!AK40</f>
        <v>44</v>
      </c>
      <c r="BV36" s="15">
        <f>'районы НП, ЧП'!AL40</f>
        <v>0</v>
      </c>
      <c r="BW36" s="15">
        <f>'районы НП, ЧП'!AM40</f>
        <v>0</v>
      </c>
      <c r="BX36" s="15">
        <f>'районы НП, ЧП'!AN40</f>
        <v>0</v>
      </c>
      <c r="BY36" s="15">
        <f>'районы НП, ЧП'!AO40</f>
        <v>124</v>
      </c>
      <c r="BZ36" s="15">
        <f>'районы НП, ЧП'!AP40</f>
        <v>0</v>
      </c>
      <c r="CA36" s="15">
        <f>'районы НП, ЧП'!AU40</f>
        <v>0</v>
      </c>
      <c r="CB36" s="15">
        <f>'районы НП, ЧП'!AV40</f>
        <v>0</v>
      </c>
      <c r="CC36" s="15">
        <f>'районы НП, ЧП'!AW40</f>
        <v>461</v>
      </c>
      <c r="CD36" s="15">
        <f>'районы НП, ЧП'!AX40</f>
        <v>0</v>
      </c>
      <c r="CE36" s="292">
        <f t="shared" ref="CE36" si="4">SUM(CA36,BW36,BS36,BO36,BK36,BG36,BC36,AY36,AU36,AQ36,AM36,AI36,AE36,AA36,W36,S36,O36,K36,G36,C36)</f>
        <v>0</v>
      </c>
      <c r="CF36" s="292">
        <f t="shared" ref="CF36" si="5">SUM(CB36,BX36,BT36,BP36,BL36,BH36,BD36,AZ36,AV36,AR36,AN36,AJ36,AF36,AB36,X36,T36,P36,L36,H36,D36)</f>
        <v>0</v>
      </c>
      <c r="CG36" s="292">
        <f t="shared" ref="CG36" si="6">SUM(CC36,BY36,BU36,BQ36,BM36,BI36,BE36,BA36,AW36,AS36,AO36,AK36,AG36,AC36,Y36,U36,Q36,M36,I36,E36)</f>
        <v>31990</v>
      </c>
      <c r="CH36" s="293"/>
    </row>
    <row r="37" spans="1:87" s="17" customFormat="1" ht="30" x14ac:dyDescent="0.2">
      <c r="A37" s="201" t="s">
        <v>344</v>
      </c>
      <c r="B37" s="60" t="s">
        <v>339</v>
      </c>
      <c r="C37" s="313">
        <f>КЛПУ!BS41</f>
        <v>400</v>
      </c>
      <c r="D37" s="313">
        <f>КЛПУ!BT41</f>
        <v>400</v>
      </c>
      <c r="E37" s="313">
        <f>КЛПУ!BU41</f>
        <v>15</v>
      </c>
      <c r="F37" s="313">
        <f>КЛПУ!BV41</f>
        <v>3.75</v>
      </c>
      <c r="G37" s="313">
        <f>Хабаровск!EY41</f>
        <v>18140</v>
      </c>
      <c r="H37" s="313">
        <f>Хабаровск!EZ41</f>
        <v>18140</v>
      </c>
      <c r="I37" s="313">
        <f>Хабаровск!FA41</f>
        <v>8888</v>
      </c>
      <c r="J37" s="313">
        <f>Хабаровск!FB41</f>
        <v>48.996692392502759</v>
      </c>
      <c r="K37" s="313">
        <f>'Хаб.р-ны'!K41</f>
        <v>375</v>
      </c>
      <c r="L37" s="313">
        <f>'Хаб.р-ны'!L41</f>
        <v>375</v>
      </c>
      <c r="M37" s="313">
        <f>'Хаб.р-ны'!M41</f>
        <v>0</v>
      </c>
      <c r="N37" s="313">
        <f>'Хаб.р-ны'!N41</f>
        <v>0</v>
      </c>
      <c r="O37" s="313">
        <f>'Хаб.р-ны'!AA41</f>
        <v>100</v>
      </c>
      <c r="P37" s="313">
        <f>'Хаб.р-ны'!AB41</f>
        <v>100</v>
      </c>
      <c r="Q37" s="313">
        <f>'Хаб.р-ны'!AC41</f>
        <v>29</v>
      </c>
      <c r="R37" s="313">
        <f>'Хаб.р-ны'!AD41</f>
        <v>28.999999999999996</v>
      </c>
      <c r="S37" s="313">
        <f>'Хаб.р-ны'!AU41</f>
        <v>600</v>
      </c>
      <c r="T37" s="313">
        <f>'Хаб.р-ны'!AV41</f>
        <v>600</v>
      </c>
      <c r="U37" s="313">
        <f>'Хаб.р-ны'!AW41</f>
        <v>0</v>
      </c>
      <c r="V37" s="313">
        <f>'Хаб.р-ны'!AX41</f>
        <v>0</v>
      </c>
      <c r="W37" s="313">
        <f>'Хаб.р-ны'!AY41</f>
        <v>50</v>
      </c>
      <c r="X37" s="313">
        <f>'Хаб.р-ны'!AZ41</f>
        <v>50</v>
      </c>
      <c r="Y37" s="313">
        <f>'Хаб.р-ны'!BA41</f>
        <v>269</v>
      </c>
      <c r="Z37" s="313">
        <f>'Хаб.р-ны'!BB41</f>
        <v>1036</v>
      </c>
      <c r="AA37" s="313">
        <f>'Хаб.р-ны'!BK41</f>
        <v>600</v>
      </c>
      <c r="AB37" s="313">
        <f>'Хаб.р-ны'!BL41</f>
        <v>600</v>
      </c>
      <c r="AC37" s="313">
        <f>'Хаб.р-ны'!BM41</f>
        <v>383</v>
      </c>
      <c r="AD37" s="313">
        <f>'Хаб.р-ны'!BN41</f>
        <v>63.833333333333329</v>
      </c>
      <c r="AE37" s="313">
        <f>Комсомольск!BO41</f>
        <v>11654</v>
      </c>
      <c r="AF37" s="313">
        <f>Комсомольск!BP41</f>
        <v>11654</v>
      </c>
      <c r="AG37" s="313">
        <f>Комсомольск!BQ41</f>
        <v>5284</v>
      </c>
      <c r="AH37" s="313">
        <f>Комсомольск!BR41</f>
        <v>45.340655568903379</v>
      </c>
      <c r="AI37" s="313">
        <f>'районы КП, СП'!K41</f>
        <v>700</v>
      </c>
      <c r="AJ37" s="313">
        <f>'районы КП, СП'!L41</f>
        <v>700</v>
      </c>
      <c r="AK37" s="313">
        <f>'районы КП, СП'!M41</f>
        <v>122</v>
      </c>
      <c r="AL37" s="313">
        <f>'районы КП, СП'!N41</f>
        <v>17.428571428571431</v>
      </c>
      <c r="AM37" s="313">
        <f>'районы КП, СП'!W41</f>
        <v>500</v>
      </c>
      <c r="AN37" s="313">
        <f>'районы КП, СП'!X41</f>
        <v>500</v>
      </c>
      <c r="AO37" s="313">
        <f>'районы КП, СП'!Y41</f>
        <v>89</v>
      </c>
      <c r="AP37" s="313">
        <f>'районы КП, СП'!Z41</f>
        <v>17.8</v>
      </c>
      <c r="AQ37" s="313">
        <f>'районы КП, СП'!AA41</f>
        <v>340</v>
      </c>
      <c r="AR37" s="313">
        <f>'районы КП, СП'!AB41</f>
        <v>340</v>
      </c>
      <c r="AS37" s="313">
        <f>'районы КП, СП'!AC41</f>
        <v>53</v>
      </c>
      <c r="AT37" s="313">
        <f>'районы КП, СП'!AD41</f>
        <v>341.1764705882353</v>
      </c>
      <c r="AU37" s="313">
        <f>'районы КП, СП'!AM41</f>
        <v>4207</v>
      </c>
      <c r="AV37" s="313">
        <f>'районы КП, СП'!AN41</f>
        <v>4207</v>
      </c>
      <c r="AW37" s="313">
        <f>'районы КП, СП'!AO41</f>
        <v>192</v>
      </c>
      <c r="AX37" s="313">
        <f>'районы КП, СП'!AP41</f>
        <v>4.5638222010934157</v>
      </c>
      <c r="AY37" s="313">
        <f>'районы КП, СП'!BC41</f>
        <v>170</v>
      </c>
      <c r="AZ37" s="313">
        <f>'районы КП, СП'!BD41</f>
        <v>170</v>
      </c>
      <c r="BA37" s="313">
        <f>'районы КП, СП'!BE41</f>
        <v>1</v>
      </c>
      <c r="BB37" s="313">
        <f>'районы КП, СП'!BF41</f>
        <v>0.58823529411764708</v>
      </c>
      <c r="BC37" s="313">
        <f>'районы КП, СП'!BG41</f>
        <v>221</v>
      </c>
      <c r="BD37" s="313">
        <f>'районы КП, СП'!BH41</f>
        <v>221</v>
      </c>
      <c r="BE37" s="313">
        <f>'районы КП, СП'!BI41</f>
        <v>8</v>
      </c>
      <c r="BF37" s="313">
        <f>'районы КП, СП'!BJ41</f>
        <v>7.6923076923076925</v>
      </c>
      <c r="BG37" s="313">
        <f>'районы НП, ЧП'!K41</f>
        <v>648</v>
      </c>
      <c r="BH37" s="313">
        <f>'районы НП, ЧП'!L41</f>
        <v>648</v>
      </c>
      <c r="BI37" s="313">
        <f>'районы НП, ЧП'!M41</f>
        <v>101</v>
      </c>
      <c r="BJ37" s="313">
        <f>'районы НП, ЧП'!N41</f>
        <v>15.586419753086419</v>
      </c>
      <c r="BK37" s="313">
        <f>'районы НП, ЧП'!AA41</f>
        <v>180</v>
      </c>
      <c r="BL37" s="313">
        <f>'районы НП, ЧП'!AB41</f>
        <v>180</v>
      </c>
      <c r="BM37" s="313">
        <f>'районы НП, ЧП'!AC41</f>
        <v>7</v>
      </c>
      <c r="BN37" s="313">
        <f>'районы НП, ЧП'!AD41</f>
        <v>3.8888888888888888</v>
      </c>
      <c r="BO37" s="313">
        <f>'районы НП, ЧП'!AE41</f>
        <v>100</v>
      </c>
      <c r="BP37" s="313">
        <f>'районы НП, ЧП'!AF41</f>
        <v>100</v>
      </c>
      <c r="BQ37" s="313">
        <f>'районы НП, ЧП'!AG41</f>
        <v>30</v>
      </c>
      <c r="BR37" s="313">
        <f>'районы НП, ЧП'!AH41</f>
        <v>80</v>
      </c>
      <c r="BS37" s="313">
        <f>'районы НП, ЧП'!AI41</f>
        <v>41</v>
      </c>
      <c r="BT37" s="313">
        <f>'районы НП, ЧП'!AJ41</f>
        <v>41</v>
      </c>
      <c r="BU37" s="313">
        <f>'районы НП, ЧП'!AK41</f>
        <v>31</v>
      </c>
      <c r="BV37" s="313">
        <f>'районы НП, ЧП'!AL41</f>
        <v>173.17073170731706</v>
      </c>
      <c r="BW37" s="313">
        <f>'районы НП, ЧП'!AM41</f>
        <v>200</v>
      </c>
      <c r="BX37" s="313">
        <f>'районы НП, ЧП'!AN41</f>
        <v>200</v>
      </c>
      <c r="BY37" s="313">
        <f>'районы НП, ЧП'!AO41</f>
        <v>35</v>
      </c>
      <c r="BZ37" s="313">
        <f>'районы НП, ЧП'!AP41</f>
        <v>62</v>
      </c>
      <c r="CA37" s="313">
        <f>'районы НП, ЧП'!AU41</f>
        <v>650</v>
      </c>
      <c r="CB37" s="313">
        <f>'районы НП, ЧП'!AV41</f>
        <v>650</v>
      </c>
      <c r="CC37" s="313">
        <f>'районы НП, ЧП'!AW41</f>
        <v>23</v>
      </c>
      <c r="CD37" s="313">
        <f>'районы НП, ЧП'!AX41</f>
        <v>60.615384615384613</v>
      </c>
      <c r="CE37" s="314">
        <f t="shared" si="1"/>
        <v>39876</v>
      </c>
      <c r="CF37" s="314">
        <f t="shared" si="2"/>
        <v>39876</v>
      </c>
      <c r="CG37" s="314">
        <f t="shared" si="2"/>
        <v>15560</v>
      </c>
      <c r="CH37" s="315">
        <f>(CG37+CG38)/CF37*100</f>
        <v>135.08626742902999</v>
      </c>
      <c r="CI37" s="17">
        <v>-365</v>
      </c>
    </row>
    <row r="38" spans="1:87" s="17" customFormat="1" ht="31.5" x14ac:dyDescent="0.25">
      <c r="A38" s="45" t="s">
        <v>345</v>
      </c>
      <c r="B38" s="60" t="s">
        <v>339</v>
      </c>
      <c r="C38" s="313">
        <f>КЛПУ!BS42</f>
        <v>0</v>
      </c>
      <c r="D38" s="313">
        <f>КЛПУ!BT42</f>
        <v>0</v>
      </c>
      <c r="E38" s="313">
        <f>КЛПУ!BU42</f>
        <v>7</v>
      </c>
      <c r="F38" s="313">
        <f>КЛПУ!BV42</f>
        <v>0</v>
      </c>
      <c r="G38" s="313">
        <f>Хабаровск!EY42</f>
        <v>0</v>
      </c>
      <c r="H38" s="313">
        <f>Хабаровск!EZ42</f>
        <v>0</v>
      </c>
      <c r="I38" s="313">
        <f>Хабаровск!FA42</f>
        <v>19957</v>
      </c>
      <c r="J38" s="313">
        <f>Хабаровск!FB42</f>
        <v>0</v>
      </c>
      <c r="K38" s="313">
        <f>'Хаб.р-ны'!K42</f>
        <v>0</v>
      </c>
      <c r="L38" s="313">
        <f>'Хаб.р-ны'!L42</f>
        <v>0</v>
      </c>
      <c r="M38" s="313">
        <f>'Хаб.р-ны'!M42</f>
        <v>622</v>
      </c>
      <c r="N38" s="313">
        <f>'Хаб.р-ны'!N42</f>
        <v>0</v>
      </c>
      <c r="O38" s="313">
        <f>'Хаб.р-ны'!AA42</f>
        <v>0</v>
      </c>
      <c r="P38" s="313">
        <f>'Хаб.р-ны'!AB42</f>
        <v>0</v>
      </c>
      <c r="Q38" s="313">
        <f>'Хаб.р-ны'!AC42</f>
        <v>601</v>
      </c>
      <c r="R38" s="313">
        <f>'Хаб.р-ны'!AD42</f>
        <v>0</v>
      </c>
      <c r="S38" s="313">
        <f>'Хаб.р-ны'!AU42</f>
        <v>0</v>
      </c>
      <c r="T38" s="313">
        <f>'Хаб.р-ны'!AV42</f>
        <v>0</v>
      </c>
      <c r="U38" s="313">
        <f>'Хаб.р-ны'!AW42</f>
        <v>572</v>
      </c>
      <c r="V38" s="313">
        <f>'Хаб.р-ны'!AX42</f>
        <v>0</v>
      </c>
      <c r="W38" s="313">
        <f>'Хаб.р-ны'!AY42</f>
        <v>0</v>
      </c>
      <c r="X38" s="313">
        <f>'Хаб.р-ны'!AZ42</f>
        <v>0</v>
      </c>
      <c r="Y38" s="313">
        <f>'Хаб.р-ны'!BA42</f>
        <v>249</v>
      </c>
      <c r="Z38" s="313">
        <f>'Хаб.р-ны'!BB42</f>
        <v>0</v>
      </c>
      <c r="AA38" s="313">
        <f>'Хаб.р-ны'!BK42</f>
        <v>0</v>
      </c>
      <c r="AB38" s="313">
        <f>'Хаб.р-ны'!BL42</f>
        <v>0</v>
      </c>
      <c r="AC38" s="313">
        <f>'Хаб.р-ны'!BM42</f>
        <v>251</v>
      </c>
      <c r="AD38" s="313">
        <f>'Хаб.р-ны'!BN42</f>
        <v>0</v>
      </c>
      <c r="AE38" s="313">
        <f>Комсомольск!BO42</f>
        <v>0</v>
      </c>
      <c r="AF38" s="313">
        <f>Комсомольск!BP42</f>
        <v>0</v>
      </c>
      <c r="AG38" s="313">
        <f>Комсомольск!BQ42</f>
        <v>8160</v>
      </c>
      <c r="AH38" s="313">
        <f>Комсомольск!BR42</f>
        <v>0</v>
      </c>
      <c r="AI38" s="313">
        <f>'районы КП, СП'!K42</f>
        <v>0</v>
      </c>
      <c r="AJ38" s="313">
        <f>'районы КП, СП'!L42</f>
        <v>0</v>
      </c>
      <c r="AK38" s="313">
        <f>'районы КП, СП'!M42</f>
        <v>1715</v>
      </c>
      <c r="AL38" s="313">
        <f>'районы КП, СП'!N42</f>
        <v>0</v>
      </c>
      <c r="AM38" s="313">
        <f>'районы КП, СП'!W42</f>
        <v>0</v>
      </c>
      <c r="AN38" s="313">
        <f>'районы КП, СП'!X42</f>
        <v>0</v>
      </c>
      <c r="AO38" s="313">
        <f>'районы КП, СП'!Y42</f>
        <v>1129</v>
      </c>
      <c r="AP38" s="313">
        <f>'районы КП, СП'!Z42</f>
        <v>0</v>
      </c>
      <c r="AQ38" s="313">
        <f>'районы КП, СП'!AA42</f>
        <v>0</v>
      </c>
      <c r="AR38" s="313">
        <f>'районы КП, СП'!AB42</f>
        <v>0</v>
      </c>
      <c r="AS38" s="313">
        <f>'районы КП, СП'!AC42</f>
        <v>1107</v>
      </c>
      <c r="AT38" s="313">
        <f>'районы КП, СП'!AD42</f>
        <v>0</v>
      </c>
      <c r="AU38" s="313">
        <f>'районы КП, СП'!AM42</f>
        <v>0</v>
      </c>
      <c r="AV38" s="313">
        <f>'районы КП, СП'!AN42</f>
        <v>0</v>
      </c>
      <c r="AW38" s="313">
        <f>'районы КП, СП'!AO42</f>
        <v>1427</v>
      </c>
      <c r="AX38" s="313">
        <f>'районы КП, СП'!AP42</f>
        <v>0</v>
      </c>
      <c r="AY38" s="313">
        <f>'районы КП, СП'!BC42</f>
        <v>0</v>
      </c>
      <c r="AZ38" s="313">
        <f>'районы КП, СП'!BD42</f>
        <v>0</v>
      </c>
      <c r="BA38" s="313">
        <f>'районы КП, СП'!BE42</f>
        <v>940</v>
      </c>
      <c r="BB38" s="313">
        <f>'районы КП, СП'!BF42</f>
        <v>0</v>
      </c>
      <c r="BC38" s="313">
        <f>'районы КП, СП'!BG42</f>
        <v>0</v>
      </c>
      <c r="BD38" s="313">
        <f>'районы КП, СП'!BH42</f>
        <v>0</v>
      </c>
      <c r="BE38" s="313">
        <f>'районы КП, СП'!BI42</f>
        <v>9</v>
      </c>
      <c r="BF38" s="313">
        <f>'районы КП, СП'!BJ42</f>
        <v>0</v>
      </c>
      <c r="BG38" s="313">
        <f>'районы НП, ЧП'!K42</f>
        <v>0</v>
      </c>
      <c r="BH38" s="313">
        <f>'районы НП, ЧП'!L42</f>
        <v>0</v>
      </c>
      <c r="BI38" s="313">
        <f>'районы НП, ЧП'!M42</f>
        <v>170</v>
      </c>
      <c r="BJ38" s="313">
        <f>'районы НП, ЧП'!N42</f>
        <v>0</v>
      </c>
      <c r="BK38" s="313">
        <f>'районы НП, ЧП'!AA42</f>
        <v>0</v>
      </c>
      <c r="BL38" s="313">
        <f>'районы НП, ЧП'!AB42</f>
        <v>0</v>
      </c>
      <c r="BM38" s="313">
        <f>'районы НП, ЧП'!AC42</f>
        <v>841</v>
      </c>
      <c r="BN38" s="313">
        <f>'районы НП, ЧП'!AD42</f>
        <v>0</v>
      </c>
      <c r="BO38" s="313">
        <f>'районы НП, ЧП'!AE42</f>
        <v>0</v>
      </c>
      <c r="BP38" s="313">
        <f>'районы НП, ЧП'!AF42</f>
        <v>0</v>
      </c>
      <c r="BQ38" s="313">
        <f>'районы НП, ЧП'!AG42</f>
        <v>50</v>
      </c>
      <c r="BR38" s="313">
        <f>'районы НП, ЧП'!AH42</f>
        <v>0</v>
      </c>
      <c r="BS38" s="313">
        <f>'районы НП, ЧП'!AI42</f>
        <v>0</v>
      </c>
      <c r="BT38" s="313">
        <f>'районы НП, ЧП'!AJ42</f>
        <v>0</v>
      </c>
      <c r="BU38" s="313">
        <f>'районы НП, ЧП'!AK42</f>
        <v>40</v>
      </c>
      <c r="BV38" s="313">
        <f>'районы НП, ЧП'!AL42</f>
        <v>0</v>
      </c>
      <c r="BW38" s="313">
        <f>'районы НП, ЧП'!AM42</f>
        <v>0</v>
      </c>
      <c r="BX38" s="313">
        <f>'районы НП, ЧП'!AN42</f>
        <v>0</v>
      </c>
      <c r="BY38" s="313">
        <f>'районы НП, ЧП'!AO42</f>
        <v>89</v>
      </c>
      <c r="BZ38" s="313">
        <f>'районы НП, ЧП'!AP42</f>
        <v>0</v>
      </c>
      <c r="CA38" s="313">
        <f>'районы НП, ЧП'!AU42</f>
        <v>0</v>
      </c>
      <c r="CB38" s="313">
        <f>'районы НП, ЧП'!AV42</f>
        <v>0</v>
      </c>
      <c r="CC38" s="313">
        <f>'районы НП, ЧП'!AW42</f>
        <v>371</v>
      </c>
      <c r="CD38" s="313">
        <f>'районы НП, ЧП'!AX42</f>
        <v>0</v>
      </c>
      <c r="CE38" s="314">
        <f t="shared" ref="CE38" si="7">SUM(CA38,BW38,BS38,BO38,BK38,BG38,BC38,AY38,AU38,AQ38,AM38,AI38,AE38,AA38,W38,S38,O38,K38,G38,C38)</f>
        <v>0</v>
      </c>
      <c r="CF38" s="314">
        <f t="shared" ref="CF38" si="8">SUM(CB38,BX38,BT38,BP38,BL38,BH38,BD38,AZ38,AV38,AR38,AN38,AJ38,AF38,AB38,X38,T38,P38,L38,H38,D38)</f>
        <v>0</v>
      </c>
      <c r="CG38" s="314">
        <f t="shared" ref="CG38" si="9">SUM(CC38,BY38,BU38,BQ38,BM38,BI38,BE38,BA38,AW38,AS38,AO38,AK38,AG38,AC38,Y38,U38,Q38,M38,I38,E38)</f>
        <v>38307</v>
      </c>
      <c r="CH38" s="315"/>
    </row>
    <row r="39" spans="1:87" ht="47.25" x14ac:dyDescent="0.25">
      <c r="A39" s="30" t="s">
        <v>148</v>
      </c>
      <c r="B39" s="57" t="s">
        <v>3</v>
      </c>
      <c r="C39" s="15">
        <f>КЛПУ!BS43</f>
        <v>0</v>
      </c>
      <c r="D39" s="15">
        <f>КЛПУ!BT43</f>
        <v>0</v>
      </c>
      <c r="E39" s="15">
        <f>КЛПУ!BU43</f>
        <v>0</v>
      </c>
      <c r="F39" s="15">
        <f>КЛПУ!BV43</f>
        <v>0</v>
      </c>
      <c r="G39" s="15">
        <f>Хабаровск!EY43</f>
        <v>8655</v>
      </c>
      <c r="H39" s="15">
        <f>Хабаровск!EZ43</f>
        <v>8655</v>
      </c>
      <c r="I39" s="15">
        <f>Хабаровск!FA43</f>
        <v>8574</v>
      </c>
      <c r="J39" s="15">
        <f>Хабаровск!FB43</f>
        <v>99.064124783362217</v>
      </c>
      <c r="K39" s="15">
        <f>'Хаб.р-ны'!K43</f>
        <v>1485</v>
      </c>
      <c r="L39" s="15">
        <f>'Хаб.р-ны'!L43</f>
        <v>1485</v>
      </c>
      <c r="M39" s="15">
        <f>'Хаб.р-ны'!M43</f>
        <v>1413</v>
      </c>
      <c r="N39" s="15">
        <f>'Хаб.р-ны'!N43</f>
        <v>95.151515151515156</v>
      </c>
      <c r="O39" s="15">
        <f>'Хаб.р-ны'!AA43</f>
        <v>1233</v>
      </c>
      <c r="P39" s="15">
        <f>'Хаб.р-ны'!AB43</f>
        <v>1233</v>
      </c>
      <c r="Q39" s="15">
        <f>'Хаб.р-ны'!AC43</f>
        <v>1354</v>
      </c>
      <c r="R39" s="15">
        <f>'Хаб.р-ны'!AD43</f>
        <v>109.81346309813462</v>
      </c>
      <c r="S39" s="15">
        <f>'Хаб.р-ны'!AU43</f>
        <v>1425</v>
      </c>
      <c r="T39" s="15">
        <f>'Хаб.р-ны'!AV43</f>
        <v>1425</v>
      </c>
      <c r="U39" s="15">
        <f>'Хаб.р-ны'!AW43</f>
        <v>1007</v>
      </c>
      <c r="V39" s="15">
        <f>'Хаб.р-ны'!AX43</f>
        <v>70.666666666666671</v>
      </c>
      <c r="W39" s="15">
        <f>'Хаб.р-ны'!AY43</f>
        <v>324</v>
      </c>
      <c r="X39" s="15">
        <f>'Хаб.р-ны'!AZ43</f>
        <v>324</v>
      </c>
      <c r="Y39" s="15">
        <f>'Хаб.р-ны'!BA43</f>
        <v>323</v>
      </c>
      <c r="Z39" s="15">
        <f>'Хаб.р-ны'!BB43</f>
        <v>99.691358024691354</v>
      </c>
      <c r="AA39" s="15">
        <f>'Хаб.р-ны'!BK43</f>
        <v>1070</v>
      </c>
      <c r="AB39" s="15">
        <f>'Хаб.р-ны'!BL43</f>
        <v>1070</v>
      </c>
      <c r="AC39" s="15">
        <f>'Хаб.р-ны'!BM43</f>
        <v>1079</v>
      </c>
      <c r="AD39" s="15">
        <f>'Хаб.р-ны'!BN43</f>
        <v>100.84112149532712</v>
      </c>
      <c r="AE39" s="15">
        <f>Комсомольск!BO43</f>
        <v>2512</v>
      </c>
      <c r="AF39" s="15">
        <f>Комсомольск!BP43</f>
        <v>2512</v>
      </c>
      <c r="AG39" s="15">
        <f>Комсомольск!BQ43</f>
        <v>2420</v>
      </c>
      <c r="AH39" s="15">
        <f>Комсомольск!BR43</f>
        <v>96.337579617834393</v>
      </c>
      <c r="AI39" s="15">
        <f>'районы КП, СП'!K43</f>
        <v>875</v>
      </c>
      <c r="AJ39" s="15">
        <f>'районы КП, СП'!L43</f>
        <v>875</v>
      </c>
      <c r="AK39" s="15">
        <f>'районы КП, СП'!M43</f>
        <v>898</v>
      </c>
      <c r="AL39" s="15">
        <f>'районы КП, СП'!N43</f>
        <v>102.62857142857142</v>
      </c>
      <c r="AM39" s="15">
        <f>'районы КП, СП'!W43</f>
        <v>441</v>
      </c>
      <c r="AN39" s="15">
        <f>'районы КП, СП'!X43</f>
        <v>441</v>
      </c>
      <c r="AO39" s="15">
        <f>'районы КП, СП'!Y43</f>
        <v>252</v>
      </c>
      <c r="AP39" s="15">
        <f>'районы КП, СП'!Z43</f>
        <v>57.142857142857139</v>
      </c>
      <c r="AQ39" s="15">
        <f>'районы КП, СП'!AA43</f>
        <v>1058</v>
      </c>
      <c r="AR39" s="15">
        <f>'районы КП, СП'!AB43</f>
        <v>1058</v>
      </c>
      <c r="AS39" s="15">
        <f>'районы КП, СП'!AC43</f>
        <v>1074</v>
      </c>
      <c r="AT39" s="15">
        <f>'районы КП, СП'!AD43</f>
        <v>101.51228733459357</v>
      </c>
      <c r="AU39" s="15">
        <f>'районы КП, СП'!AM43</f>
        <v>1215</v>
      </c>
      <c r="AV39" s="15">
        <f>'районы КП, СП'!AN43</f>
        <v>1215</v>
      </c>
      <c r="AW39" s="15">
        <f>'районы КП, СП'!AO43</f>
        <v>1214</v>
      </c>
      <c r="AX39" s="15">
        <f>'районы КП, СП'!AP43</f>
        <v>99.91769547325103</v>
      </c>
      <c r="AY39" s="15">
        <f>'районы КП, СП'!BC43</f>
        <v>711</v>
      </c>
      <c r="AZ39" s="15">
        <f>'районы КП, СП'!BD43</f>
        <v>711</v>
      </c>
      <c r="BA39" s="15">
        <f>'районы КП, СП'!BE43</f>
        <v>720</v>
      </c>
      <c r="BB39" s="15">
        <f>'районы КП, СП'!BF43</f>
        <v>101.26582278481013</v>
      </c>
      <c r="BC39" s="15">
        <f>'районы КП, СП'!BG43</f>
        <v>0</v>
      </c>
      <c r="BD39" s="15">
        <f>'районы КП, СП'!BH43</f>
        <v>0</v>
      </c>
      <c r="BE39" s="15">
        <f>'районы КП, СП'!BI43</f>
        <v>0</v>
      </c>
      <c r="BF39" s="15">
        <f>'районы КП, СП'!BJ43</f>
        <v>0</v>
      </c>
      <c r="BG39" s="15">
        <f>'районы НП, ЧП'!K43</f>
        <v>1036</v>
      </c>
      <c r="BH39" s="15">
        <f>'районы НП, ЧП'!L43</f>
        <v>1036</v>
      </c>
      <c r="BI39" s="15">
        <f>'районы НП, ЧП'!M43</f>
        <v>1014</v>
      </c>
      <c r="BJ39" s="15">
        <f>'районы НП, ЧП'!N43</f>
        <v>97.876447876447884</v>
      </c>
      <c r="BK39" s="15">
        <f>'районы НП, ЧП'!AA43</f>
        <v>418</v>
      </c>
      <c r="BL39" s="15">
        <f>'районы НП, ЧП'!AB43</f>
        <v>418</v>
      </c>
      <c r="BM39" s="15">
        <f>'районы НП, ЧП'!AC43</f>
        <v>368</v>
      </c>
      <c r="BN39" s="15">
        <f>'районы НП, ЧП'!AD43</f>
        <v>88.038277511961724</v>
      </c>
      <c r="BO39" s="15">
        <f>'районы НП, ЧП'!AE43</f>
        <v>68</v>
      </c>
      <c r="BP39" s="15">
        <f>'районы НП, ЧП'!AF43</f>
        <v>68</v>
      </c>
      <c r="BQ39" s="15">
        <f>'районы НП, ЧП'!AG43</f>
        <v>84</v>
      </c>
      <c r="BR39" s="15">
        <f>'районы НП, ЧП'!AH43</f>
        <v>123.52941176470588</v>
      </c>
      <c r="BS39" s="15">
        <f>'районы НП, ЧП'!AI43</f>
        <v>0</v>
      </c>
      <c r="BT39" s="15">
        <f>'районы НП, ЧП'!AJ43</f>
        <v>0</v>
      </c>
      <c r="BU39" s="15">
        <f>'районы НП, ЧП'!AK43</f>
        <v>0</v>
      </c>
      <c r="BV39" s="15">
        <f>'районы НП, ЧП'!AL43</f>
        <v>0</v>
      </c>
      <c r="BW39" s="15">
        <f>'районы НП, ЧП'!AM43</f>
        <v>288</v>
      </c>
      <c r="BX39" s="15">
        <f>'районы НП, ЧП'!AN43</f>
        <v>288</v>
      </c>
      <c r="BY39" s="15">
        <f>'районы НП, ЧП'!AO43</f>
        <v>270</v>
      </c>
      <c r="BZ39" s="15">
        <f>'районы НП, ЧП'!AP43</f>
        <v>93.75</v>
      </c>
      <c r="CA39" s="15">
        <f>'районы НП, ЧП'!AU43</f>
        <v>279</v>
      </c>
      <c r="CB39" s="15">
        <f>'районы НП, ЧП'!AV43</f>
        <v>279</v>
      </c>
      <c r="CC39" s="15">
        <f>'районы НП, ЧП'!AW43</f>
        <v>99</v>
      </c>
      <c r="CD39" s="15">
        <f>'районы НП, ЧП'!AX43</f>
        <v>35.483870967741936</v>
      </c>
      <c r="CE39" s="292">
        <f t="shared" si="1"/>
        <v>23093</v>
      </c>
      <c r="CF39" s="292">
        <f t="shared" si="2"/>
        <v>23093</v>
      </c>
      <c r="CG39" s="292">
        <f t="shared" si="2"/>
        <v>22163</v>
      </c>
      <c r="CH39" s="293">
        <f t="shared" si="3"/>
        <v>95.972805612090241</v>
      </c>
      <c r="CI39">
        <v>-74</v>
      </c>
    </row>
    <row r="40" spans="1:87" ht="15.75" x14ac:dyDescent="0.2">
      <c r="A40" s="29" t="s">
        <v>149</v>
      </c>
      <c r="B40" s="60" t="s">
        <v>339</v>
      </c>
      <c r="C40" s="15">
        <f>КЛПУ!BS44</f>
        <v>0</v>
      </c>
      <c r="D40" s="15">
        <f>КЛПУ!BT44</f>
        <v>0</v>
      </c>
      <c r="E40" s="15">
        <f>КЛПУ!BU44</f>
        <v>0</v>
      </c>
      <c r="F40" s="15">
        <f>КЛПУ!BV44</f>
        <v>0</v>
      </c>
      <c r="G40" s="15">
        <f>Хабаровск!EY44</f>
        <v>90</v>
      </c>
      <c r="H40" s="15">
        <f>Хабаровск!EZ44</f>
        <v>90</v>
      </c>
      <c r="I40" s="15">
        <f>Хабаровск!FA44</f>
        <v>88</v>
      </c>
      <c r="J40" s="15">
        <f>Хабаровск!FB44</f>
        <v>97.777777777777771</v>
      </c>
      <c r="K40" s="15">
        <f>'Хаб.р-ны'!K44</f>
        <v>0</v>
      </c>
      <c r="L40" s="15">
        <f>'Хаб.р-ны'!L44</f>
        <v>0</v>
      </c>
      <c r="M40" s="15">
        <f>'Хаб.р-ны'!M44</f>
        <v>0</v>
      </c>
      <c r="N40" s="15">
        <f>'Хаб.р-ны'!N44</f>
        <v>0</v>
      </c>
      <c r="O40" s="15">
        <f>'Хаб.р-ны'!AA44</f>
        <v>0</v>
      </c>
      <c r="P40" s="15">
        <f>'Хаб.р-ны'!AB44</f>
        <v>0</v>
      </c>
      <c r="Q40" s="15">
        <f>'Хаб.р-ны'!AC44</f>
        <v>0</v>
      </c>
      <c r="R40" s="15">
        <f>'Хаб.р-ны'!AD44</f>
        <v>0</v>
      </c>
      <c r="S40" s="15">
        <f>'Хаб.р-ны'!AU44</f>
        <v>0</v>
      </c>
      <c r="T40" s="15">
        <f>'Хаб.р-ны'!AV44</f>
        <v>0</v>
      </c>
      <c r="U40" s="15">
        <f>'Хаб.р-ны'!AW44</f>
        <v>1</v>
      </c>
      <c r="V40" s="15">
        <f>'Хаб.р-ны'!AX44</f>
        <v>0</v>
      </c>
      <c r="W40" s="15">
        <f>'Хаб.р-ны'!AY44</f>
        <v>0</v>
      </c>
      <c r="X40" s="15">
        <f>'Хаб.р-ны'!AZ44</f>
        <v>0</v>
      </c>
      <c r="Y40" s="15">
        <f>'Хаб.р-ны'!BA44</f>
        <v>0</v>
      </c>
      <c r="Z40" s="15">
        <f>'Хаб.р-ны'!BB44</f>
        <v>0</v>
      </c>
      <c r="AA40" s="15">
        <f>'Хаб.р-ны'!BK44</f>
        <v>0</v>
      </c>
      <c r="AB40" s="15">
        <f>'Хаб.р-ны'!BL44</f>
        <v>0</v>
      </c>
      <c r="AC40" s="15">
        <f>'Хаб.р-ны'!BM44</f>
        <v>0</v>
      </c>
      <c r="AD40" s="15">
        <f>'Хаб.р-ны'!BN44</f>
        <v>0</v>
      </c>
      <c r="AE40" s="15">
        <f>Комсомольск!BO44</f>
        <v>36</v>
      </c>
      <c r="AF40" s="15">
        <f>Комсомольск!BP44</f>
        <v>36</v>
      </c>
      <c r="AG40" s="15">
        <f>Комсомольск!BQ44</f>
        <v>50</v>
      </c>
      <c r="AH40" s="15">
        <f>Комсомольск!BR44</f>
        <v>138.88888888888889</v>
      </c>
      <c r="AI40" s="15">
        <f>'районы КП, СП'!K44</f>
        <v>7</v>
      </c>
      <c r="AJ40" s="15">
        <f>'районы КП, СП'!L44</f>
        <v>7</v>
      </c>
      <c r="AK40" s="15">
        <f>'районы КП, СП'!M44</f>
        <v>0</v>
      </c>
      <c r="AL40" s="15">
        <f>'районы КП, СП'!N44</f>
        <v>0</v>
      </c>
      <c r="AM40" s="15">
        <f>'районы КП, СП'!W44</f>
        <v>0</v>
      </c>
      <c r="AN40" s="15">
        <f>'районы КП, СП'!X44</f>
        <v>0</v>
      </c>
      <c r="AO40" s="15">
        <f>'районы КП, СП'!Y44</f>
        <v>0</v>
      </c>
      <c r="AP40" s="15">
        <f>'районы КП, СП'!Z44</f>
        <v>0</v>
      </c>
      <c r="AQ40" s="15">
        <f>'районы КП, СП'!AA44</f>
        <v>1</v>
      </c>
      <c r="AR40" s="15">
        <f>'районы КП, СП'!AB44</f>
        <v>1</v>
      </c>
      <c r="AS40" s="15">
        <f>'районы КП, СП'!AC44</f>
        <v>1</v>
      </c>
      <c r="AT40" s="15">
        <f>'районы КП, СП'!AD44</f>
        <v>100</v>
      </c>
      <c r="AU40" s="15">
        <f>'районы КП, СП'!AM44</f>
        <v>0</v>
      </c>
      <c r="AV40" s="15">
        <f>'районы КП, СП'!AN44</f>
        <v>0</v>
      </c>
      <c r="AW40" s="15">
        <f>'районы КП, СП'!AO44</f>
        <v>0</v>
      </c>
      <c r="AX40" s="15">
        <f>'районы КП, СП'!AP44</f>
        <v>0</v>
      </c>
      <c r="AY40" s="15">
        <f>'районы КП, СП'!BC44</f>
        <v>0</v>
      </c>
      <c r="AZ40" s="15">
        <f>'районы КП, СП'!BD44</f>
        <v>0</v>
      </c>
      <c r="BA40" s="15">
        <f>'районы КП, СП'!BE44</f>
        <v>0</v>
      </c>
      <c r="BB40" s="15">
        <f>'районы КП, СП'!BF44</f>
        <v>0</v>
      </c>
      <c r="BC40" s="15">
        <f>'районы КП, СП'!BG44</f>
        <v>0</v>
      </c>
      <c r="BD40" s="15">
        <f>'районы КП, СП'!BH44</f>
        <v>0</v>
      </c>
      <c r="BE40" s="15">
        <f>'районы КП, СП'!BI44</f>
        <v>0</v>
      </c>
      <c r="BF40" s="15">
        <f>'районы КП, СП'!BJ44</f>
        <v>0</v>
      </c>
      <c r="BG40" s="15">
        <f>'районы НП, ЧП'!K44</f>
        <v>1</v>
      </c>
      <c r="BH40" s="15">
        <f>'районы НП, ЧП'!L44</f>
        <v>1</v>
      </c>
      <c r="BI40" s="15">
        <f>'районы НП, ЧП'!M44</f>
        <v>12</v>
      </c>
      <c r="BJ40" s="15">
        <f>'районы НП, ЧП'!N44</f>
        <v>1200</v>
      </c>
      <c r="BK40" s="15">
        <f>'районы НП, ЧП'!AA44</f>
        <v>10</v>
      </c>
      <c r="BL40" s="15">
        <f>'районы НП, ЧП'!AB44</f>
        <v>10</v>
      </c>
      <c r="BM40" s="15">
        <f>'районы НП, ЧП'!AC44</f>
        <v>4</v>
      </c>
      <c r="BN40" s="15">
        <f>'районы НП, ЧП'!AD44</f>
        <v>40</v>
      </c>
      <c r="BO40" s="15">
        <f>'районы НП, ЧП'!AE44</f>
        <v>0</v>
      </c>
      <c r="BP40" s="15">
        <f>'районы НП, ЧП'!AF44</f>
        <v>0</v>
      </c>
      <c r="BQ40" s="15">
        <f>'районы НП, ЧП'!AG44</f>
        <v>1</v>
      </c>
      <c r="BR40" s="15">
        <f>'районы НП, ЧП'!AH44</f>
        <v>0</v>
      </c>
      <c r="BS40" s="15">
        <f>'районы НП, ЧП'!AI44</f>
        <v>0</v>
      </c>
      <c r="BT40" s="15">
        <f>'районы НП, ЧП'!AJ44</f>
        <v>0</v>
      </c>
      <c r="BU40" s="15">
        <f>'районы НП, ЧП'!AK44</f>
        <v>0</v>
      </c>
      <c r="BV40" s="15">
        <f>'районы НП, ЧП'!AL44</f>
        <v>0</v>
      </c>
      <c r="BW40" s="15">
        <f>'районы НП, ЧП'!AM44</f>
        <v>0</v>
      </c>
      <c r="BX40" s="15">
        <f>'районы НП, ЧП'!AN44</f>
        <v>0</v>
      </c>
      <c r="BY40" s="15">
        <f>'районы НП, ЧП'!AO44</f>
        <v>0</v>
      </c>
      <c r="BZ40" s="15">
        <f>'районы НП, ЧП'!AP44</f>
        <v>0</v>
      </c>
      <c r="CA40" s="15">
        <f>'районы НП, ЧП'!AU44</f>
        <v>0</v>
      </c>
      <c r="CB40" s="15">
        <f>'районы НП, ЧП'!AV44</f>
        <v>0</v>
      </c>
      <c r="CC40" s="15">
        <f>'районы НП, ЧП'!AW44</f>
        <v>0</v>
      </c>
      <c r="CD40" s="15">
        <f>'районы НП, ЧП'!AX44</f>
        <v>0</v>
      </c>
      <c r="CE40" s="292">
        <f t="shared" si="1"/>
        <v>145</v>
      </c>
      <c r="CF40" s="292">
        <f t="shared" si="2"/>
        <v>145</v>
      </c>
      <c r="CG40" s="292">
        <f t="shared" si="2"/>
        <v>157</v>
      </c>
      <c r="CH40" s="293">
        <f t="shared" si="3"/>
        <v>108.27586206896551</v>
      </c>
    </row>
    <row r="41" spans="1:87" ht="15.75" x14ac:dyDescent="0.2">
      <c r="A41" s="29" t="s">
        <v>150</v>
      </c>
      <c r="B41" s="60" t="s">
        <v>339</v>
      </c>
      <c r="C41" s="15">
        <f>КЛПУ!BS45</f>
        <v>0</v>
      </c>
      <c r="D41" s="15">
        <f>КЛПУ!BT45</f>
        <v>0</v>
      </c>
      <c r="E41" s="15">
        <f>КЛПУ!BU45</f>
        <v>0</v>
      </c>
      <c r="F41" s="15">
        <f>КЛПУ!BV45</f>
        <v>0</v>
      </c>
      <c r="G41" s="15">
        <f>Хабаровск!EY45</f>
        <v>57</v>
      </c>
      <c r="H41" s="15">
        <f>Хабаровск!EZ45</f>
        <v>57</v>
      </c>
      <c r="I41" s="15">
        <f>Хабаровск!FA45</f>
        <v>52</v>
      </c>
      <c r="J41" s="15">
        <f>Хабаровск!FB45</f>
        <v>91.228070175438589</v>
      </c>
      <c r="K41" s="15">
        <f>'Хаб.р-ны'!K45</f>
        <v>0</v>
      </c>
      <c r="L41" s="15">
        <f>'Хаб.р-ны'!L45</f>
        <v>0</v>
      </c>
      <c r="M41" s="15">
        <f>'Хаб.р-ны'!M45</f>
        <v>0</v>
      </c>
      <c r="N41" s="15">
        <f>'Хаб.р-ны'!N45</f>
        <v>0</v>
      </c>
      <c r="O41" s="15">
        <f>'Хаб.р-ны'!AA45</f>
        <v>0</v>
      </c>
      <c r="P41" s="15">
        <f>'Хаб.р-ны'!AB45</f>
        <v>0</v>
      </c>
      <c r="Q41" s="15">
        <f>'Хаб.р-ны'!AC45</f>
        <v>5</v>
      </c>
      <c r="R41" s="15">
        <f>'Хаб.р-ны'!AD45</f>
        <v>0</v>
      </c>
      <c r="S41" s="15">
        <f>'Хаб.р-ны'!AU45</f>
        <v>6</v>
      </c>
      <c r="T41" s="15">
        <f>'Хаб.р-ны'!AV45</f>
        <v>6</v>
      </c>
      <c r="U41" s="15">
        <f>'Хаб.р-ны'!AW45</f>
        <v>8</v>
      </c>
      <c r="V41" s="15">
        <f>'Хаб.р-ны'!AX45</f>
        <v>133.33333333333331</v>
      </c>
      <c r="W41" s="15">
        <f>'Хаб.р-ны'!AY45</f>
        <v>0</v>
      </c>
      <c r="X41" s="15">
        <f>'Хаб.р-ны'!AZ45</f>
        <v>0</v>
      </c>
      <c r="Y41" s="15">
        <f>'Хаб.р-ны'!BA45</f>
        <v>1</v>
      </c>
      <c r="Z41" s="15">
        <f>'Хаб.р-ны'!BB45</f>
        <v>0</v>
      </c>
      <c r="AA41" s="15">
        <f>'Хаб.р-ны'!BK45</f>
        <v>1</v>
      </c>
      <c r="AB41" s="15">
        <f>'Хаб.р-ны'!BL45</f>
        <v>1</v>
      </c>
      <c r="AC41" s="15">
        <f>'Хаб.р-ны'!BM45</f>
        <v>1</v>
      </c>
      <c r="AD41" s="15">
        <f>'Хаб.р-ны'!BN45</f>
        <v>100</v>
      </c>
      <c r="AE41" s="15">
        <f>Комсомольск!BO45</f>
        <v>26</v>
      </c>
      <c r="AF41" s="15">
        <f>Комсомольск!BP45</f>
        <v>26</v>
      </c>
      <c r="AG41" s="15">
        <f>Комсомольск!BQ45</f>
        <v>18</v>
      </c>
      <c r="AH41" s="15">
        <f>Комсомольск!BR45</f>
        <v>69.230769230769226</v>
      </c>
      <c r="AI41" s="15">
        <f>'районы КП, СП'!K45</f>
        <v>11</v>
      </c>
      <c r="AJ41" s="15">
        <f>'районы КП, СП'!L45</f>
        <v>11</v>
      </c>
      <c r="AK41" s="15">
        <f>'районы КП, СП'!M45</f>
        <v>2</v>
      </c>
      <c r="AL41" s="15">
        <f>'районы КП, СП'!N45</f>
        <v>18.181818181818183</v>
      </c>
      <c r="AM41" s="15">
        <f>'районы КП, СП'!W45</f>
        <v>0</v>
      </c>
      <c r="AN41" s="15">
        <f>'районы КП, СП'!X45</f>
        <v>0</v>
      </c>
      <c r="AO41" s="15">
        <f>'районы КП, СП'!Y45</f>
        <v>0</v>
      </c>
      <c r="AP41" s="15">
        <f>'районы КП, СП'!Z45</f>
        <v>0</v>
      </c>
      <c r="AQ41" s="15">
        <f>'районы КП, СП'!AA45</f>
        <v>2</v>
      </c>
      <c r="AR41" s="15">
        <f>'районы КП, СП'!AB45</f>
        <v>2</v>
      </c>
      <c r="AS41" s="15">
        <f>'районы КП, СП'!AC45</f>
        <v>4</v>
      </c>
      <c r="AT41" s="15">
        <f>'районы КП, СП'!AD45</f>
        <v>200</v>
      </c>
      <c r="AU41" s="15">
        <f>'районы КП, СП'!AM45</f>
        <v>0</v>
      </c>
      <c r="AV41" s="15">
        <f>'районы КП, СП'!AN45</f>
        <v>0</v>
      </c>
      <c r="AW41" s="15">
        <f>'районы КП, СП'!AO45</f>
        <v>1</v>
      </c>
      <c r="AX41" s="15">
        <f>'районы КП, СП'!AP45</f>
        <v>0</v>
      </c>
      <c r="AY41" s="15">
        <f>'районы КП, СП'!BC45</f>
        <v>0</v>
      </c>
      <c r="AZ41" s="15">
        <f>'районы КП, СП'!BD45</f>
        <v>0</v>
      </c>
      <c r="BA41" s="15">
        <f>'районы КП, СП'!BE45</f>
        <v>0</v>
      </c>
      <c r="BB41" s="15">
        <f>'районы КП, СП'!BF45</f>
        <v>0</v>
      </c>
      <c r="BC41" s="15">
        <f>'районы КП, СП'!BG45</f>
        <v>0</v>
      </c>
      <c r="BD41" s="15">
        <f>'районы КП, СП'!BH45</f>
        <v>0</v>
      </c>
      <c r="BE41" s="15">
        <f>'районы КП, СП'!BI45</f>
        <v>0</v>
      </c>
      <c r="BF41" s="15">
        <f>'районы КП, СП'!BJ45</f>
        <v>0</v>
      </c>
      <c r="BG41" s="15">
        <f>'районы НП, ЧП'!K45</f>
        <v>15</v>
      </c>
      <c r="BH41" s="15">
        <f>'районы НП, ЧП'!L45</f>
        <v>15</v>
      </c>
      <c r="BI41" s="15">
        <f>'районы НП, ЧП'!M45</f>
        <v>6</v>
      </c>
      <c r="BJ41" s="15">
        <f>'районы НП, ЧП'!N45</f>
        <v>40</v>
      </c>
      <c r="BK41" s="15">
        <f>'районы НП, ЧП'!AA45</f>
        <v>3</v>
      </c>
      <c r="BL41" s="15">
        <f>'районы НП, ЧП'!AB45</f>
        <v>3</v>
      </c>
      <c r="BM41" s="15">
        <f>'районы НП, ЧП'!AC45</f>
        <v>2</v>
      </c>
      <c r="BN41" s="15">
        <f>'районы НП, ЧП'!AD45</f>
        <v>66.666666666666657</v>
      </c>
      <c r="BO41" s="15">
        <f>'районы НП, ЧП'!AE45</f>
        <v>4</v>
      </c>
      <c r="BP41" s="15">
        <f>'районы НП, ЧП'!AF45</f>
        <v>4</v>
      </c>
      <c r="BQ41" s="15">
        <f>'районы НП, ЧП'!AG45</f>
        <v>4</v>
      </c>
      <c r="BR41" s="15">
        <f>'районы НП, ЧП'!AH45</f>
        <v>100</v>
      </c>
      <c r="BS41" s="15">
        <f>'районы НП, ЧП'!AI45</f>
        <v>0</v>
      </c>
      <c r="BT41" s="15">
        <f>'районы НП, ЧП'!AJ45</f>
        <v>0</v>
      </c>
      <c r="BU41" s="15">
        <f>'районы НП, ЧП'!AK45</f>
        <v>0</v>
      </c>
      <c r="BV41" s="15">
        <f>'районы НП, ЧП'!AL45</f>
        <v>0</v>
      </c>
      <c r="BW41" s="15">
        <f>'районы НП, ЧП'!AM45</f>
        <v>0</v>
      </c>
      <c r="BX41" s="15">
        <f>'районы НП, ЧП'!AN45</f>
        <v>0</v>
      </c>
      <c r="BY41" s="15">
        <f>'районы НП, ЧП'!AO45</f>
        <v>0</v>
      </c>
      <c r="BZ41" s="15">
        <f>'районы НП, ЧП'!AP45</f>
        <v>0</v>
      </c>
      <c r="CA41" s="15">
        <f>'районы НП, ЧП'!AU45</f>
        <v>0</v>
      </c>
      <c r="CB41" s="15">
        <f>'районы НП, ЧП'!AV45</f>
        <v>0</v>
      </c>
      <c r="CC41" s="15">
        <f>'районы НП, ЧП'!AW45</f>
        <v>0</v>
      </c>
      <c r="CD41" s="15">
        <f>'районы НП, ЧП'!AX45</f>
        <v>0</v>
      </c>
      <c r="CE41" s="292">
        <f t="shared" si="1"/>
        <v>125</v>
      </c>
      <c r="CF41" s="292">
        <f t="shared" si="2"/>
        <v>125</v>
      </c>
      <c r="CG41" s="292">
        <f t="shared" si="2"/>
        <v>104</v>
      </c>
      <c r="CH41" s="293">
        <f t="shared" si="3"/>
        <v>83.2</v>
      </c>
    </row>
    <row r="42" spans="1:87" ht="15.75" x14ac:dyDescent="0.2">
      <c r="A42" s="29" t="s">
        <v>151</v>
      </c>
      <c r="B42" s="60" t="s">
        <v>339</v>
      </c>
      <c r="C42" s="15">
        <f>КЛПУ!BS46</f>
        <v>0</v>
      </c>
      <c r="D42" s="15">
        <f>КЛПУ!BT46</f>
        <v>0</v>
      </c>
      <c r="E42" s="15">
        <f>КЛПУ!BU46</f>
        <v>0</v>
      </c>
      <c r="F42" s="15">
        <f>КЛПУ!BV46</f>
        <v>0</v>
      </c>
      <c r="G42" s="15">
        <f>Хабаровск!EY46</f>
        <v>589</v>
      </c>
      <c r="H42" s="15">
        <f>Хабаровск!EZ46</f>
        <v>589</v>
      </c>
      <c r="I42" s="15">
        <f>Хабаровск!FA46</f>
        <v>624</v>
      </c>
      <c r="J42" s="15">
        <f>Хабаровск!FB46</f>
        <v>105.94227504244482</v>
      </c>
      <c r="K42" s="15">
        <f>'Хаб.р-ны'!K46</f>
        <v>105</v>
      </c>
      <c r="L42" s="15">
        <f>'Хаб.р-ны'!L46</f>
        <v>105</v>
      </c>
      <c r="M42" s="15">
        <f>'Хаб.р-ны'!M46</f>
        <v>106</v>
      </c>
      <c r="N42" s="15">
        <f>'Хаб.р-ны'!N46</f>
        <v>100.95238095238095</v>
      </c>
      <c r="O42" s="15">
        <f>'Хаб.р-ны'!AA46</f>
        <v>103</v>
      </c>
      <c r="P42" s="15">
        <f>'Хаб.р-ны'!AB46</f>
        <v>103</v>
      </c>
      <c r="Q42" s="15">
        <f>'Хаб.р-ны'!AC46</f>
        <v>118</v>
      </c>
      <c r="R42" s="15">
        <f>'Хаб.р-ны'!AD46</f>
        <v>114.5631067961165</v>
      </c>
      <c r="S42" s="15">
        <f>'Хаб.р-ны'!AU46</f>
        <v>146</v>
      </c>
      <c r="T42" s="15">
        <f>'Хаб.р-ны'!AV46</f>
        <v>146</v>
      </c>
      <c r="U42" s="15">
        <f>'Хаб.р-ны'!AW46</f>
        <v>71</v>
      </c>
      <c r="V42" s="15">
        <f>'Хаб.р-ны'!AX46</f>
        <v>48.630136986301373</v>
      </c>
      <c r="W42" s="15">
        <f>'Хаб.р-ны'!AY46</f>
        <v>20</v>
      </c>
      <c r="X42" s="15">
        <f>'Хаб.р-ны'!AZ46</f>
        <v>20</v>
      </c>
      <c r="Y42" s="15">
        <f>'Хаб.р-ны'!BA46</f>
        <v>22</v>
      </c>
      <c r="Z42" s="15">
        <f>'Хаб.р-ны'!BB46</f>
        <v>110.00000000000001</v>
      </c>
      <c r="AA42" s="15">
        <f>'Хаб.р-ны'!BK46</f>
        <v>64</v>
      </c>
      <c r="AB42" s="15">
        <f>'Хаб.р-ны'!BL46</f>
        <v>64</v>
      </c>
      <c r="AC42" s="15">
        <f>'Хаб.р-ны'!BM46</f>
        <v>65</v>
      </c>
      <c r="AD42" s="15">
        <f>'Хаб.р-ны'!BN46</f>
        <v>101.5625</v>
      </c>
      <c r="AE42" s="15">
        <f>Комсомольск!BO46</f>
        <v>141</v>
      </c>
      <c r="AF42" s="15">
        <f>Комсомольск!BP46</f>
        <v>141</v>
      </c>
      <c r="AG42" s="15">
        <f>Комсомольск!BQ46</f>
        <v>116</v>
      </c>
      <c r="AH42" s="15">
        <f>Комсомольск!BR46</f>
        <v>82.269503546099287</v>
      </c>
      <c r="AI42" s="15">
        <f>'районы КП, СП'!K46</f>
        <v>69</v>
      </c>
      <c r="AJ42" s="15">
        <f>'районы КП, СП'!L46</f>
        <v>69</v>
      </c>
      <c r="AK42" s="15">
        <f>'районы КП, СП'!M46</f>
        <v>59</v>
      </c>
      <c r="AL42" s="15">
        <f>'районы КП, СП'!N46</f>
        <v>85.507246376811594</v>
      </c>
      <c r="AM42" s="15">
        <f>'районы КП, СП'!W46</f>
        <v>33</v>
      </c>
      <c r="AN42" s="15">
        <f>'районы КП, СП'!X46</f>
        <v>33</v>
      </c>
      <c r="AO42" s="15">
        <f>'районы КП, СП'!Y46</f>
        <v>21</v>
      </c>
      <c r="AP42" s="15">
        <f>'районы КП, СП'!Z46</f>
        <v>63.636363636363633</v>
      </c>
      <c r="AQ42" s="15">
        <f>'районы КП, СП'!AA46</f>
        <v>96</v>
      </c>
      <c r="AR42" s="15">
        <f>'районы КП, СП'!AB46</f>
        <v>96</v>
      </c>
      <c r="AS42" s="15">
        <f>'районы КП, СП'!AC46</f>
        <v>99</v>
      </c>
      <c r="AT42" s="15">
        <f>'районы КП, СП'!AD46</f>
        <v>103.125</v>
      </c>
      <c r="AU42" s="15">
        <f>'районы КП, СП'!AM46</f>
        <v>125</v>
      </c>
      <c r="AV42" s="15">
        <f>'районы КП, СП'!AN46</f>
        <v>125</v>
      </c>
      <c r="AW42" s="15">
        <f>'районы КП, СП'!AO46</f>
        <v>103</v>
      </c>
      <c r="AX42" s="15">
        <f>'районы КП, СП'!AP46</f>
        <v>82.399999999999991</v>
      </c>
      <c r="AY42" s="15">
        <f>'районы КП, СП'!BC46</f>
        <v>48</v>
      </c>
      <c r="AZ42" s="15">
        <f>'районы КП, СП'!BD46</f>
        <v>48</v>
      </c>
      <c r="BA42" s="15">
        <f>'районы КП, СП'!BE46</f>
        <v>58</v>
      </c>
      <c r="BB42" s="15">
        <f>'районы КП, СП'!BF46</f>
        <v>120.83333333333333</v>
      </c>
      <c r="BC42" s="15">
        <f>'районы КП, СП'!BG46</f>
        <v>0</v>
      </c>
      <c r="BD42" s="15">
        <f>'районы КП, СП'!BH46</f>
        <v>0</v>
      </c>
      <c r="BE42" s="15">
        <f>'районы КП, СП'!BI46</f>
        <v>0</v>
      </c>
      <c r="BF42" s="15">
        <f>'районы КП, СП'!BJ46</f>
        <v>0</v>
      </c>
      <c r="BG42" s="15">
        <f>'районы НП, ЧП'!K46</f>
        <v>63</v>
      </c>
      <c r="BH42" s="15">
        <f>'районы НП, ЧП'!L46</f>
        <v>63</v>
      </c>
      <c r="BI42" s="15">
        <f>'районы НП, ЧП'!M46</f>
        <v>60</v>
      </c>
      <c r="BJ42" s="15">
        <f>'районы НП, ЧП'!N46</f>
        <v>95.238095238095227</v>
      </c>
      <c r="BK42" s="15">
        <f>'районы НП, ЧП'!AA46</f>
        <v>21</v>
      </c>
      <c r="BL42" s="15">
        <f>'районы НП, ЧП'!AB46</f>
        <v>21</v>
      </c>
      <c r="BM42" s="15">
        <f>'районы НП, ЧП'!AC46</f>
        <v>28</v>
      </c>
      <c r="BN42" s="15">
        <f>'районы НП, ЧП'!AD46</f>
        <v>133.33333333333331</v>
      </c>
      <c r="BO42" s="15">
        <f>'районы НП, ЧП'!AE46</f>
        <v>3</v>
      </c>
      <c r="BP42" s="15">
        <f>'районы НП, ЧП'!AF46</f>
        <v>3</v>
      </c>
      <c r="BQ42" s="15">
        <f>'районы НП, ЧП'!AG46</f>
        <v>3</v>
      </c>
      <c r="BR42" s="15">
        <f>'районы НП, ЧП'!AH46</f>
        <v>100</v>
      </c>
      <c r="BS42" s="15">
        <f>'районы НП, ЧП'!AI46</f>
        <v>0</v>
      </c>
      <c r="BT42" s="15">
        <f>'районы НП, ЧП'!AJ46</f>
        <v>0</v>
      </c>
      <c r="BU42" s="15">
        <f>'районы НП, ЧП'!AK46</f>
        <v>0</v>
      </c>
      <c r="BV42" s="15">
        <f>'районы НП, ЧП'!AL46</f>
        <v>0</v>
      </c>
      <c r="BW42" s="15">
        <f>'районы НП, ЧП'!AM46</f>
        <v>22</v>
      </c>
      <c r="BX42" s="15">
        <f>'районы НП, ЧП'!AN46</f>
        <v>22</v>
      </c>
      <c r="BY42" s="15">
        <f>'районы НП, ЧП'!AO46</f>
        <v>22</v>
      </c>
      <c r="BZ42" s="15">
        <f>'районы НП, ЧП'!AP46</f>
        <v>100</v>
      </c>
      <c r="CA42" s="15">
        <f>'районы НП, ЧП'!AU46</f>
        <v>20</v>
      </c>
      <c r="CB42" s="15">
        <f>'районы НП, ЧП'!AV46</f>
        <v>20</v>
      </c>
      <c r="CC42" s="15">
        <f>'районы НП, ЧП'!AW46</f>
        <v>7</v>
      </c>
      <c r="CD42" s="15">
        <f>'районы НП, ЧП'!AX46</f>
        <v>35</v>
      </c>
      <c r="CE42" s="292">
        <f t="shared" si="1"/>
        <v>1668</v>
      </c>
      <c r="CF42" s="292">
        <f t="shared" si="2"/>
        <v>1668</v>
      </c>
      <c r="CG42" s="292">
        <f t="shared" si="2"/>
        <v>1582</v>
      </c>
      <c r="CH42" s="293">
        <f t="shared" si="3"/>
        <v>94.844124700239803</v>
      </c>
    </row>
    <row r="43" spans="1:87" ht="15.75" x14ac:dyDescent="0.2">
      <c r="A43" s="29" t="s">
        <v>152</v>
      </c>
      <c r="B43" s="60" t="s">
        <v>339</v>
      </c>
      <c r="C43" s="15">
        <f>КЛПУ!BS47</f>
        <v>0</v>
      </c>
      <c r="D43" s="15">
        <f>КЛПУ!BT47</f>
        <v>0</v>
      </c>
      <c r="E43" s="15">
        <f>КЛПУ!BU47</f>
        <v>0</v>
      </c>
      <c r="F43" s="15">
        <f>КЛПУ!BV47</f>
        <v>0</v>
      </c>
      <c r="G43" s="15">
        <f>Хабаровск!EY47</f>
        <v>252</v>
      </c>
      <c r="H43" s="15">
        <f>Хабаровск!EZ47</f>
        <v>252</v>
      </c>
      <c r="I43" s="15">
        <f>Хабаровск!FA47</f>
        <v>214</v>
      </c>
      <c r="J43" s="15">
        <f>Хабаровск!FB47</f>
        <v>84.920634920634924</v>
      </c>
      <c r="K43" s="15">
        <f>'Хаб.р-ны'!K47</f>
        <v>60</v>
      </c>
      <c r="L43" s="15">
        <f>'Хаб.р-ны'!L47</f>
        <v>60</v>
      </c>
      <c r="M43" s="15">
        <f>'Хаб.р-ны'!M47</f>
        <v>51</v>
      </c>
      <c r="N43" s="15">
        <f>'Хаб.р-ны'!N47</f>
        <v>85</v>
      </c>
      <c r="O43" s="15">
        <f>'Хаб.р-ны'!AA47</f>
        <v>34</v>
      </c>
      <c r="P43" s="15">
        <f>'Хаб.р-ны'!AB47</f>
        <v>34</v>
      </c>
      <c r="Q43" s="15">
        <f>'Хаб.р-ны'!AC47</f>
        <v>28</v>
      </c>
      <c r="R43" s="15">
        <f>'Хаб.р-ны'!AD47</f>
        <v>82.35294117647058</v>
      </c>
      <c r="S43" s="15">
        <f>'Хаб.р-ны'!AU47</f>
        <v>7</v>
      </c>
      <c r="T43" s="15">
        <f>'Хаб.р-ны'!AV47</f>
        <v>7</v>
      </c>
      <c r="U43" s="15">
        <f>'Хаб.р-ны'!AW47</f>
        <v>33</v>
      </c>
      <c r="V43" s="15">
        <f>'Хаб.р-ны'!AX47</f>
        <v>471.42857142857144</v>
      </c>
      <c r="W43" s="15">
        <f>'Хаб.р-ны'!AY47</f>
        <v>16</v>
      </c>
      <c r="X43" s="15">
        <f>'Хаб.р-ны'!AZ47</f>
        <v>16</v>
      </c>
      <c r="Y43" s="15">
        <f>'Хаб.р-ны'!BA47</f>
        <v>13</v>
      </c>
      <c r="Z43" s="15">
        <f>'Хаб.р-ны'!BB47</f>
        <v>81.25</v>
      </c>
      <c r="AA43" s="15">
        <f>'Хаб.р-ны'!BK47</f>
        <v>54</v>
      </c>
      <c r="AB43" s="15">
        <f>'Хаб.р-ны'!BL47</f>
        <v>54</v>
      </c>
      <c r="AC43" s="15">
        <f>'Хаб.р-ны'!BM47</f>
        <v>54</v>
      </c>
      <c r="AD43" s="15">
        <f>'Хаб.р-ны'!BN47</f>
        <v>100</v>
      </c>
      <c r="AE43" s="15">
        <f>Комсомольск!BO47</f>
        <v>87</v>
      </c>
      <c r="AF43" s="15">
        <f>Комсомольск!BP47</f>
        <v>87</v>
      </c>
      <c r="AG43" s="15">
        <f>Комсомольск!BQ47</f>
        <v>98</v>
      </c>
      <c r="AH43" s="15">
        <f>Комсомольск!BR47</f>
        <v>112.64367816091954</v>
      </c>
      <c r="AI43" s="15">
        <f>'районы КП, СП'!K47</f>
        <v>13</v>
      </c>
      <c r="AJ43" s="15">
        <f>'районы КП, СП'!L47</f>
        <v>13</v>
      </c>
      <c r="AK43" s="15">
        <f>'районы КП, СП'!M47</f>
        <v>39</v>
      </c>
      <c r="AL43" s="15">
        <f>'районы КП, СП'!N47</f>
        <v>300</v>
      </c>
      <c r="AM43" s="15">
        <f>'районы КП, СП'!W47</f>
        <v>16</v>
      </c>
      <c r="AN43" s="15">
        <f>'районы КП, СП'!X47</f>
        <v>16</v>
      </c>
      <c r="AO43" s="15">
        <f>'районы КП, СП'!Y47</f>
        <v>7</v>
      </c>
      <c r="AP43" s="15">
        <f>'районы КП, СП'!Z47</f>
        <v>43.75</v>
      </c>
      <c r="AQ43" s="15">
        <f>'районы КП, СП'!AA47</f>
        <v>19</v>
      </c>
      <c r="AR43" s="15">
        <f>'районы КП, СП'!AB47</f>
        <v>19</v>
      </c>
      <c r="AS43" s="15">
        <f>'районы КП, СП'!AC47</f>
        <v>16</v>
      </c>
      <c r="AT43" s="15">
        <f>'районы КП, СП'!AD47</f>
        <v>84.210526315789465</v>
      </c>
      <c r="AU43" s="15">
        <f>'районы КП, СП'!AM47</f>
        <v>10</v>
      </c>
      <c r="AV43" s="15">
        <f>'районы КП, СП'!AN47</f>
        <v>10</v>
      </c>
      <c r="AW43" s="15">
        <f>'районы КП, СП'!AO47</f>
        <v>31</v>
      </c>
      <c r="AX43" s="15">
        <f>'районы КП, СП'!AP47</f>
        <v>310</v>
      </c>
      <c r="AY43" s="15">
        <f>'районы КП, СП'!BC47</f>
        <v>31</v>
      </c>
      <c r="AZ43" s="15">
        <f>'районы КП, СП'!BD47</f>
        <v>31</v>
      </c>
      <c r="BA43" s="15">
        <f>'районы КП, СП'!BE47</f>
        <v>22</v>
      </c>
      <c r="BB43" s="15">
        <f>'районы КП, СП'!BF47</f>
        <v>70.967741935483872</v>
      </c>
      <c r="BC43" s="15">
        <f>'районы КП, СП'!BG47</f>
        <v>0</v>
      </c>
      <c r="BD43" s="15">
        <f>'районы КП, СП'!BH47</f>
        <v>0</v>
      </c>
      <c r="BE43" s="15">
        <f>'районы КП, СП'!BI47</f>
        <v>0</v>
      </c>
      <c r="BF43" s="15">
        <f>'районы КП, СП'!BJ47</f>
        <v>0</v>
      </c>
      <c r="BG43" s="15">
        <f>'районы НП, ЧП'!K47</f>
        <v>38</v>
      </c>
      <c r="BH43" s="15">
        <f>'районы НП, ЧП'!L47</f>
        <v>38</v>
      </c>
      <c r="BI43" s="15">
        <f>'районы НП, ЧП'!M47</f>
        <v>38</v>
      </c>
      <c r="BJ43" s="15">
        <f>'районы НП, ЧП'!N47</f>
        <v>100</v>
      </c>
      <c r="BK43" s="15">
        <f>'районы НП, ЧП'!AA47</f>
        <v>15</v>
      </c>
      <c r="BL43" s="15">
        <f>'районы НП, ЧП'!AB47</f>
        <v>15</v>
      </c>
      <c r="BM43" s="15">
        <f>'районы НП, ЧП'!AC47</f>
        <v>8</v>
      </c>
      <c r="BN43" s="15">
        <f>'районы НП, ЧП'!AD47</f>
        <v>53.333333333333336</v>
      </c>
      <c r="BO43" s="15">
        <f>'районы НП, ЧП'!AE47</f>
        <v>1</v>
      </c>
      <c r="BP43" s="15">
        <f>'районы НП, ЧП'!AF47</f>
        <v>1</v>
      </c>
      <c r="BQ43" s="15">
        <f>'районы НП, ЧП'!AG47</f>
        <v>2</v>
      </c>
      <c r="BR43" s="15">
        <f>'районы НП, ЧП'!AH47</f>
        <v>200</v>
      </c>
      <c r="BS43" s="15">
        <f>'районы НП, ЧП'!AI47</f>
        <v>0</v>
      </c>
      <c r="BT43" s="15">
        <f>'районы НП, ЧП'!AJ47</f>
        <v>0</v>
      </c>
      <c r="BU43" s="15">
        <f>'районы НП, ЧП'!AK47</f>
        <v>0</v>
      </c>
      <c r="BV43" s="15">
        <f>'районы НП, ЧП'!AL47</f>
        <v>0</v>
      </c>
      <c r="BW43" s="15">
        <f>'районы НП, ЧП'!AM47</f>
        <v>10</v>
      </c>
      <c r="BX43" s="15">
        <f>'районы НП, ЧП'!AN47</f>
        <v>10</v>
      </c>
      <c r="BY43" s="15">
        <f>'районы НП, ЧП'!AO47</f>
        <v>8</v>
      </c>
      <c r="BZ43" s="15">
        <f>'районы НП, ЧП'!AP47</f>
        <v>80</v>
      </c>
      <c r="CA43" s="15">
        <f>'районы НП, ЧП'!AU47</f>
        <v>11</v>
      </c>
      <c r="CB43" s="15">
        <f>'районы НП, ЧП'!AV47</f>
        <v>11</v>
      </c>
      <c r="CC43" s="15">
        <f>'районы НП, ЧП'!AW47</f>
        <v>4</v>
      </c>
      <c r="CD43" s="15">
        <f>'районы НП, ЧП'!AX47</f>
        <v>36.363636363636367</v>
      </c>
      <c r="CE43" s="292">
        <f t="shared" si="1"/>
        <v>674</v>
      </c>
      <c r="CF43" s="292">
        <f t="shared" si="2"/>
        <v>674</v>
      </c>
      <c r="CG43" s="292">
        <f t="shared" si="2"/>
        <v>666</v>
      </c>
      <c r="CH43" s="293">
        <f t="shared" si="3"/>
        <v>98.813056379821958</v>
      </c>
    </row>
    <row r="44" spans="1:87" ht="31.5" x14ac:dyDescent="0.25">
      <c r="A44" s="30" t="s">
        <v>153</v>
      </c>
      <c r="B44" s="57" t="s">
        <v>3</v>
      </c>
      <c r="C44" s="15">
        <f>КЛПУ!BS48</f>
        <v>0</v>
      </c>
      <c r="D44" s="15">
        <f>КЛПУ!BT48</f>
        <v>0</v>
      </c>
      <c r="E44" s="15">
        <f>КЛПУ!BU48</f>
        <v>0</v>
      </c>
      <c r="F44" s="15">
        <f>КЛПУ!BV48</f>
        <v>0</v>
      </c>
      <c r="G44" s="15">
        <f>Хабаровск!EY48</f>
        <v>5055</v>
      </c>
      <c r="H44" s="15">
        <f>Хабаровск!EZ48</f>
        <v>5055</v>
      </c>
      <c r="I44" s="15">
        <f>Хабаровск!FA48</f>
        <v>4576</v>
      </c>
      <c r="J44" s="15">
        <f>Хабаровск!FB48</f>
        <v>90.52423343224531</v>
      </c>
      <c r="K44" s="15">
        <f>'Хаб.р-ны'!K48</f>
        <v>538</v>
      </c>
      <c r="L44" s="15">
        <f>'Хаб.р-ны'!L48</f>
        <v>538</v>
      </c>
      <c r="M44" s="15">
        <f>'Хаб.р-ны'!M48</f>
        <v>269</v>
      </c>
      <c r="N44" s="15">
        <f>'Хаб.р-ны'!N48</f>
        <v>50</v>
      </c>
      <c r="O44" s="15">
        <f>'Хаб.р-ны'!AA48</f>
        <v>1693</v>
      </c>
      <c r="P44" s="15">
        <f>'Хаб.р-ны'!AB48</f>
        <v>1693</v>
      </c>
      <c r="Q44" s="15">
        <f>'Хаб.р-ны'!AC48</f>
        <v>1567</v>
      </c>
      <c r="R44" s="15">
        <f>'Хаб.р-ны'!AD48</f>
        <v>92.557590076786767</v>
      </c>
      <c r="S44" s="15">
        <f>'Хаб.р-ны'!AU48</f>
        <v>348</v>
      </c>
      <c r="T44" s="15">
        <f>'Хаб.р-ны'!AV48</f>
        <v>348</v>
      </c>
      <c r="U44" s="15">
        <f>'Хаб.р-ны'!AW48</f>
        <v>386</v>
      </c>
      <c r="V44" s="15">
        <f>'Хаб.р-ны'!AX48</f>
        <v>110.91954022988506</v>
      </c>
      <c r="W44" s="15">
        <f>'Хаб.р-ны'!AY48</f>
        <v>1393</v>
      </c>
      <c r="X44" s="15">
        <f>'Хаб.р-ны'!AZ48</f>
        <v>1393</v>
      </c>
      <c r="Y44" s="15">
        <f>'Хаб.р-ны'!BA48</f>
        <v>1429</v>
      </c>
      <c r="Z44" s="15">
        <f>'Хаб.р-ны'!BB48</f>
        <v>102.58435032304378</v>
      </c>
      <c r="AA44" s="15">
        <f>'Хаб.р-ны'!BK48</f>
        <v>834</v>
      </c>
      <c r="AB44" s="15">
        <f>'Хаб.р-ны'!BL48</f>
        <v>834</v>
      </c>
      <c r="AC44" s="15">
        <f>'Хаб.р-ны'!BM48</f>
        <v>739</v>
      </c>
      <c r="AD44" s="15">
        <f>'Хаб.р-ны'!BN48</f>
        <v>88.609112709832132</v>
      </c>
      <c r="AE44" s="15">
        <f>Комсомольск!BO48</f>
        <v>6181</v>
      </c>
      <c r="AF44" s="15">
        <f>Комсомольск!BP48</f>
        <v>6181</v>
      </c>
      <c r="AG44" s="15">
        <f>Комсомольск!BQ48</f>
        <v>6081</v>
      </c>
      <c r="AH44" s="15">
        <f>Комсомольск!BR48</f>
        <v>98.382138812489885</v>
      </c>
      <c r="AI44" s="15">
        <f>'районы КП, СП'!K48</f>
        <v>207</v>
      </c>
      <c r="AJ44" s="15">
        <f>'районы КП, СП'!L48</f>
        <v>207</v>
      </c>
      <c r="AK44" s="15">
        <f>'районы КП, СП'!M48</f>
        <v>189</v>
      </c>
      <c r="AL44" s="15">
        <f>'районы КП, СП'!N48</f>
        <v>91.304347826086953</v>
      </c>
      <c r="AM44" s="15">
        <f>'районы КП, СП'!W48</f>
        <v>822</v>
      </c>
      <c r="AN44" s="15">
        <f>'районы КП, СП'!X48</f>
        <v>822</v>
      </c>
      <c r="AO44" s="15">
        <f>'районы КП, СП'!Y48</f>
        <v>408</v>
      </c>
      <c r="AP44" s="15">
        <f>'районы КП, СП'!Z48</f>
        <v>49.635036496350367</v>
      </c>
      <c r="AQ44" s="15">
        <f>'районы КП, СП'!AA48</f>
        <v>1156</v>
      </c>
      <c r="AR44" s="15">
        <f>'районы КП, СП'!AB48</f>
        <v>1156</v>
      </c>
      <c r="AS44" s="15">
        <f>'районы КП, СП'!AC48</f>
        <v>1011</v>
      </c>
      <c r="AT44" s="15">
        <f>'районы КП, СП'!AD48</f>
        <v>87.456747404844293</v>
      </c>
      <c r="AU44" s="15">
        <f>'районы КП, СП'!AM48</f>
        <v>403</v>
      </c>
      <c r="AV44" s="15">
        <f>'районы КП, СП'!AN48</f>
        <v>403</v>
      </c>
      <c r="AW44" s="15">
        <f>'районы КП, СП'!AO48</f>
        <v>664</v>
      </c>
      <c r="AX44" s="15">
        <f>'районы КП, СП'!AP48</f>
        <v>164.76426799007444</v>
      </c>
      <c r="AY44" s="15">
        <f>'районы КП, СП'!BC48</f>
        <v>955</v>
      </c>
      <c r="AZ44" s="15">
        <f>'районы КП, СП'!BD48</f>
        <v>955</v>
      </c>
      <c r="BA44" s="15">
        <f>'районы КП, СП'!BE48</f>
        <v>1159</v>
      </c>
      <c r="BB44" s="15">
        <f>'районы КП, СП'!BF48</f>
        <v>121.36125654450262</v>
      </c>
      <c r="BC44" s="15">
        <f>'районы КП, СП'!BG48</f>
        <v>291</v>
      </c>
      <c r="BD44" s="15">
        <f>'районы КП, СП'!BH48</f>
        <v>291</v>
      </c>
      <c r="BE44" s="15">
        <f>'районы КП, СП'!BI48</f>
        <v>0</v>
      </c>
      <c r="BF44" s="15">
        <f>'районы КП, СП'!BJ48</f>
        <v>0</v>
      </c>
      <c r="BG44" s="15">
        <f>'районы НП, ЧП'!K48</f>
        <v>900</v>
      </c>
      <c r="BH44" s="15">
        <f>'районы НП, ЧП'!L48</f>
        <v>900</v>
      </c>
      <c r="BI44" s="15">
        <f>'районы НП, ЧП'!M48</f>
        <v>1053</v>
      </c>
      <c r="BJ44" s="15">
        <f>'районы НП, ЧП'!N48</f>
        <v>117</v>
      </c>
      <c r="BK44" s="15">
        <f>'районы НП, ЧП'!AA48</f>
        <v>1662</v>
      </c>
      <c r="BL44" s="15">
        <f>'районы НП, ЧП'!AB48</f>
        <v>1662</v>
      </c>
      <c r="BM44" s="15">
        <f>'районы НП, ЧП'!AC48</f>
        <v>1677</v>
      </c>
      <c r="BN44" s="15">
        <f>'районы НП, ЧП'!AD48</f>
        <v>100.90252707581226</v>
      </c>
      <c r="BO44" s="15">
        <f>'районы НП, ЧП'!AE48</f>
        <v>198</v>
      </c>
      <c r="BP44" s="15">
        <f>'районы НП, ЧП'!AF48</f>
        <v>198</v>
      </c>
      <c r="BQ44" s="15">
        <f>'районы НП, ЧП'!AG48</f>
        <v>185</v>
      </c>
      <c r="BR44" s="15">
        <f>'районы НП, ЧП'!AH48</f>
        <v>93.434343434343432</v>
      </c>
      <c r="BS44" s="15">
        <f>'районы НП, ЧП'!AI48</f>
        <v>0</v>
      </c>
      <c r="BT44" s="15">
        <f>'районы НП, ЧП'!AJ48</f>
        <v>0</v>
      </c>
      <c r="BU44" s="15">
        <f>'районы НП, ЧП'!AK48</f>
        <v>0</v>
      </c>
      <c r="BV44" s="15">
        <f>'районы НП, ЧП'!AL48</f>
        <v>0</v>
      </c>
      <c r="BW44" s="15">
        <f>'районы НП, ЧП'!AM48</f>
        <v>266</v>
      </c>
      <c r="BX44" s="15">
        <f>'районы НП, ЧП'!AN48</f>
        <v>266</v>
      </c>
      <c r="BY44" s="15">
        <f>'районы НП, ЧП'!AO48</f>
        <v>277</v>
      </c>
      <c r="BZ44" s="15">
        <f>'районы НП, ЧП'!AP48</f>
        <v>104.13533834586465</v>
      </c>
      <c r="CA44" s="15">
        <f>'районы НП, ЧП'!AU48</f>
        <v>311</v>
      </c>
      <c r="CB44" s="15">
        <f>'районы НП, ЧП'!AV48</f>
        <v>311</v>
      </c>
      <c r="CC44" s="15">
        <f>'районы НП, ЧП'!AW48</f>
        <v>0</v>
      </c>
      <c r="CD44" s="15">
        <f>'районы НП, ЧП'!AX48</f>
        <v>0</v>
      </c>
      <c r="CE44" s="292">
        <f t="shared" si="1"/>
        <v>23213</v>
      </c>
      <c r="CF44" s="292">
        <f t="shared" si="2"/>
        <v>23213</v>
      </c>
      <c r="CG44" s="292">
        <f t="shared" si="2"/>
        <v>21670</v>
      </c>
      <c r="CH44" s="293">
        <f t="shared" si="3"/>
        <v>93.35286262008357</v>
      </c>
      <c r="CI44">
        <v>-63</v>
      </c>
    </row>
    <row r="45" spans="1:87" ht="15.75" x14ac:dyDescent="0.2">
      <c r="A45" s="29" t="s">
        <v>149</v>
      </c>
      <c r="B45" s="60" t="s">
        <v>339</v>
      </c>
      <c r="C45" s="15">
        <f>КЛПУ!BS49</f>
        <v>0</v>
      </c>
      <c r="D45" s="15">
        <f>КЛПУ!BT49</f>
        <v>0</v>
      </c>
      <c r="E45" s="15">
        <f>КЛПУ!BU49</f>
        <v>0</v>
      </c>
      <c r="F45" s="15">
        <f>КЛПУ!BV49</f>
        <v>0</v>
      </c>
      <c r="G45" s="15">
        <f>Хабаровск!EY49</f>
        <v>16</v>
      </c>
      <c r="H45" s="332">
        <f>Хабаровск!EZ49</f>
        <v>16</v>
      </c>
      <c r="I45" s="332">
        <f>Хабаровск!FA49</f>
        <v>23</v>
      </c>
      <c r="J45" s="332">
        <f>Хабаровск!FB49</f>
        <v>143.75</v>
      </c>
      <c r="K45" s="332">
        <f>'Хаб.р-ны'!K49</f>
        <v>0</v>
      </c>
      <c r="L45" s="332">
        <f>'Хаб.р-ны'!L49</f>
        <v>0</v>
      </c>
      <c r="M45" s="332">
        <f>'Хаб.р-ны'!M49</f>
        <v>0</v>
      </c>
      <c r="N45" s="332">
        <f>'Хаб.р-ны'!N49</f>
        <v>0</v>
      </c>
      <c r="O45" s="332">
        <f>'Хаб.р-ны'!AA49</f>
        <v>8</v>
      </c>
      <c r="P45" s="332">
        <f>'Хаб.р-ны'!AB49</f>
        <v>8</v>
      </c>
      <c r="Q45" s="332">
        <f>'Хаб.р-ны'!AC49</f>
        <v>10</v>
      </c>
      <c r="R45" s="332">
        <f>'Хаб.р-ны'!AD49</f>
        <v>125</v>
      </c>
      <c r="S45" s="332">
        <f>'Хаб.р-ны'!AU49</f>
        <v>2</v>
      </c>
      <c r="T45" s="332">
        <f>'Хаб.р-ны'!AV49</f>
        <v>2</v>
      </c>
      <c r="U45" s="332">
        <f>'Хаб.р-ны'!AW49</f>
        <v>2</v>
      </c>
      <c r="V45" s="332">
        <f>'Хаб.р-ны'!AX49</f>
        <v>100</v>
      </c>
      <c r="W45" s="332">
        <f>'Хаб.р-ны'!AY49</f>
        <v>5</v>
      </c>
      <c r="X45" s="332">
        <f>'Хаб.р-ны'!AZ49</f>
        <v>5</v>
      </c>
      <c r="Y45" s="332">
        <f>'Хаб.р-ны'!BA49</f>
        <v>8</v>
      </c>
      <c r="Z45" s="332">
        <f>'Хаб.р-ны'!BB49</f>
        <v>160</v>
      </c>
      <c r="AA45" s="332">
        <f>'Хаб.р-ны'!BK49</f>
        <v>0</v>
      </c>
      <c r="AB45" s="332">
        <f>'Хаб.р-ны'!BL49</f>
        <v>0</v>
      </c>
      <c r="AC45" s="332">
        <f>'Хаб.р-ны'!BM49</f>
        <v>2</v>
      </c>
      <c r="AD45" s="332">
        <f>'Хаб.р-ны'!BN49</f>
        <v>0</v>
      </c>
      <c r="AE45" s="332">
        <f>Комсомольск!BO49</f>
        <v>10</v>
      </c>
      <c r="AF45" s="332">
        <f>Комсомольск!BP49</f>
        <v>10</v>
      </c>
      <c r="AG45" s="332">
        <f>Комсомольск!BQ49</f>
        <v>33</v>
      </c>
      <c r="AH45" s="332">
        <f>Комсомольск!BR49</f>
        <v>330</v>
      </c>
      <c r="AI45" s="332">
        <f>'районы КП, СП'!K49</f>
        <v>0</v>
      </c>
      <c r="AJ45" s="332">
        <f>'районы КП, СП'!L49</f>
        <v>0</v>
      </c>
      <c r="AK45" s="332">
        <f>'районы КП, СП'!M49</f>
        <v>0</v>
      </c>
      <c r="AL45" s="332">
        <f>'районы КП, СП'!N49</f>
        <v>0</v>
      </c>
      <c r="AM45" s="332">
        <f>'районы КП, СП'!W49</f>
        <v>1</v>
      </c>
      <c r="AN45" s="332">
        <f>'районы КП, СП'!X49</f>
        <v>1</v>
      </c>
      <c r="AO45" s="332">
        <f>'районы КП, СП'!Y49</f>
        <v>2</v>
      </c>
      <c r="AP45" s="332">
        <f>'районы КП, СП'!Z49</f>
        <v>200</v>
      </c>
      <c r="AQ45" s="332">
        <f>'районы КП, СП'!AA49</f>
        <v>4</v>
      </c>
      <c r="AR45" s="332">
        <f>'районы КП, СП'!AB49</f>
        <v>4</v>
      </c>
      <c r="AS45" s="332">
        <f>'районы КП, СП'!AC49</f>
        <v>4</v>
      </c>
      <c r="AT45" s="332">
        <f>'районы КП, СП'!AD49</f>
        <v>100</v>
      </c>
      <c r="AU45" s="332">
        <f>'районы КП, СП'!AM49</f>
        <v>0</v>
      </c>
      <c r="AV45" s="332">
        <f>'районы КП, СП'!AN49</f>
        <v>0</v>
      </c>
      <c r="AW45" s="332">
        <f>'районы КП, СП'!AO49</f>
        <v>2</v>
      </c>
      <c r="AX45" s="332">
        <f>'районы КП, СП'!AP49</f>
        <v>0</v>
      </c>
      <c r="AY45" s="332">
        <f>'районы КП, СП'!BC49</f>
        <v>4</v>
      </c>
      <c r="AZ45" s="332">
        <f>'районы КП, СП'!BD49</f>
        <v>4</v>
      </c>
      <c r="BA45" s="332">
        <f>'районы КП, СП'!BE49</f>
        <v>4</v>
      </c>
      <c r="BB45" s="332">
        <f>'районы КП, СП'!BF49</f>
        <v>100</v>
      </c>
      <c r="BC45" s="332">
        <f>'районы КП, СП'!BG49</f>
        <v>0</v>
      </c>
      <c r="BD45" s="332">
        <f>'районы КП, СП'!BH49</f>
        <v>0</v>
      </c>
      <c r="BE45" s="332">
        <f>'районы КП, СП'!BI49</f>
        <v>0</v>
      </c>
      <c r="BF45" s="332">
        <f>'районы КП, СП'!BJ49</f>
        <v>0</v>
      </c>
      <c r="BG45" s="332">
        <f>'районы НП, ЧП'!K49</f>
        <v>0</v>
      </c>
      <c r="BH45" s="332">
        <f>'районы НП, ЧП'!L49</f>
        <v>0</v>
      </c>
      <c r="BI45" s="332">
        <f>'районы НП, ЧП'!M49</f>
        <v>11</v>
      </c>
      <c r="BJ45" s="332">
        <f>'районы НП, ЧП'!N49</f>
        <v>0</v>
      </c>
      <c r="BK45" s="332">
        <f>'районы НП, ЧП'!AA49</f>
        <v>11</v>
      </c>
      <c r="BL45" s="332">
        <f>'районы НП, ЧП'!AB49</f>
        <v>11</v>
      </c>
      <c r="BM45" s="332">
        <f>'районы НП, ЧП'!AC49</f>
        <v>5</v>
      </c>
      <c r="BN45" s="332">
        <f>'районы НП, ЧП'!AD49</f>
        <v>45.454545454545453</v>
      </c>
      <c r="BO45" s="332">
        <f>'районы НП, ЧП'!AE49</f>
        <v>2</v>
      </c>
      <c r="BP45" s="332">
        <f>'районы НП, ЧП'!AF49</f>
        <v>2</v>
      </c>
      <c r="BQ45" s="332">
        <f>'районы НП, ЧП'!AG49</f>
        <v>0</v>
      </c>
      <c r="BR45" s="332">
        <f>'районы НП, ЧП'!AH49</f>
        <v>0</v>
      </c>
      <c r="BS45" s="332">
        <f>'районы НП, ЧП'!AI49</f>
        <v>0</v>
      </c>
      <c r="BT45" s="332">
        <f>'районы НП, ЧП'!AJ49</f>
        <v>0</v>
      </c>
      <c r="BU45" s="332">
        <f>'районы НП, ЧП'!AK49</f>
        <v>0</v>
      </c>
      <c r="BV45" s="332">
        <f>'районы НП, ЧП'!AL49</f>
        <v>0</v>
      </c>
      <c r="BW45" s="332">
        <f>'районы НП, ЧП'!AM49</f>
        <v>1</v>
      </c>
      <c r="BX45" s="332">
        <f>'районы НП, ЧП'!AN49</f>
        <v>1</v>
      </c>
      <c r="BY45" s="332">
        <f>'районы НП, ЧП'!AO49</f>
        <v>0</v>
      </c>
      <c r="BZ45" s="332">
        <f>'районы НП, ЧП'!AP49</f>
        <v>0</v>
      </c>
      <c r="CA45" s="332">
        <f>'районы НП, ЧП'!AU49</f>
        <v>3</v>
      </c>
      <c r="CB45" s="332">
        <f>'районы НП, ЧП'!AV49</f>
        <v>3</v>
      </c>
      <c r="CC45" s="332">
        <f>'районы НП, ЧП'!AW49</f>
        <v>0</v>
      </c>
      <c r="CD45" s="332">
        <f>'районы НП, ЧП'!AX49</f>
        <v>0</v>
      </c>
      <c r="CE45" s="333">
        <f t="shared" si="1"/>
        <v>67</v>
      </c>
      <c r="CF45" s="333">
        <f t="shared" si="2"/>
        <v>67</v>
      </c>
      <c r="CG45" s="333">
        <f t="shared" si="2"/>
        <v>106</v>
      </c>
      <c r="CH45" s="334">
        <f t="shared" si="3"/>
        <v>158.20895522388059</v>
      </c>
    </row>
    <row r="46" spans="1:87" ht="15.75" x14ac:dyDescent="0.2">
      <c r="A46" s="29" t="s">
        <v>150</v>
      </c>
      <c r="B46" s="60" t="s">
        <v>339</v>
      </c>
      <c r="C46" s="15">
        <f>КЛПУ!BS50</f>
        <v>0</v>
      </c>
      <c r="D46" s="15">
        <f>КЛПУ!BT50</f>
        <v>0</v>
      </c>
      <c r="E46" s="15">
        <f>КЛПУ!BU50</f>
        <v>0</v>
      </c>
      <c r="F46" s="15">
        <f>КЛПУ!BV50</f>
        <v>0</v>
      </c>
      <c r="G46" s="15">
        <f>Хабаровск!EY50</f>
        <v>34</v>
      </c>
      <c r="H46" s="332">
        <f>Хабаровск!EZ50</f>
        <v>34</v>
      </c>
      <c r="I46" s="332">
        <f>Хабаровск!FA50</f>
        <v>31</v>
      </c>
      <c r="J46" s="332">
        <f>Хабаровск!FB50</f>
        <v>91.17647058823529</v>
      </c>
      <c r="K46" s="332">
        <f>'Хаб.р-ны'!K50</f>
        <v>2</v>
      </c>
      <c r="L46" s="332">
        <f>'Хаб.р-ны'!L50</f>
        <v>2</v>
      </c>
      <c r="M46" s="332">
        <f>'Хаб.р-ны'!M50</f>
        <v>1</v>
      </c>
      <c r="N46" s="332">
        <f>'Хаб.р-ны'!N50</f>
        <v>50</v>
      </c>
      <c r="O46" s="332">
        <f>'Хаб.р-ны'!AA50</f>
        <v>10</v>
      </c>
      <c r="P46" s="332">
        <f>'Хаб.р-ны'!AB50</f>
        <v>10</v>
      </c>
      <c r="Q46" s="332">
        <f>'Хаб.р-ны'!AC50</f>
        <v>15</v>
      </c>
      <c r="R46" s="332">
        <f>'Хаб.р-ны'!AD50</f>
        <v>150</v>
      </c>
      <c r="S46" s="332">
        <f>'Хаб.р-ны'!AU50</f>
        <v>8</v>
      </c>
      <c r="T46" s="332">
        <f>'Хаб.р-ны'!AV50</f>
        <v>8</v>
      </c>
      <c r="U46" s="332">
        <f>'Хаб.р-ны'!AW50</f>
        <v>6</v>
      </c>
      <c r="V46" s="332">
        <f>'Хаб.р-ны'!AX50</f>
        <v>75</v>
      </c>
      <c r="W46" s="332">
        <f>'Хаб.р-ны'!AY50</f>
        <v>19</v>
      </c>
      <c r="X46" s="332">
        <f>'Хаб.р-ны'!AZ50</f>
        <v>19</v>
      </c>
      <c r="Y46" s="332">
        <f>'Хаб.р-ны'!BA50</f>
        <v>13</v>
      </c>
      <c r="Z46" s="332">
        <f>'Хаб.р-ны'!BB50</f>
        <v>68.421052631578945</v>
      </c>
      <c r="AA46" s="332">
        <f>'Хаб.р-ны'!BK50</f>
        <v>3</v>
      </c>
      <c r="AB46" s="332">
        <f>'Хаб.р-ны'!BL50</f>
        <v>3</v>
      </c>
      <c r="AC46" s="332">
        <f>'Хаб.р-ны'!BM50</f>
        <v>4</v>
      </c>
      <c r="AD46" s="332">
        <f>'Хаб.р-ны'!BN50</f>
        <v>133.33333333333331</v>
      </c>
      <c r="AE46" s="332">
        <f>Комсомольск!BO50</f>
        <v>81</v>
      </c>
      <c r="AF46" s="332">
        <f>Комсомольск!BP50</f>
        <v>81</v>
      </c>
      <c r="AG46" s="332">
        <f>Комсомольск!BQ50</f>
        <v>36</v>
      </c>
      <c r="AH46" s="332">
        <f>Комсомольск!BR50</f>
        <v>44.444444444444443</v>
      </c>
      <c r="AI46" s="332">
        <f>'районы КП, СП'!K50</f>
        <v>0</v>
      </c>
      <c r="AJ46" s="332">
        <f>'районы КП, СП'!L50</f>
        <v>0</v>
      </c>
      <c r="AK46" s="332">
        <f>'районы КП, СП'!M50</f>
        <v>0</v>
      </c>
      <c r="AL46" s="332">
        <f>'районы КП, СП'!N50</f>
        <v>0</v>
      </c>
      <c r="AM46" s="332">
        <f>'районы КП, СП'!W50</f>
        <v>4</v>
      </c>
      <c r="AN46" s="332">
        <f>'районы КП, СП'!X50</f>
        <v>4</v>
      </c>
      <c r="AO46" s="332">
        <f>'районы КП, СП'!Y50</f>
        <v>2</v>
      </c>
      <c r="AP46" s="332">
        <f>'районы КП, СП'!Z50</f>
        <v>50</v>
      </c>
      <c r="AQ46" s="332">
        <f>'районы КП, СП'!AA50</f>
        <v>6</v>
      </c>
      <c r="AR46" s="332">
        <f>'районы КП, СП'!AB50</f>
        <v>6</v>
      </c>
      <c r="AS46" s="332">
        <f>'районы КП, СП'!AC50</f>
        <v>7</v>
      </c>
      <c r="AT46" s="332">
        <f>'районы КП, СП'!AD50</f>
        <v>116.66666666666667</v>
      </c>
      <c r="AU46" s="332">
        <f>'районы КП, СП'!AM50</f>
        <v>2</v>
      </c>
      <c r="AV46" s="332">
        <f>'районы КП, СП'!AN50</f>
        <v>2</v>
      </c>
      <c r="AW46" s="332">
        <f>'районы КП, СП'!AO50</f>
        <v>7</v>
      </c>
      <c r="AX46" s="332">
        <f>'районы КП, СП'!AP50</f>
        <v>350</v>
      </c>
      <c r="AY46" s="332">
        <f>'районы КП, СП'!BC50</f>
        <v>9</v>
      </c>
      <c r="AZ46" s="332">
        <f>'районы КП, СП'!BD50</f>
        <v>9</v>
      </c>
      <c r="BA46" s="332">
        <f>'районы КП, СП'!BE50</f>
        <v>12</v>
      </c>
      <c r="BB46" s="332">
        <f>'районы КП, СП'!BF50</f>
        <v>133.33333333333331</v>
      </c>
      <c r="BC46" s="332">
        <f>'районы КП, СП'!BG50</f>
        <v>6</v>
      </c>
      <c r="BD46" s="332">
        <f>'районы КП, СП'!BH50</f>
        <v>6</v>
      </c>
      <c r="BE46" s="332">
        <f>'районы КП, СП'!BI50</f>
        <v>0</v>
      </c>
      <c r="BF46" s="332">
        <f>'районы КП, СП'!BJ50</f>
        <v>0</v>
      </c>
      <c r="BG46" s="332">
        <f>'районы НП, ЧП'!K50</f>
        <v>9</v>
      </c>
      <c r="BH46" s="332">
        <f>'районы НП, ЧП'!L50</f>
        <v>9</v>
      </c>
      <c r="BI46" s="332">
        <f>'районы НП, ЧП'!M50</f>
        <v>5</v>
      </c>
      <c r="BJ46" s="332">
        <f>'районы НП, ЧП'!N50</f>
        <v>55.555555555555557</v>
      </c>
      <c r="BK46" s="332">
        <f>'районы НП, ЧП'!AA50</f>
        <v>8</v>
      </c>
      <c r="BL46" s="332">
        <f>'районы НП, ЧП'!AB50</f>
        <v>8</v>
      </c>
      <c r="BM46" s="332">
        <f>'районы НП, ЧП'!AC50</f>
        <v>14</v>
      </c>
      <c r="BN46" s="332">
        <f>'районы НП, ЧП'!AD50</f>
        <v>175</v>
      </c>
      <c r="BO46" s="332">
        <f>'районы НП, ЧП'!AE50</f>
        <v>5</v>
      </c>
      <c r="BP46" s="332">
        <f>'районы НП, ЧП'!AF50</f>
        <v>5</v>
      </c>
      <c r="BQ46" s="332">
        <f>'районы НП, ЧП'!AG50</f>
        <v>4</v>
      </c>
      <c r="BR46" s="332">
        <f>'районы НП, ЧП'!AH50</f>
        <v>80</v>
      </c>
      <c r="BS46" s="332">
        <f>'районы НП, ЧП'!AI50</f>
        <v>0</v>
      </c>
      <c r="BT46" s="332">
        <f>'районы НП, ЧП'!AJ50</f>
        <v>0</v>
      </c>
      <c r="BU46" s="332">
        <f>'районы НП, ЧП'!AK50</f>
        <v>0</v>
      </c>
      <c r="BV46" s="332">
        <f>'районы НП, ЧП'!AL50</f>
        <v>0</v>
      </c>
      <c r="BW46" s="332">
        <f>'районы НП, ЧП'!AM50</f>
        <v>2</v>
      </c>
      <c r="BX46" s="332">
        <f>'районы НП, ЧП'!AN50</f>
        <v>2</v>
      </c>
      <c r="BY46" s="332">
        <f>'районы НП, ЧП'!AO50</f>
        <v>2</v>
      </c>
      <c r="BZ46" s="332">
        <f>'районы НП, ЧП'!AP50</f>
        <v>100</v>
      </c>
      <c r="CA46" s="332">
        <f>'районы НП, ЧП'!AU50</f>
        <v>7</v>
      </c>
      <c r="CB46" s="332">
        <f>'районы НП, ЧП'!AV50</f>
        <v>7</v>
      </c>
      <c r="CC46" s="332">
        <f>'районы НП, ЧП'!AW50</f>
        <v>0</v>
      </c>
      <c r="CD46" s="332">
        <f>'районы НП, ЧП'!AX50</f>
        <v>0</v>
      </c>
      <c r="CE46" s="333">
        <f t="shared" si="1"/>
        <v>215</v>
      </c>
      <c r="CF46" s="333">
        <f t="shared" si="2"/>
        <v>215</v>
      </c>
      <c r="CG46" s="333">
        <f t="shared" si="2"/>
        <v>159</v>
      </c>
      <c r="CH46" s="334">
        <f t="shared" si="3"/>
        <v>73.95348837209302</v>
      </c>
    </row>
    <row r="47" spans="1:87" ht="15.75" x14ac:dyDescent="0.2">
      <c r="A47" s="29" t="s">
        <v>151</v>
      </c>
      <c r="B47" s="60" t="s">
        <v>339</v>
      </c>
      <c r="C47" s="15">
        <f>КЛПУ!BS51</f>
        <v>0</v>
      </c>
      <c r="D47" s="15">
        <f>КЛПУ!BT51</f>
        <v>0</v>
      </c>
      <c r="E47" s="15">
        <f>КЛПУ!BU51</f>
        <v>0</v>
      </c>
      <c r="F47" s="15">
        <f>КЛПУ!BV51</f>
        <v>0</v>
      </c>
      <c r="G47" s="15">
        <f>Хабаровск!EY51</f>
        <v>396</v>
      </c>
      <c r="H47" s="332">
        <f>Хабаровск!EZ51</f>
        <v>396</v>
      </c>
      <c r="I47" s="332">
        <f>Хабаровск!FA51</f>
        <v>373</v>
      </c>
      <c r="J47" s="332">
        <f>Хабаровск!FB51</f>
        <v>94.191919191919197</v>
      </c>
      <c r="K47" s="332">
        <f>'Хаб.р-ны'!K51</f>
        <v>42</v>
      </c>
      <c r="L47" s="332">
        <f>'Хаб.р-ны'!L51</f>
        <v>42</v>
      </c>
      <c r="M47" s="332">
        <f>'Хаб.р-ны'!M51</f>
        <v>25</v>
      </c>
      <c r="N47" s="332">
        <f>'Хаб.р-ны'!N51</f>
        <v>59.523809523809526</v>
      </c>
      <c r="O47" s="332">
        <f>'Хаб.р-ны'!AA51</f>
        <v>130</v>
      </c>
      <c r="P47" s="332">
        <f>'Хаб.р-ны'!AB51</f>
        <v>130</v>
      </c>
      <c r="Q47" s="332">
        <f>'Хаб.р-ны'!AC51</f>
        <v>126</v>
      </c>
      <c r="R47" s="332">
        <f>'Хаб.р-ны'!AD51</f>
        <v>96.92307692307692</v>
      </c>
      <c r="S47" s="332">
        <f>'Хаб.р-ны'!AU51</f>
        <v>30</v>
      </c>
      <c r="T47" s="332">
        <f>'Хаб.р-ны'!AV51</f>
        <v>30</v>
      </c>
      <c r="U47" s="332">
        <f>'Хаб.р-ны'!AW51</f>
        <v>32</v>
      </c>
      <c r="V47" s="332">
        <f>'Хаб.р-ны'!AX51</f>
        <v>106.66666666666667</v>
      </c>
      <c r="W47" s="332">
        <f>'Хаб.р-ны'!AY51</f>
        <v>101</v>
      </c>
      <c r="X47" s="332">
        <f>'Хаб.р-ны'!AZ51</f>
        <v>101</v>
      </c>
      <c r="Y47" s="332">
        <f>'Хаб.р-ны'!BA51</f>
        <v>106</v>
      </c>
      <c r="Z47" s="332">
        <f>'Хаб.р-ны'!BB51</f>
        <v>104.95049504950495</v>
      </c>
      <c r="AA47" s="332">
        <f>'Хаб.р-ны'!BK51</f>
        <v>65</v>
      </c>
      <c r="AB47" s="332">
        <f>'Хаб.р-ны'!BL51</f>
        <v>65</v>
      </c>
      <c r="AC47" s="332">
        <f>'Хаб.р-ны'!BM51</f>
        <v>57</v>
      </c>
      <c r="AD47" s="332">
        <f>'Хаб.р-ны'!BN51</f>
        <v>87.692307692307693</v>
      </c>
      <c r="AE47" s="332">
        <f>Комсомольск!BO51</f>
        <v>460</v>
      </c>
      <c r="AF47" s="332">
        <f>Комсомольск!BP51</f>
        <v>460</v>
      </c>
      <c r="AG47" s="332">
        <f>Комсомольск!BQ51</f>
        <v>481</v>
      </c>
      <c r="AH47" s="332">
        <f>Комсомольск!BR51</f>
        <v>104.56521739130436</v>
      </c>
      <c r="AI47" s="332">
        <f>'районы КП, СП'!K51</f>
        <v>23</v>
      </c>
      <c r="AJ47" s="332">
        <f>'районы КП, СП'!L51</f>
        <v>23</v>
      </c>
      <c r="AK47" s="332">
        <f>'районы КП, СП'!M51</f>
        <v>20</v>
      </c>
      <c r="AL47" s="332">
        <f>'районы КП, СП'!N51</f>
        <v>86.956521739130437</v>
      </c>
      <c r="AM47" s="332">
        <f>'районы КП, СП'!W51</f>
        <v>75</v>
      </c>
      <c r="AN47" s="332">
        <f>'районы КП, СП'!X51</f>
        <v>75</v>
      </c>
      <c r="AO47" s="332">
        <f>'районы КП, СП'!Y51</f>
        <v>39</v>
      </c>
      <c r="AP47" s="332">
        <f>'районы КП, СП'!Z51</f>
        <v>52</v>
      </c>
      <c r="AQ47" s="332">
        <f>'районы КП, СП'!AA51</f>
        <v>82</v>
      </c>
      <c r="AR47" s="332">
        <f>'районы КП, СП'!AB51</f>
        <v>82</v>
      </c>
      <c r="AS47" s="332">
        <f>'районы КП, СП'!AC51</f>
        <v>77</v>
      </c>
      <c r="AT47" s="332">
        <f>'районы КП, СП'!AD51</f>
        <v>93.902439024390233</v>
      </c>
      <c r="AU47" s="332">
        <f>'районы КП, СП'!AM51</f>
        <v>40</v>
      </c>
      <c r="AV47" s="332">
        <f>'районы КП, СП'!AN51</f>
        <v>40</v>
      </c>
      <c r="AW47" s="332">
        <f>'районы КП, СП'!AO51</f>
        <v>59</v>
      </c>
      <c r="AX47" s="332">
        <f>'районы КП, СП'!AP51</f>
        <v>147.5</v>
      </c>
      <c r="AY47" s="332">
        <f>'районы КП, СП'!BC51</f>
        <v>82</v>
      </c>
      <c r="AZ47" s="332">
        <f>'районы КП, СП'!BD51</f>
        <v>82</v>
      </c>
      <c r="BA47" s="332">
        <f>'районы КП, СП'!BE51</f>
        <v>98</v>
      </c>
      <c r="BB47" s="332">
        <f>'районы КП, СП'!BF51</f>
        <v>119.51219512195121</v>
      </c>
      <c r="BC47" s="332">
        <f>'районы КП, СП'!BG51</f>
        <v>24</v>
      </c>
      <c r="BD47" s="332">
        <f>'районы КП, СП'!BH51</f>
        <v>24</v>
      </c>
      <c r="BE47" s="332">
        <f>'районы КП, СП'!BI51</f>
        <v>0</v>
      </c>
      <c r="BF47" s="332">
        <f>'районы КП, СП'!BJ51</f>
        <v>0</v>
      </c>
      <c r="BG47" s="332">
        <f>'районы НП, ЧП'!K51</f>
        <v>64</v>
      </c>
      <c r="BH47" s="332">
        <f>'районы НП, ЧП'!L51</f>
        <v>64</v>
      </c>
      <c r="BI47" s="332">
        <f>'районы НП, ЧП'!M51</f>
        <v>65</v>
      </c>
      <c r="BJ47" s="332">
        <f>'районы НП, ЧП'!N51</f>
        <v>101.5625</v>
      </c>
      <c r="BK47" s="332">
        <f>'районы НП, ЧП'!AA51</f>
        <v>124</v>
      </c>
      <c r="BL47" s="332">
        <f>'районы НП, ЧП'!AB51</f>
        <v>124</v>
      </c>
      <c r="BM47" s="332">
        <f>'районы НП, ЧП'!AC51</f>
        <v>122</v>
      </c>
      <c r="BN47" s="332">
        <f>'районы НП, ЧП'!AD51</f>
        <v>98.387096774193552</v>
      </c>
      <c r="BO47" s="332">
        <f>'районы НП, ЧП'!AE51</f>
        <v>7</v>
      </c>
      <c r="BP47" s="332">
        <f>'районы НП, ЧП'!AF51</f>
        <v>7</v>
      </c>
      <c r="BQ47" s="332">
        <f>'районы НП, ЧП'!AG51</f>
        <v>13</v>
      </c>
      <c r="BR47" s="332">
        <f>'районы НП, ЧП'!AH51</f>
        <v>185.71428571428572</v>
      </c>
      <c r="BS47" s="332">
        <f>'районы НП, ЧП'!AI51</f>
        <v>0</v>
      </c>
      <c r="BT47" s="332">
        <f>'районы НП, ЧП'!AJ51</f>
        <v>0</v>
      </c>
      <c r="BU47" s="332">
        <f>'районы НП, ЧП'!AK51</f>
        <v>0</v>
      </c>
      <c r="BV47" s="332">
        <f>'районы НП, ЧП'!AL51</f>
        <v>0</v>
      </c>
      <c r="BW47" s="332">
        <f>'районы НП, ЧП'!AM51</f>
        <v>17</v>
      </c>
      <c r="BX47" s="332">
        <f>'районы НП, ЧП'!AN51</f>
        <v>17</v>
      </c>
      <c r="BY47" s="332">
        <f>'районы НП, ЧП'!AO51</f>
        <v>18</v>
      </c>
      <c r="BZ47" s="332">
        <f>'районы НП, ЧП'!AP51</f>
        <v>105.88235294117648</v>
      </c>
      <c r="CA47" s="332">
        <f>'районы НП, ЧП'!AU51</f>
        <v>20</v>
      </c>
      <c r="CB47" s="332">
        <f>'районы НП, ЧП'!AV51</f>
        <v>20</v>
      </c>
      <c r="CC47" s="332">
        <f>'районы НП, ЧП'!AW51</f>
        <v>0</v>
      </c>
      <c r="CD47" s="332">
        <f>'районы НП, ЧП'!AX51</f>
        <v>0</v>
      </c>
      <c r="CE47" s="333">
        <f t="shared" si="1"/>
        <v>1782</v>
      </c>
      <c r="CF47" s="333">
        <f t="shared" si="2"/>
        <v>1782</v>
      </c>
      <c r="CG47" s="333">
        <f t="shared" si="2"/>
        <v>1711</v>
      </c>
      <c r="CH47" s="334">
        <f t="shared" si="3"/>
        <v>96.015712682379345</v>
      </c>
    </row>
    <row r="48" spans="1:87" ht="15.75" x14ac:dyDescent="0.2">
      <c r="A48" s="29" t="s">
        <v>152</v>
      </c>
      <c r="B48" s="60" t="s">
        <v>339</v>
      </c>
      <c r="C48" s="15">
        <f>КЛПУ!BS52</f>
        <v>0</v>
      </c>
      <c r="D48" s="15">
        <f>КЛПУ!BT52</f>
        <v>0</v>
      </c>
      <c r="E48" s="15">
        <f>КЛПУ!BU52</f>
        <v>0</v>
      </c>
      <c r="F48" s="15">
        <f>КЛПУ!BV52</f>
        <v>0</v>
      </c>
      <c r="G48" s="15">
        <f>Хабаровск!EY52</f>
        <v>123</v>
      </c>
      <c r="H48" s="332">
        <f>Хабаровск!EZ52</f>
        <v>123</v>
      </c>
      <c r="I48" s="332">
        <f>Хабаровск!FA52</f>
        <v>90</v>
      </c>
      <c r="J48" s="332">
        <f>Хабаровск!FB52</f>
        <v>73.170731707317074</v>
      </c>
      <c r="K48" s="332">
        <f>'Хаб.р-ны'!K52</f>
        <v>16</v>
      </c>
      <c r="L48" s="332">
        <f>'Хаб.р-ны'!L52</f>
        <v>16</v>
      </c>
      <c r="M48" s="332">
        <f>'Хаб.р-ны'!M52</f>
        <v>4</v>
      </c>
      <c r="N48" s="332">
        <f>'Хаб.р-ны'!N52</f>
        <v>25</v>
      </c>
      <c r="O48" s="332">
        <f>'Хаб.р-ны'!AA52</f>
        <v>43</v>
      </c>
      <c r="P48" s="332">
        <f>'Хаб.р-ны'!AB52</f>
        <v>43</v>
      </c>
      <c r="Q48" s="332">
        <f>'Хаб.р-ны'!AC52</f>
        <v>27</v>
      </c>
      <c r="R48" s="332">
        <f>'Хаб.р-ны'!AD52</f>
        <v>62.790697674418603</v>
      </c>
      <c r="S48" s="332">
        <f>'Хаб.р-ны'!AU52</f>
        <v>0</v>
      </c>
      <c r="T48" s="332">
        <f>'Хаб.р-ны'!AV52</f>
        <v>0</v>
      </c>
      <c r="U48" s="332">
        <f>'Хаб.р-ны'!AW52</f>
        <v>4</v>
      </c>
      <c r="V48" s="332">
        <f>'Хаб.р-ны'!AX52</f>
        <v>0</v>
      </c>
      <c r="W48" s="332">
        <f>'Хаб.р-ны'!AY52</f>
        <v>33</v>
      </c>
      <c r="X48" s="332">
        <f>'Хаб.р-ны'!AZ52</f>
        <v>33</v>
      </c>
      <c r="Y48" s="332">
        <f>'Хаб.р-ны'!BA52</f>
        <v>35</v>
      </c>
      <c r="Z48" s="332">
        <f>'Хаб.р-ны'!BB52</f>
        <v>106.06060606060606</v>
      </c>
      <c r="AA48" s="332">
        <f>'Хаб.р-ны'!BK52</f>
        <v>25</v>
      </c>
      <c r="AB48" s="332">
        <f>'Хаб.р-ны'!BL52</f>
        <v>25</v>
      </c>
      <c r="AC48" s="332">
        <f>'Хаб.р-ны'!BM52</f>
        <v>20</v>
      </c>
      <c r="AD48" s="332">
        <f>'Хаб.р-ны'!BN52</f>
        <v>80</v>
      </c>
      <c r="AE48" s="332">
        <f>Комсомольск!BO52</f>
        <v>147</v>
      </c>
      <c r="AF48" s="332">
        <f>Комсомольск!BP52</f>
        <v>147</v>
      </c>
      <c r="AG48" s="332">
        <f>Комсомольск!BQ52</f>
        <v>137</v>
      </c>
      <c r="AH48" s="332">
        <f>Комсомольск!BR52</f>
        <v>93.197278911564624</v>
      </c>
      <c r="AI48" s="332">
        <f>'районы КП, СП'!K52</f>
        <v>0</v>
      </c>
      <c r="AJ48" s="332">
        <f>'районы КП, СП'!L52</f>
        <v>0</v>
      </c>
      <c r="AK48" s="332">
        <f>'районы КП, СП'!M52</f>
        <v>1</v>
      </c>
      <c r="AL48" s="332">
        <f>'районы КП, СП'!N52</f>
        <v>0</v>
      </c>
      <c r="AM48" s="332">
        <f>'районы КП, СП'!W52</f>
        <v>12</v>
      </c>
      <c r="AN48" s="332">
        <f>'районы КП, СП'!X52</f>
        <v>12</v>
      </c>
      <c r="AO48" s="332">
        <f>'районы КП, СП'!Y52</f>
        <v>3</v>
      </c>
      <c r="AP48" s="332">
        <f>'районы КП, СП'!Z52</f>
        <v>25</v>
      </c>
      <c r="AQ48" s="332">
        <f>'районы КП, СП'!AA52</f>
        <v>38</v>
      </c>
      <c r="AR48" s="332">
        <f>'районы КП, СП'!AB52</f>
        <v>38</v>
      </c>
      <c r="AS48" s="332">
        <f>'районы КП, СП'!AC52</f>
        <v>26</v>
      </c>
      <c r="AT48" s="332">
        <f>'районы КП, СП'!AD52</f>
        <v>68.421052631578945</v>
      </c>
      <c r="AU48" s="332">
        <f>'районы КП, СП'!AM52</f>
        <v>3</v>
      </c>
      <c r="AV48" s="332">
        <f>'районы КП, СП'!AN52</f>
        <v>3</v>
      </c>
      <c r="AW48" s="332">
        <f>'районы КП, СП'!AO52</f>
        <v>7</v>
      </c>
      <c r="AX48" s="332">
        <f>'районы КП, СП'!AP52</f>
        <v>233.33333333333334</v>
      </c>
      <c r="AY48" s="332">
        <f>'районы КП, СП'!BC52</f>
        <v>13</v>
      </c>
      <c r="AZ48" s="332">
        <f>'районы КП, СП'!BD52</f>
        <v>13</v>
      </c>
      <c r="BA48" s="332">
        <f>'районы КП, СП'!BE52</f>
        <v>17</v>
      </c>
      <c r="BB48" s="332">
        <f>'районы КП, СП'!BF52</f>
        <v>130.76923076923077</v>
      </c>
      <c r="BC48" s="332">
        <f>'районы КП, СП'!BG52</f>
        <v>3</v>
      </c>
      <c r="BD48" s="332">
        <f>'районы КП, СП'!BH52</f>
        <v>3</v>
      </c>
      <c r="BE48" s="332">
        <f>'районы КП, СП'!BI52</f>
        <v>0</v>
      </c>
      <c r="BF48" s="332">
        <f>'районы КП, СП'!BJ52</f>
        <v>0</v>
      </c>
      <c r="BG48" s="332">
        <f>'районы НП, ЧП'!K52</f>
        <v>28</v>
      </c>
      <c r="BH48" s="332">
        <f>'районы НП, ЧП'!L52</f>
        <v>28</v>
      </c>
      <c r="BI48" s="332">
        <f>'районы НП, ЧП'!M52</f>
        <v>39</v>
      </c>
      <c r="BJ48" s="332">
        <f>'районы НП, ЧП'!N52</f>
        <v>139.28571428571428</v>
      </c>
      <c r="BK48" s="332">
        <f>'районы НП, ЧП'!AA52</f>
        <v>45</v>
      </c>
      <c r="BL48" s="332">
        <f>'районы НП, ЧП'!AB52</f>
        <v>45</v>
      </c>
      <c r="BM48" s="332">
        <f>'районы НП, ЧП'!AC52</f>
        <v>48</v>
      </c>
      <c r="BN48" s="332">
        <f>'районы НП, ЧП'!AD52</f>
        <v>106.66666666666667</v>
      </c>
      <c r="BO48" s="332">
        <f>'районы НП, ЧП'!AE52</f>
        <v>9</v>
      </c>
      <c r="BP48" s="332">
        <f>'районы НП, ЧП'!AF52</f>
        <v>9</v>
      </c>
      <c r="BQ48" s="332">
        <f>'районы НП, ЧП'!AG52</f>
        <v>4</v>
      </c>
      <c r="BR48" s="332">
        <f>'районы НП, ЧП'!AH52</f>
        <v>44.444444444444443</v>
      </c>
      <c r="BS48" s="332">
        <f>'районы НП, ЧП'!AI52</f>
        <v>0</v>
      </c>
      <c r="BT48" s="332">
        <f>'районы НП, ЧП'!AJ52</f>
        <v>0</v>
      </c>
      <c r="BU48" s="332">
        <f>'районы НП, ЧП'!AK52</f>
        <v>0</v>
      </c>
      <c r="BV48" s="332">
        <f>'районы НП, ЧП'!AL52</f>
        <v>0</v>
      </c>
      <c r="BW48" s="332">
        <f>'районы НП, ЧП'!AM52</f>
        <v>10</v>
      </c>
      <c r="BX48" s="332">
        <f>'районы НП, ЧП'!AN52</f>
        <v>10</v>
      </c>
      <c r="BY48" s="332">
        <f>'районы НП, ЧП'!AO52</f>
        <v>11</v>
      </c>
      <c r="BZ48" s="332">
        <f>'районы НП, ЧП'!AP52</f>
        <v>110.00000000000001</v>
      </c>
      <c r="CA48" s="332">
        <f>'районы НП, ЧП'!AU52</f>
        <v>6</v>
      </c>
      <c r="CB48" s="332">
        <f>'районы НП, ЧП'!AV52</f>
        <v>6</v>
      </c>
      <c r="CC48" s="332">
        <f>'районы НП, ЧП'!AW52</f>
        <v>0</v>
      </c>
      <c r="CD48" s="332">
        <f>'районы НП, ЧП'!AX52</f>
        <v>0</v>
      </c>
      <c r="CE48" s="333">
        <f t="shared" si="1"/>
        <v>554</v>
      </c>
      <c r="CF48" s="333">
        <f t="shared" si="2"/>
        <v>554</v>
      </c>
      <c r="CG48" s="333">
        <f t="shared" si="2"/>
        <v>473</v>
      </c>
      <c r="CH48" s="334">
        <f t="shared" si="3"/>
        <v>85.379061371841161</v>
      </c>
    </row>
    <row r="49" spans="1:87" ht="31.5" x14ac:dyDescent="0.25">
      <c r="A49" s="38" t="s">
        <v>154</v>
      </c>
      <c r="B49" s="57" t="s">
        <v>3</v>
      </c>
      <c r="C49" s="15">
        <f>КЛПУ!BS53</f>
        <v>300</v>
      </c>
      <c r="D49" s="15">
        <f>КЛПУ!BT53</f>
        <v>300</v>
      </c>
      <c r="E49" s="15">
        <f>КЛПУ!BU53</f>
        <v>227</v>
      </c>
      <c r="F49" s="15">
        <f>КЛПУ!BV53</f>
        <v>75.666666666666671</v>
      </c>
      <c r="G49" s="15">
        <f>Хабаровск!EY53</f>
        <v>306871.5</v>
      </c>
      <c r="H49" s="15">
        <f>Хабаровск!EZ53</f>
        <v>306871.5</v>
      </c>
      <c r="I49" s="15">
        <f>Хабаровск!FA53</f>
        <v>387349</v>
      </c>
      <c r="J49" s="15">
        <f>Хабаровск!FB53</f>
        <v>126.22514635604804</v>
      </c>
      <c r="K49" s="15">
        <f>'Хаб.р-ны'!K53</f>
        <v>10895</v>
      </c>
      <c r="L49" s="15">
        <f>'Хаб.р-ны'!L53</f>
        <v>10895</v>
      </c>
      <c r="M49" s="15">
        <f>'Хаб.р-ны'!M53</f>
        <v>3550</v>
      </c>
      <c r="N49" s="15">
        <f>'Хаб.р-ны'!N53</f>
        <v>32.583754015603489</v>
      </c>
      <c r="O49" s="15">
        <f>'Хаб.р-ны'!AA53</f>
        <v>7318</v>
      </c>
      <c r="P49" s="15">
        <f>'Хаб.р-ны'!AB53</f>
        <v>7318</v>
      </c>
      <c r="Q49" s="15">
        <f>'Хаб.р-ны'!AC53</f>
        <v>8318</v>
      </c>
      <c r="R49" s="15">
        <f>'Хаб.р-ны'!AD53</f>
        <v>113.66493577480186</v>
      </c>
      <c r="S49" s="15">
        <f>'Хаб.р-ны'!AU53</f>
        <v>48213</v>
      </c>
      <c r="T49" s="15">
        <f>'Хаб.р-ны'!AV53</f>
        <v>48213</v>
      </c>
      <c r="U49" s="15">
        <f>'Хаб.р-ны'!AW53</f>
        <v>25524</v>
      </c>
      <c r="V49" s="15">
        <f>'Хаб.р-ны'!AX53</f>
        <v>52.94007840209072</v>
      </c>
      <c r="W49" s="15">
        <f>'Хаб.р-ны'!AY53</f>
        <v>16133</v>
      </c>
      <c r="X49" s="15">
        <f>'Хаб.р-ны'!AZ53</f>
        <v>16133</v>
      </c>
      <c r="Y49" s="15">
        <f>'Хаб.р-ны'!BA53</f>
        <v>12367</v>
      </c>
      <c r="Z49" s="15">
        <f>'Хаб.р-ны'!BB53</f>
        <v>76.656542490547324</v>
      </c>
      <c r="AA49" s="15">
        <f>'Хаб.р-ны'!BK53</f>
        <v>31828</v>
      </c>
      <c r="AB49" s="15">
        <f>'Хаб.р-ны'!BL53</f>
        <v>31828</v>
      </c>
      <c r="AC49" s="15">
        <f>'Хаб.р-ны'!BM53</f>
        <v>27371</v>
      </c>
      <c r="AD49" s="15">
        <f>'Хаб.р-ны'!BN53</f>
        <v>85.996606761342207</v>
      </c>
      <c r="AE49" s="15">
        <f>Комсомольск!BO53</f>
        <v>148550</v>
      </c>
      <c r="AF49" s="15">
        <f>Комсомольск!BP53</f>
        <v>148550</v>
      </c>
      <c r="AG49" s="15">
        <f>Комсомольск!BQ53</f>
        <v>183073</v>
      </c>
      <c r="AH49" s="15">
        <f>Комсомольск!BR53</f>
        <v>123.23998653651968</v>
      </c>
      <c r="AI49" s="15">
        <f>'районы КП, СП'!K53</f>
        <v>45263</v>
      </c>
      <c r="AJ49" s="15">
        <f>'районы КП, СП'!L53</f>
        <v>45263</v>
      </c>
      <c r="AK49" s="15">
        <f>'районы КП, СП'!M53</f>
        <v>46574</v>
      </c>
      <c r="AL49" s="15">
        <f>'районы КП, СП'!N53</f>
        <v>102.89640545257717</v>
      </c>
      <c r="AM49" s="15">
        <f>'районы КП, СП'!W53</f>
        <v>13622</v>
      </c>
      <c r="AN49" s="15">
        <f>'районы КП, СП'!X53</f>
        <v>13622</v>
      </c>
      <c r="AO49" s="15">
        <f>'районы КП, СП'!Y53</f>
        <v>16413</v>
      </c>
      <c r="AP49" s="15">
        <f>'районы КП, СП'!Z53</f>
        <v>120.48891499045662</v>
      </c>
      <c r="AQ49" s="15">
        <f>'районы КП, СП'!AA53</f>
        <v>17459</v>
      </c>
      <c r="AR49" s="15">
        <f>'районы КП, СП'!AB53</f>
        <v>17459</v>
      </c>
      <c r="AS49" s="15">
        <f>'районы КП, СП'!AC53</f>
        <v>24095</v>
      </c>
      <c r="AT49" s="15">
        <f>'районы КП, СП'!AD53</f>
        <v>138.00904977375566</v>
      </c>
      <c r="AU49" s="15">
        <f>'районы КП, СП'!AM53</f>
        <v>18994</v>
      </c>
      <c r="AV49" s="15">
        <f>'районы КП, СП'!AN53</f>
        <v>18994</v>
      </c>
      <c r="AW49" s="15">
        <f>'районы КП, СП'!AO53</f>
        <v>20817</v>
      </c>
      <c r="AX49" s="15">
        <f>'районы КП, СП'!AP53</f>
        <v>109.59776771612088</v>
      </c>
      <c r="AY49" s="15">
        <f>'районы КП, СП'!BC53</f>
        <v>24321</v>
      </c>
      <c r="AZ49" s="15">
        <f>'районы КП, СП'!BD53</f>
        <v>24321</v>
      </c>
      <c r="BA49" s="15">
        <f>'районы КП, СП'!BE53</f>
        <v>17695</v>
      </c>
      <c r="BB49" s="15">
        <f>'районы КП, СП'!BF53</f>
        <v>72.756054438551047</v>
      </c>
      <c r="BC49" s="15">
        <f>'районы КП, СП'!BG53</f>
        <v>3795</v>
      </c>
      <c r="BD49" s="15">
        <f>'районы КП, СП'!BH53</f>
        <v>3795</v>
      </c>
      <c r="BE49" s="15">
        <f>'районы КП, СП'!BI53</f>
        <v>2266</v>
      </c>
      <c r="BF49" s="15">
        <f>'районы КП, СП'!BJ53</f>
        <v>59.710144927536234</v>
      </c>
      <c r="BG49" s="15">
        <f>'районы НП, ЧП'!K53</f>
        <v>31564</v>
      </c>
      <c r="BH49" s="15">
        <f>'районы НП, ЧП'!L53</f>
        <v>31564</v>
      </c>
      <c r="BI49" s="15">
        <f>'районы НП, ЧП'!M53</f>
        <v>24969</v>
      </c>
      <c r="BJ49" s="15">
        <f>'районы НП, ЧП'!N53</f>
        <v>79.105943479913819</v>
      </c>
      <c r="BK49" s="15">
        <f>'районы НП, ЧП'!AA53</f>
        <v>14715</v>
      </c>
      <c r="BL49" s="15">
        <f>'районы НП, ЧП'!AB53</f>
        <v>14715</v>
      </c>
      <c r="BM49" s="15">
        <f>'районы НП, ЧП'!AC53</f>
        <v>10170</v>
      </c>
      <c r="BN49" s="15">
        <f>'районы НП, ЧП'!AD53</f>
        <v>69.113149847094803</v>
      </c>
      <c r="BO49" s="15">
        <f>'районы НП, ЧП'!AE53</f>
        <v>2799</v>
      </c>
      <c r="BP49" s="15">
        <f>'районы НП, ЧП'!AF53</f>
        <v>2799</v>
      </c>
      <c r="BQ49" s="15">
        <f>'районы НП, ЧП'!AG53</f>
        <v>4316</v>
      </c>
      <c r="BR49" s="15">
        <f>'районы НП, ЧП'!AH53</f>
        <v>154.19792783136833</v>
      </c>
      <c r="BS49" s="15">
        <f>'районы НП, ЧП'!AI53</f>
        <v>1142</v>
      </c>
      <c r="BT49" s="15">
        <f>'районы НП, ЧП'!AJ53</f>
        <v>1142</v>
      </c>
      <c r="BU49" s="15">
        <f>'районы НП, ЧП'!AK53</f>
        <v>1278</v>
      </c>
      <c r="BV49" s="15">
        <f>'районы НП, ЧП'!AL53</f>
        <v>111.90893169877407</v>
      </c>
      <c r="BW49" s="15">
        <f>'районы НП, ЧП'!AM53</f>
        <v>6830</v>
      </c>
      <c r="BX49" s="15">
        <f>'районы НП, ЧП'!AN53</f>
        <v>6830</v>
      </c>
      <c r="BY49" s="15">
        <f>'районы НП, ЧП'!AO53</f>
        <v>4018</v>
      </c>
      <c r="BZ49" s="15">
        <f>'районы НП, ЧП'!AP53</f>
        <v>58.828696925329425</v>
      </c>
      <c r="CA49" s="15">
        <f>'районы НП, ЧП'!AU53</f>
        <v>4401</v>
      </c>
      <c r="CB49" s="15">
        <f>'районы НП, ЧП'!AV53</f>
        <v>4401</v>
      </c>
      <c r="CC49" s="15">
        <f>'районы НП, ЧП'!AW53</f>
        <v>679</v>
      </c>
      <c r="CD49" s="15">
        <f>'районы НП, ЧП'!AX53</f>
        <v>15.428311747330154</v>
      </c>
      <c r="CE49" s="292">
        <f t="shared" si="1"/>
        <v>755013.5</v>
      </c>
      <c r="CF49" s="292">
        <f t="shared" si="2"/>
        <v>755013.5</v>
      </c>
      <c r="CG49" s="292">
        <f t="shared" si="2"/>
        <v>821069</v>
      </c>
      <c r="CH49" s="293">
        <f t="shared" si="3"/>
        <v>108.74891641010393</v>
      </c>
    </row>
    <row r="50" spans="1:87" ht="31.5" x14ac:dyDescent="0.25">
      <c r="A50" s="39" t="s">
        <v>155</v>
      </c>
      <c r="B50" s="68"/>
      <c r="C50" s="15">
        <f>КЛПУ!BS54</f>
        <v>300</v>
      </c>
      <c r="D50" s="15">
        <f>КЛПУ!BT54</f>
        <v>300</v>
      </c>
      <c r="E50" s="15">
        <f>КЛПУ!BU54</f>
        <v>227</v>
      </c>
      <c r="F50" s="15">
        <f>КЛПУ!BV54</f>
        <v>75.666666666666671</v>
      </c>
      <c r="G50" s="15">
        <f>Хабаровск!EY54</f>
        <v>22799</v>
      </c>
      <c r="H50" s="15">
        <f>Хабаровск!EZ54</f>
        <v>22799</v>
      </c>
      <c r="I50" s="15">
        <f>Хабаровск!FA54</f>
        <v>20617</v>
      </c>
      <c r="J50" s="15">
        <f>Хабаровск!FB54</f>
        <v>90.429404798456076</v>
      </c>
      <c r="K50" s="15">
        <f>'Хаб.р-ны'!K54</f>
        <v>720</v>
      </c>
      <c r="L50" s="15">
        <f>'Хаб.р-ны'!L54</f>
        <v>720</v>
      </c>
      <c r="M50" s="15">
        <f>'Хаб.р-ны'!M54</f>
        <v>700</v>
      </c>
      <c r="N50" s="15">
        <f>'Хаб.р-ны'!N54</f>
        <v>97.222222222222214</v>
      </c>
      <c r="O50" s="15">
        <f>'Хаб.р-ны'!AA54</f>
        <v>1237</v>
      </c>
      <c r="P50" s="15">
        <f>'Хаб.р-ны'!AB54</f>
        <v>1237</v>
      </c>
      <c r="Q50" s="15">
        <f>'Хаб.р-ны'!AC54</f>
        <v>668</v>
      </c>
      <c r="R50" s="15">
        <f>'Хаб.р-ны'!AD54</f>
        <v>54.001616814874694</v>
      </c>
      <c r="S50" s="15">
        <f>'Хаб.р-ны'!AU54</f>
        <v>6776</v>
      </c>
      <c r="T50" s="15">
        <f>'Хаб.р-ны'!AV54</f>
        <v>6776</v>
      </c>
      <c r="U50" s="15">
        <f>'Хаб.р-ны'!AW54</f>
        <v>1924</v>
      </c>
      <c r="V50" s="15">
        <f>'Хаб.р-ны'!AX54</f>
        <v>28.394332939787486</v>
      </c>
      <c r="W50" s="15">
        <f>'Хаб.р-ны'!AY54</f>
        <v>2000</v>
      </c>
      <c r="X50" s="15">
        <f>'Хаб.р-ны'!AZ54</f>
        <v>2000</v>
      </c>
      <c r="Y50" s="15">
        <f>'Хаб.р-ны'!BA54</f>
        <v>1482</v>
      </c>
      <c r="Z50" s="15">
        <f>'Хаб.р-ны'!BB54</f>
        <v>74.099999999999994</v>
      </c>
      <c r="AA50" s="15">
        <f>'Хаб.р-ны'!BK54</f>
        <v>330</v>
      </c>
      <c r="AB50" s="15">
        <f>'Хаб.р-ны'!BL54</f>
        <v>330</v>
      </c>
      <c r="AC50" s="15">
        <f>'Хаб.р-ны'!BM54</f>
        <v>281</v>
      </c>
      <c r="AD50" s="15">
        <f>'Хаб.р-ны'!BN54</f>
        <v>85.151515151515156</v>
      </c>
      <c r="AE50" s="15">
        <f>Комсомольск!BO54</f>
        <v>12703</v>
      </c>
      <c r="AF50" s="15">
        <f>Комсомольск!BP54</f>
        <v>12703</v>
      </c>
      <c r="AG50" s="15">
        <f>Комсомольск!BQ54</f>
        <v>11807</v>
      </c>
      <c r="AH50" s="15">
        <f>Комсомольск!BR54</f>
        <v>92.946548059513503</v>
      </c>
      <c r="AI50" s="15">
        <f>'районы КП, СП'!K54</f>
        <v>3050</v>
      </c>
      <c r="AJ50" s="15">
        <f>'районы КП, СП'!L54</f>
        <v>3050</v>
      </c>
      <c r="AK50" s="15">
        <f>'районы КП, СП'!M54</f>
        <v>1658</v>
      </c>
      <c r="AL50" s="15">
        <f>'районы КП, СП'!N54</f>
        <v>54.360655737704924</v>
      </c>
      <c r="AM50" s="15">
        <f>'районы КП, СП'!W54</f>
        <v>1000</v>
      </c>
      <c r="AN50" s="15">
        <f>'районы КП, СП'!X54</f>
        <v>1000</v>
      </c>
      <c r="AO50" s="15">
        <f>'районы КП, СП'!Y54</f>
        <v>262</v>
      </c>
      <c r="AP50" s="15">
        <f>'районы КП, СП'!Z54</f>
        <v>26.200000000000003</v>
      </c>
      <c r="AQ50" s="15">
        <f>'районы КП, СП'!AA54</f>
        <v>2500</v>
      </c>
      <c r="AR50" s="15">
        <f>'районы КП, СП'!AB54</f>
        <v>2500</v>
      </c>
      <c r="AS50" s="15">
        <f>'районы КП, СП'!AC54</f>
        <v>2415</v>
      </c>
      <c r="AT50" s="15">
        <f>'районы КП, СП'!AD54</f>
        <v>96.6</v>
      </c>
      <c r="AU50" s="15">
        <f>'районы КП, СП'!AM54</f>
        <v>350</v>
      </c>
      <c r="AV50" s="15">
        <f>'районы КП, СП'!AN54</f>
        <v>350</v>
      </c>
      <c r="AW50" s="15">
        <f>'районы КП, СП'!AO54</f>
        <v>297</v>
      </c>
      <c r="AX50" s="15">
        <f>'районы КП, СП'!AP54</f>
        <v>84.857142857142847</v>
      </c>
      <c r="AY50" s="15">
        <f>'районы КП, СП'!BC54</f>
        <v>4044</v>
      </c>
      <c r="AZ50" s="15">
        <f>'районы КП, СП'!BD54</f>
        <v>4044</v>
      </c>
      <c r="BA50" s="15">
        <f>'районы КП, СП'!BE54</f>
        <v>137</v>
      </c>
      <c r="BB50" s="15">
        <f>'районы КП, СП'!BF54</f>
        <v>3.3877349159248267</v>
      </c>
      <c r="BC50" s="15">
        <f>'районы КП, СП'!BG54</f>
        <v>235</v>
      </c>
      <c r="BD50" s="15">
        <f>'районы КП, СП'!BH54</f>
        <v>235</v>
      </c>
      <c r="BE50" s="15">
        <f>'районы КП, СП'!BI54</f>
        <v>54</v>
      </c>
      <c r="BF50" s="15">
        <f>'районы КП, СП'!BJ54</f>
        <v>22.978723404255319</v>
      </c>
      <c r="BG50" s="15">
        <f>'районы НП, ЧП'!K54</f>
        <v>7177</v>
      </c>
      <c r="BH50" s="15">
        <f>'районы НП, ЧП'!L54</f>
        <v>7177</v>
      </c>
      <c r="BI50" s="15">
        <f>'районы НП, ЧП'!M54</f>
        <v>1207</v>
      </c>
      <c r="BJ50" s="15">
        <f>'районы НП, ЧП'!N54</f>
        <v>16.817611815521804</v>
      </c>
      <c r="BK50" s="15">
        <f>'районы НП, ЧП'!AA54</f>
        <v>3002</v>
      </c>
      <c r="BL50" s="15">
        <f>'районы НП, ЧП'!AB54</f>
        <v>3002</v>
      </c>
      <c r="BM50" s="15">
        <f>'районы НП, ЧП'!AC54</f>
        <v>1612</v>
      </c>
      <c r="BN50" s="15">
        <f>'районы НП, ЧП'!AD54</f>
        <v>53.697534976682213</v>
      </c>
      <c r="BO50" s="15">
        <f>'районы НП, ЧП'!AE54</f>
        <v>200</v>
      </c>
      <c r="BP50" s="15">
        <f>'районы НП, ЧП'!AF54</f>
        <v>200</v>
      </c>
      <c r="BQ50" s="15">
        <f>'районы НП, ЧП'!AG54</f>
        <v>0</v>
      </c>
      <c r="BR50" s="15">
        <f>'районы НП, ЧП'!AH54</f>
        <v>0</v>
      </c>
      <c r="BS50" s="15">
        <f>'районы НП, ЧП'!AI54</f>
        <v>55</v>
      </c>
      <c r="BT50" s="15">
        <f>'районы НП, ЧП'!AJ54</f>
        <v>55</v>
      </c>
      <c r="BU50" s="15">
        <f>'районы НП, ЧП'!AK54</f>
        <v>0</v>
      </c>
      <c r="BV50" s="15">
        <f>'районы НП, ЧП'!AL54</f>
        <v>0</v>
      </c>
      <c r="BW50" s="15">
        <f>'районы НП, ЧП'!AM54</f>
        <v>75</v>
      </c>
      <c r="BX50" s="15">
        <f>'районы НП, ЧП'!AN54</f>
        <v>75</v>
      </c>
      <c r="BY50" s="15">
        <f>'районы НП, ЧП'!AO54</f>
        <v>73</v>
      </c>
      <c r="BZ50" s="15">
        <f>'районы НП, ЧП'!AP54</f>
        <v>97.333333333333343</v>
      </c>
      <c r="CA50" s="15">
        <f>'районы НП, ЧП'!AU54</f>
        <v>58</v>
      </c>
      <c r="CB50" s="15">
        <f>'районы НП, ЧП'!AV54</f>
        <v>58</v>
      </c>
      <c r="CC50" s="15">
        <f>'районы НП, ЧП'!AW54</f>
        <v>0</v>
      </c>
      <c r="CD50" s="15">
        <f>'районы НП, ЧП'!AX54</f>
        <v>0</v>
      </c>
      <c r="CE50" s="292">
        <f t="shared" si="1"/>
        <v>68611</v>
      </c>
      <c r="CF50" s="292">
        <f t="shared" si="2"/>
        <v>68611</v>
      </c>
      <c r="CG50" s="292">
        <f t="shared" si="2"/>
        <v>45421</v>
      </c>
      <c r="CH50" s="293">
        <f t="shared" si="3"/>
        <v>66.200754980979724</v>
      </c>
    </row>
    <row r="51" spans="1:87" ht="31.5" x14ac:dyDescent="0.25">
      <c r="A51" s="45" t="s">
        <v>204</v>
      </c>
      <c r="B51" s="57" t="s">
        <v>3</v>
      </c>
      <c r="C51" s="15">
        <f>КЛПУ!BS55</f>
        <v>0</v>
      </c>
      <c r="D51" s="15">
        <f>КЛПУ!BT55</f>
        <v>0</v>
      </c>
      <c r="E51" s="15">
        <f>КЛПУ!BU55</f>
        <v>0</v>
      </c>
      <c r="F51" s="15">
        <f>КЛПУ!BV55</f>
        <v>0</v>
      </c>
      <c r="G51" s="15">
        <f>Хабаровск!EY55</f>
        <v>224642.5</v>
      </c>
      <c r="H51" s="15">
        <f>Хабаровск!EZ55</f>
        <v>224642.5</v>
      </c>
      <c r="I51" s="15">
        <f>Хабаровск!FA55</f>
        <v>313928</v>
      </c>
      <c r="J51" s="15">
        <f>Хабаровск!FB55</f>
        <v>139.74559577996149</v>
      </c>
      <c r="K51" s="15">
        <f>'Хаб.р-ны'!K55</f>
        <v>5509</v>
      </c>
      <c r="L51" s="15">
        <f>'Хаб.р-ны'!L55</f>
        <v>5509</v>
      </c>
      <c r="M51" s="15">
        <f>'Хаб.р-ны'!M55</f>
        <v>2662</v>
      </c>
      <c r="N51" s="15">
        <f>'Хаб.р-ны'!N55</f>
        <v>48.320929388273733</v>
      </c>
      <c r="O51" s="15">
        <f>'Хаб.р-ны'!AA55</f>
        <v>5785</v>
      </c>
      <c r="P51" s="15">
        <f>'Хаб.р-ны'!AB55</f>
        <v>5785</v>
      </c>
      <c r="Q51" s="15">
        <f>'Хаб.р-ны'!AC55</f>
        <v>7041</v>
      </c>
      <c r="R51" s="15">
        <f>'Хаб.р-ны'!AD55</f>
        <v>121.71132238547968</v>
      </c>
      <c r="S51" s="15">
        <f>'Хаб.р-ны'!AU55</f>
        <v>27458</v>
      </c>
      <c r="T51" s="15">
        <f>'Хаб.р-ны'!AV55</f>
        <v>27458</v>
      </c>
      <c r="U51" s="15">
        <f>'Хаб.р-ны'!AW55</f>
        <v>13368</v>
      </c>
      <c r="V51" s="15">
        <f>'Хаб.р-ны'!AX55</f>
        <v>48.685264768009326</v>
      </c>
      <c r="W51" s="15">
        <f>'Хаб.р-ны'!AY55</f>
        <v>10078</v>
      </c>
      <c r="X51" s="15">
        <f>'Хаб.р-ны'!AZ55</f>
        <v>10078</v>
      </c>
      <c r="Y51" s="15">
        <f>'Хаб.р-ны'!BA55</f>
        <v>7562</v>
      </c>
      <c r="Z51" s="15">
        <f>'Хаб.р-ны'!BB55</f>
        <v>75.034729112919223</v>
      </c>
      <c r="AA51" s="15">
        <f>'Хаб.р-ны'!BK55</f>
        <v>23489</v>
      </c>
      <c r="AB51" s="15">
        <f>'Хаб.р-ны'!BL55</f>
        <v>23489</v>
      </c>
      <c r="AC51" s="15">
        <f>'Хаб.р-ны'!BM55</f>
        <v>23276</v>
      </c>
      <c r="AD51" s="15">
        <f>'Хаб.р-ны'!BN55</f>
        <v>99.093192558218746</v>
      </c>
      <c r="AE51" s="15">
        <f>Комсомольск!BO55</f>
        <v>84759</v>
      </c>
      <c r="AF51" s="15">
        <f>Комсомольск!BP55</f>
        <v>84759</v>
      </c>
      <c r="AG51" s="15">
        <f>Комсомольск!BQ55</f>
        <v>127748</v>
      </c>
      <c r="AH51" s="15">
        <f>Комсомольск!BR55</f>
        <v>150.71909767694288</v>
      </c>
      <c r="AI51" s="15">
        <f>'районы КП, СП'!K55</f>
        <v>28234</v>
      </c>
      <c r="AJ51" s="15">
        <f>'районы КП, СП'!L55</f>
        <v>28234</v>
      </c>
      <c r="AK51" s="15">
        <f>'районы КП, СП'!M55</f>
        <v>34564</v>
      </c>
      <c r="AL51" s="15">
        <f>'районы КП, СП'!N55</f>
        <v>122.41977757313877</v>
      </c>
      <c r="AM51" s="15">
        <f>'районы КП, СП'!W55</f>
        <v>9119</v>
      </c>
      <c r="AN51" s="15">
        <f>'районы КП, СП'!X55</f>
        <v>9119</v>
      </c>
      <c r="AO51" s="15">
        <f>'районы КП, СП'!Y55</f>
        <v>13630</v>
      </c>
      <c r="AP51" s="15">
        <f>'районы КП, СП'!Z55</f>
        <v>149.46814343678034</v>
      </c>
      <c r="AQ51" s="15">
        <f>'районы КП, СП'!AA55</f>
        <v>13214</v>
      </c>
      <c r="AR51" s="15">
        <f>'районы КП, СП'!AB55</f>
        <v>13214</v>
      </c>
      <c r="AS51" s="15">
        <f>'районы КП, СП'!AC55</f>
        <v>13554</v>
      </c>
      <c r="AT51" s="15">
        <f>'районы КП, СП'!AD55</f>
        <v>102.57302860602391</v>
      </c>
      <c r="AU51" s="15">
        <f>'районы КП, СП'!AM55</f>
        <v>4548</v>
      </c>
      <c r="AV51" s="15">
        <f>'районы КП, СП'!AN55</f>
        <v>4548</v>
      </c>
      <c r="AW51" s="15">
        <f>'районы КП, СП'!AO55</f>
        <v>14282</v>
      </c>
      <c r="AX51" s="15">
        <f>'районы КП, СП'!AP55</f>
        <v>314.02814423922604</v>
      </c>
      <c r="AY51" s="15">
        <f>'районы КП, СП'!BC55</f>
        <v>11794</v>
      </c>
      <c r="AZ51" s="15">
        <f>'районы КП, СП'!BD55</f>
        <v>11794</v>
      </c>
      <c r="BA51" s="15">
        <f>'районы КП, СП'!BE55</f>
        <v>14430</v>
      </c>
      <c r="BB51" s="15">
        <f>'районы КП, СП'!BF55</f>
        <v>122.35034763439036</v>
      </c>
      <c r="BC51" s="15">
        <f>'районы КП, СП'!BG55</f>
        <v>2377</v>
      </c>
      <c r="BD51" s="15">
        <f>'районы КП, СП'!BH55</f>
        <v>2377</v>
      </c>
      <c r="BE51" s="15">
        <f>'районы КП, СП'!BI55</f>
        <v>2006</v>
      </c>
      <c r="BF51" s="15">
        <f>'районы КП, СП'!BJ55</f>
        <v>84.392090870845607</v>
      </c>
      <c r="BG51" s="15">
        <f>'районы НП, ЧП'!K55</f>
        <v>14465</v>
      </c>
      <c r="BH51" s="15">
        <f>'районы НП, ЧП'!L55</f>
        <v>14465</v>
      </c>
      <c r="BI51" s="15">
        <f>'районы НП, ЧП'!M55</f>
        <v>19037</v>
      </c>
      <c r="BJ51" s="15">
        <f>'районы НП, ЧП'!N55</f>
        <v>131.60732803318356</v>
      </c>
      <c r="BK51" s="15">
        <f>'районы НП, ЧП'!AA55</f>
        <v>8277</v>
      </c>
      <c r="BL51" s="15">
        <f>'районы НП, ЧП'!AB55</f>
        <v>8277</v>
      </c>
      <c r="BM51" s="15">
        <f>'районы НП, ЧП'!AC55</f>
        <v>6084</v>
      </c>
      <c r="BN51" s="15">
        <f>'районы НП, ЧП'!AD55</f>
        <v>73.504893077201885</v>
      </c>
      <c r="BO51" s="15">
        <f>'районы НП, ЧП'!AE55</f>
        <v>1609</v>
      </c>
      <c r="BP51" s="15">
        <f>'районы НП, ЧП'!AF55</f>
        <v>1609</v>
      </c>
      <c r="BQ51" s="15">
        <f>'районы НП, ЧП'!AG55</f>
        <v>1911</v>
      </c>
      <c r="BR51" s="15">
        <f>'районы НП, ЧП'!AH55</f>
        <v>118.76942200124302</v>
      </c>
      <c r="BS51" s="15">
        <f>'районы НП, ЧП'!AI55</f>
        <v>333</v>
      </c>
      <c r="BT51" s="15">
        <f>'районы НП, ЧП'!AJ55</f>
        <v>333</v>
      </c>
      <c r="BU51" s="15">
        <f>'районы НП, ЧП'!AK55</f>
        <v>619</v>
      </c>
      <c r="BV51" s="15">
        <f>'районы НП, ЧП'!AL55</f>
        <v>185.88588588588587</v>
      </c>
      <c r="BW51" s="15">
        <f>'районы НП, ЧП'!AM55</f>
        <v>4997</v>
      </c>
      <c r="BX51" s="15">
        <f>'районы НП, ЧП'!AN55</f>
        <v>4997</v>
      </c>
      <c r="BY51" s="15">
        <f>'районы НП, ЧП'!AO55</f>
        <v>2448</v>
      </c>
      <c r="BZ51" s="15">
        <f>'районы НП, ЧП'!AP55</f>
        <v>48.98939363618171</v>
      </c>
      <c r="CA51" s="15">
        <f>'районы НП, ЧП'!AU55</f>
        <v>3419</v>
      </c>
      <c r="CB51" s="15">
        <f>'районы НП, ЧП'!AV55</f>
        <v>3419</v>
      </c>
      <c r="CC51" s="15">
        <f>'районы НП, ЧП'!AW55</f>
        <v>633</v>
      </c>
      <c r="CD51" s="15">
        <f>'районы НП, ЧП'!AX55</f>
        <v>18.514185434337527</v>
      </c>
      <c r="CE51" s="292">
        <f t="shared" si="1"/>
        <v>484106.5</v>
      </c>
      <c r="CF51" s="292">
        <f t="shared" si="2"/>
        <v>484106.5</v>
      </c>
      <c r="CG51" s="292">
        <f t="shared" si="2"/>
        <v>618783</v>
      </c>
      <c r="CH51" s="293">
        <f t="shared" si="3"/>
        <v>127.81960167855627</v>
      </c>
      <c r="CI51">
        <v>-3632</v>
      </c>
    </row>
    <row r="52" spans="1:87" ht="31.5" x14ac:dyDescent="0.2">
      <c r="A52" s="31" t="s">
        <v>157</v>
      </c>
      <c r="B52" s="60" t="s">
        <v>339</v>
      </c>
      <c r="C52" s="15">
        <f>КЛПУ!BS56</f>
        <v>0</v>
      </c>
      <c r="D52" s="15">
        <f>КЛПУ!BT56</f>
        <v>0</v>
      </c>
      <c r="E52" s="15">
        <f>КЛПУ!BU56</f>
        <v>0</v>
      </c>
      <c r="F52" s="15">
        <f>КЛПУ!BV56</f>
        <v>0</v>
      </c>
      <c r="G52" s="15">
        <f>Хабаровск!EY56</f>
        <v>1744</v>
      </c>
      <c r="H52" s="15">
        <f>Хабаровск!EZ56</f>
        <v>1744</v>
      </c>
      <c r="I52" s="15">
        <f>Хабаровск!FA56</f>
        <v>1915</v>
      </c>
      <c r="J52" s="15">
        <f>Хабаровск!FB56</f>
        <v>109.80504587155964</v>
      </c>
      <c r="K52" s="15">
        <f>'Хаб.р-ны'!K56</f>
        <v>49</v>
      </c>
      <c r="L52" s="15">
        <f>'Хаб.р-ны'!L56</f>
        <v>49</v>
      </c>
      <c r="M52" s="15">
        <f>'Хаб.р-ны'!M56</f>
        <v>0</v>
      </c>
      <c r="N52" s="15">
        <f>'Хаб.р-ны'!N56</f>
        <v>0</v>
      </c>
      <c r="O52" s="15">
        <f>'Хаб.р-ны'!AA56</f>
        <v>33</v>
      </c>
      <c r="P52" s="15">
        <f>'Хаб.р-ны'!AB56</f>
        <v>33</v>
      </c>
      <c r="Q52" s="15">
        <f>'Хаб.р-ны'!AC56</f>
        <v>0</v>
      </c>
      <c r="R52" s="15">
        <f>'Хаб.р-ны'!AD56</f>
        <v>0</v>
      </c>
      <c r="S52" s="15">
        <f>'Хаб.р-ны'!AU56</f>
        <v>400</v>
      </c>
      <c r="T52" s="15">
        <f>'Хаб.р-ны'!AV56</f>
        <v>400</v>
      </c>
      <c r="U52" s="15">
        <f>'Хаб.р-ны'!AW56</f>
        <v>114</v>
      </c>
      <c r="V52" s="15">
        <f>'Хаб.р-ны'!AX56</f>
        <v>28.499999999999996</v>
      </c>
      <c r="W52" s="15">
        <f>'Хаб.р-ны'!AY56</f>
        <v>137</v>
      </c>
      <c r="X52" s="15">
        <f>'Хаб.р-ны'!AZ56</f>
        <v>137</v>
      </c>
      <c r="Y52" s="15">
        <f>'Хаб.р-ны'!BA56</f>
        <v>23</v>
      </c>
      <c r="Z52" s="15">
        <f>'Хаб.р-ны'!BB56</f>
        <v>16.788321167883211</v>
      </c>
      <c r="AA52" s="15">
        <f>'Хаб.р-ны'!BK56</f>
        <v>384</v>
      </c>
      <c r="AB52" s="15">
        <f>'Хаб.р-ны'!BL56</f>
        <v>384</v>
      </c>
      <c r="AC52" s="15">
        <f>'Хаб.р-ны'!BM56</f>
        <v>107</v>
      </c>
      <c r="AD52" s="15">
        <f>'Хаб.р-ны'!BN56</f>
        <v>27.864583333333332</v>
      </c>
      <c r="AE52" s="15">
        <f>Комсомольск!BO56</f>
        <v>943</v>
      </c>
      <c r="AF52" s="15">
        <f>Комсомольск!BP56</f>
        <v>943</v>
      </c>
      <c r="AG52" s="15">
        <f>Комсомольск!BQ56</f>
        <v>1290</v>
      </c>
      <c r="AH52" s="15">
        <f>Комсомольск!BR56</f>
        <v>136.79745493107106</v>
      </c>
      <c r="AI52" s="15">
        <f>'районы КП, СП'!K56</f>
        <v>335</v>
      </c>
      <c r="AJ52" s="15">
        <f>'районы КП, СП'!L56</f>
        <v>335</v>
      </c>
      <c r="AK52" s="15">
        <f>'районы КП, СП'!M56</f>
        <v>405</v>
      </c>
      <c r="AL52" s="15">
        <f>'районы КП, СП'!N56</f>
        <v>120.89552238805969</v>
      </c>
      <c r="AM52" s="15">
        <f>'районы КП, СП'!W56</f>
        <v>99</v>
      </c>
      <c r="AN52" s="15">
        <f>'районы КП, СП'!X56</f>
        <v>99</v>
      </c>
      <c r="AO52" s="15">
        <f>'районы КП, СП'!Y56</f>
        <v>26</v>
      </c>
      <c r="AP52" s="15">
        <f>'районы КП, СП'!Z56</f>
        <v>26.262626262626267</v>
      </c>
      <c r="AQ52" s="15">
        <f>'районы КП, СП'!AA56</f>
        <v>12</v>
      </c>
      <c r="AR52" s="15">
        <f>'районы КП, СП'!AB56</f>
        <v>12</v>
      </c>
      <c r="AS52" s="15">
        <f>'районы КП, СП'!AC56</f>
        <v>9</v>
      </c>
      <c r="AT52" s="15">
        <f>'районы КП, СП'!AD56</f>
        <v>75</v>
      </c>
      <c r="AU52" s="15">
        <f>'районы КП, СП'!AM56</f>
        <v>0</v>
      </c>
      <c r="AV52" s="15">
        <f>'районы КП, СП'!AN56</f>
        <v>0</v>
      </c>
      <c r="AW52" s="15">
        <f>'районы КП, СП'!AO56</f>
        <v>211</v>
      </c>
      <c r="AX52" s="15">
        <f>'районы КП, СП'!AP56</f>
        <v>0</v>
      </c>
      <c r="AY52" s="15">
        <f>'районы КП, СП'!BC56</f>
        <v>180</v>
      </c>
      <c r="AZ52" s="15">
        <f>'районы КП, СП'!BD56</f>
        <v>180</v>
      </c>
      <c r="BA52" s="15">
        <f>'районы КП, СП'!BE56</f>
        <v>43</v>
      </c>
      <c r="BB52" s="15">
        <f>'районы КП, СП'!BF56</f>
        <v>23.888888888888889</v>
      </c>
      <c r="BC52" s="15">
        <f>'районы КП, СП'!BG56</f>
        <v>3</v>
      </c>
      <c r="BD52" s="15">
        <f>'районы КП, СП'!BH56</f>
        <v>3</v>
      </c>
      <c r="BE52" s="15">
        <f>'районы КП, СП'!BI56</f>
        <v>0</v>
      </c>
      <c r="BF52" s="15">
        <f>'районы КП, СП'!BJ56</f>
        <v>0</v>
      </c>
      <c r="BG52" s="15">
        <f>'районы НП, ЧП'!K56</f>
        <v>202</v>
      </c>
      <c r="BH52" s="15">
        <f>'районы НП, ЧП'!L56</f>
        <v>202</v>
      </c>
      <c r="BI52" s="15">
        <f>'районы НП, ЧП'!M56</f>
        <v>155</v>
      </c>
      <c r="BJ52" s="15">
        <f>'районы НП, ЧП'!N56</f>
        <v>76.732673267326732</v>
      </c>
      <c r="BK52" s="15">
        <f>'районы НП, ЧП'!AA56</f>
        <v>66</v>
      </c>
      <c r="BL52" s="15">
        <f>'районы НП, ЧП'!AB56</f>
        <v>66</v>
      </c>
      <c r="BM52" s="15">
        <f>'районы НП, ЧП'!AC56</f>
        <v>2</v>
      </c>
      <c r="BN52" s="15">
        <f>'районы НП, ЧП'!AD56</f>
        <v>3.0303030303030303</v>
      </c>
      <c r="BO52" s="15">
        <f>'районы НП, ЧП'!AE56</f>
        <v>14</v>
      </c>
      <c r="BP52" s="15">
        <f>'районы НП, ЧП'!AF56</f>
        <v>14</v>
      </c>
      <c r="BQ52" s="15">
        <f>'районы НП, ЧП'!AG56</f>
        <v>0</v>
      </c>
      <c r="BR52" s="15">
        <f>'районы НП, ЧП'!AH56</f>
        <v>0</v>
      </c>
      <c r="BS52" s="15">
        <f>'районы НП, ЧП'!AI56</f>
        <v>3</v>
      </c>
      <c r="BT52" s="15">
        <f>'районы НП, ЧП'!AJ56</f>
        <v>3</v>
      </c>
      <c r="BU52" s="15">
        <f>'районы НП, ЧП'!AK56</f>
        <v>3</v>
      </c>
      <c r="BV52" s="15">
        <f>'районы НП, ЧП'!AL56</f>
        <v>100</v>
      </c>
      <c r="BW52" s="15">
        <f>'районы НП, ЧП'!AM56</f>
        <v>57</v>
      </c>
      <c r="BX52" s="15">
        <f>'районы НП, ЧП'!AN56</f>
        <v>57</v>
      </c>
      <c r="BY52" s="15">
        <f>'районы НП, ЧП'!AO56</f>
        <v>1</v>
      </c>
      <c r="BZ52" s="15">
        <f>'районы НП, ЧП'!AP56</f>
        <v>1.7543859649122806</v>
      </c>
      <c r="CA52" s="15">
        <f>'районы НП, ЧП'!AU56</f>
        <v>20</v>
      </c>
      <c r="CB52" s="15">
        <f>'районы НП, ЧП'!AV56</f>
        <v>20</v>
      </c>
      <c r="CC52" s="15">
        <f>'районы НП, ЧП'!AW56</f>
        <v>0</v>
      </c>
      <c r="CD52" s="15">
        <f>'районы НП, ЧП'!AX56</f>
        <v>0</v>
      </c>
      <c r="CE52" s="292">
        <f t="shared" si="1"/>
        <v>4681</v>
      </c>
      <c r="CF52" s="292">
        <f t="shared" si="2"/>
        <v>4681</v>
      </c>
      <c r="CG52" s="292">
        <f t="shared" si="2"/>
        <v>4304</v>
      </c>
      <c r="CH52" s="293">
        <f t="shared" si="3"/>
        <v>91.946165349284342</v>
      </c>
    </row>
    <row r="53" spans="1:87" ht="63" x14ac:dyDescent="0.2">
      <c r="A53" s="31" t="s">
        <v>158</v>
      </c>
      <c r="B53" s="60" t="s">
        <v>339</v>
      </c>
      <c r="C53" s="15">
        <f>КЛПУ!BS57</f>
        <v>0</v>
      </c>
      <c r="D53" s="15">
        <f>КЛПУ!BT57</f>
        <v>0</v>
      </c>
      <c r="E53" s="15">
        <f>КЛПУ!BU57</f>
        <v>0</v>
      </c>
      <c r="F53" s="15">
        <f>КЛПУ!BV57</f>
        <v>0</v>
      </c>
      <c r="G53" s="15">
        <f>Хабаровск!EY57</f>
        <v>28289</v>
      </c>
      <c r="H53" s="15">
        <f>Хабаровск!EZ57</f>
        <v>28289</v>
      </c>
      <c r="I53" s="15">
        <f>Хабаровск!FA57</f>
        <v>32956</v>
      </c>
      <c r="J53" s="15">
        <f>Хабаровск!FB57</f>
        <v>116.49757856410619</v>
      </c>
      <c r="K53" s="15">
        <f>'Хаб.р-ны'!K57</f>
        <v>173</v>
      </c>
      <c r="L53" s="15">
        <f>'Хаб.р-ны'!L57</f>
        <v>173</v>
      </c>
      <c r="M53" s="15">
        <f>'Хаб.р-ны'!M57</f>
        <v>400</v>
      </c>
      <c r="N53" s="15">
        <f>'Хаб.р-ны'!N57</f>
        <v>231.21387283236996</v>
      </c>
      <c r="O53" s="15">
        <f>'Хаб.р-ны'!AA57</f>
        <v>330</v>
      </c>
      <c r="P53" s="15">
        <f>'Хаб.р-ны'!AB57</f>
        <v>330</v>
      </c>
      <c r="Q53" s="15">
        <f>'Хаб.р-ны'!AC57</f>
        <v>852</v>
      </c>
      <c r="R53" s="15">
        <f>'Хаб.р-ны'!AD57</f>
        <v>258.18181818181819</v>
      </c>
      <c r="S53" s="15">
        <f>'Хаб.р-ны'!AU57</f>
        <v>1620</v>
      </c>
      <c r="T53" s="15">
        <f>'Хаб.р-ны'!AV57</f>
        <v>1620</v>
      </c>
      <c r="U53" s="15">
        <f>'Хаб.р-ны'!AW57</f>
        <v>1922</v>
      </c>
      <c r="V53" s="15">
        <f>'Хаб.р-ны'!AX57</f>
        <v>118.64197530864197</v>
      </c>
      <c r="W53" s="15">
        <f>'Хаб.р-ны'!AY57</f>
        <v>505</v>
      </c>
      <c r="X53" s="15">
        <f>'Хаб.р-ны'!AZ57</f>
        <v>505</v>
      </c>
      <c r="Y53" s="15">
        <f>'Хаб.р-ны'!BA57</f>
        <v>866</v>
      </c>
      <c r="Z53" s="15">
        <f>'Хаб.р-ны'!BB57</f>
        <v>171.48514851485149</v>
      </c>
      <c r="AA53" s="15">
        <f>'Хаб.р-ны'!BK57</f>
        <v>3180</v>
      </c>
      <c r="AB53" s="15">
        <f>'Хаб.р-ны'!BL57</f>
        <v>3180</v>
      </c>
      <c r="AC53" s="15">
        <f>'Хаб.р-ны'!BM57</f>
        <v>3033</v>
      </c>
      <c r="AD53" s="15">
        <f>'Хаб.р-ны'!BN57</f>
        <v>95.377358490566039</v>
      </c>
      <c r="AE53" s="15">
        <f>Комсомольск!BO57</f>
        <v>12397</v>
      </c>
      <c r="AF53" s="15">
        <f>Комсомольск!BP57</f>
        <v>12397</v>
      </c>
      <c r="AG53" s="15">
        <f>Комсомольск!BQ57</f>
        <v>16759</v>
      </c>
      <c r="AH53" s="15">
        <f>Комсомольск!BR57</f>
        <v>135.18593208034201</v>
      </c>
      <c r="AI53" s="15">
        <f>'районы КП, СП'!K57</f>
        <v>4327</v>
      </c>
      <c r="AJ53" s="15">
        <f>'районы КП, СП'!L57</f>
        <v>4327</v>
      </c>
      <c r="AK53" s="15">
        <f>'районы КП, СП'!M57</f>
        <v>4745</v>
      </c>
      <c r="AL53" s="15">
        <f>'районы КП, СП'!N57</f>
        <v>109.660272706263</v>
      </c>
      <c r="AM53" s="15">
        <f>'районы КП, СП'!W57</f>
        <v>568</v>
      </c>
      <c r="AN53" s="15">
        <f>'районы КП, СП'!X57</f>
        <v>568</v>
      </c>
      <c r="AO53" s="15">
        <f>'районы КП, СП'!Y57</f>
        <v>1236</v>
      </c>
      <c r="AP53" s="15">
        <f>'районы КП, СП'!Z57</f>
        <v>217.6056338028169</v>
      </c>
      <c r="AQ53" s="15">
        <f>'районы КП, СП'!AA57</f>
        <v>900</v>
      </c>
      <c r="AR53" s="15">
        <f>'районы КП, СП'!AB57</f>
        <v>900</v>
      </c>
      <c r="AS53" s="15">
        <f>'районы КП, СП'!AC57</f>
        <v>809</v>
      </c>
      <c r="AT53" s="15">
        <f>'районы КП, СП'!AD57</f>
        <v>89.888888888888886</v>
      </c>
      <c r="AU53" s="15">
        <f>'районы КП, СП'!AM57</f>
        <v>1848</v>
      </c>
      <c r="AV53" s="15">
        <f>'районы КП, СП'!AN57</f>
        <v>1848</v>
      </c>
      <c r="AW53" s="15">
        <f>'районы КП, СП'!AO57</f>
        <v>3222</v>
      </c>
      <c r="AX53" s="15">
        <f>'районы КП, СП'!AP57</f>
        <v>174.35064935064935</v>
      </c>
      <c r="AY53" s="15">
        <f>'районы КП, СП'!BC57</f>
        <v>1111</v>
      </c>
      <c r="AZ53" s="15">
        <f>'районы КП, СП'!BD57</f>
        <v>1111</v>
      </c>
      <c r="BA53" s="15">
        <f>'районы КП, СП'!BE57</f>
        <v>743</v>
      </c>
      <c r="BB53" s="15">
        <f>'районы КП, СП'!BF57</f>
        <v>66.876687668766877</v>
      </c>
      <c r="BC53" s="15">
        <f>'районы КП, СП'!BG57</f>
        <v>127</v>
      </c>
      <c r="BD53" s="15">
        <f>'районы КП, СП'!BH57</f>
        <v>127</v>
      </c>
      <c r="BE53" s="15">
        <f>'районы КП, СП'!BI57</f>
        <v>153</v>
      </c>
      <c r="BF53" s="15">
        <f>'районы КП, СП'!BJ57</f>
        <v>120.4724409448819</v>
      </c>
      <c r="BG53" s="15">
        <f>'районы НП, ЧП'!K57</f>
        <v>1729</v>
      </c>
      <c r="BH53" s="15">
        <f>'районы НП, ЧП'!L57</f>
        <v>1729</v>
      </c>
      <c r="BI53" s="15">
        <f>'районы НП, ЧП'!M57</f>
        <v>2033</v>
      </c>
      <c r="BJ53" s="15">
        <f>'районы НП, ЧП'!N57</f>
        <v>117.58241758241759</v>
      </c>
      <c r="BK53" s="15">
        <f>'районы НП, ЧП'!AA57</f>
        <v>924</v>
      </c>
      <c r="BL53" s="15">
        <f>'районы НП, ЧП'!AB57</f>
        <v>924</v>
      </c>
      <c r="BM53" s="15">
        <f>'районы НП, ЧП'!AC57</f>
        <v>474</v>
      </c>
      <c r="BN53" s="15">
        <f>'районы НП, ЧП'!AD57</f>
        <v>51.298701298701296</v>
      </c>
      <c r="BO53" s="15">
        <f>'районы НП, ЧП'!AE57</f>
        <v>70</v>
      </c>
      <c r="BP53" s="15">
        <f>'районы НП, ЧП'!AF57</f>
        <v>70</v>
      </c>
      <c r="BQ53" s="15">
        <f>'районы НП, ЧП'!AG57</f>
        <v>73</v>
      </c>
      <c r="BR53" s="15">
        <f>'районы НП, ЧП'!AH57</f>
        <v>104.28571428571429</v>
      </c>
      <c r="BS53" s="15">
        <f>'районы НП, ЧП'!AI57</f>
        <v>110</v>
      </c>
      <c r="BT53" s="15">
        <f>'районы НП, ЧП'!AJ57</f>
        <v>110</v>
      </c>
      <c r="BU53" s="15">
        <f>'районы НП, ЧП'!AK57</f>
        <v>138</v>
      </c>
      <c r="BV53" s="15">
        <f>'районы НП, ЧП'!AL57</f>
        <v>125.45454545454547</v>
      </c>
      <c r="BW53" s="15">
        <f>'районы НП, ЧП'!AM57</f>
        <v>493</v>
      </c>
      <c r="BX53" s="15">
        <f>'районы НП, ЧП'!AN57</f>
        <v>493</v>
      </c>
      <c r="BY53" s="15">
        <f>'районы НП, ЧП'!AO57</f>
        <v>178</v>
      </c>
      <c r="BZ53" s="15">
        <f>'районы НП, ЧП'!AP57</f>
        <v>36.105476673427994</v>
      </c>
      <c r="CA53" s="15">
        <f>'районы НП, ЧП'!AU57</f>
        <v>273</v>
      </c>
      <c r="CB53" s="15">
        <f>'районы НП, ЧП'!AV57</f>
        <v>273</v>
      </c>
      <c r="CC53" s="15">
        <f>'районы НП, ЧП'!AW57</f>
        <v>624</v>
      </c>
      <c r="CD53" s="15">
        <f>'районы НП, ЧП'!AX57</f>
        <v>228.57142857142856</v>
      </c>
      <c r="CE53" s="292">
        <f t="shared" si="1"/>
        <v>58974</v>
      </c>
      <c r="CF53" s="292">
        <f t="shared" si="2"/>
        <v>58974</v>
      </c>
      <c r="CG53" s="292">
        <f t="shared" si="2"/>
        <v>71216</v>
      </c>
      <c r="CH53" s="293">
        <f t="shared" si="3"/>
        <v>120.75830026791468</v>
      </c>
    </row>
    <row r="54" spans="1:87" ht="31.5" x14ac:dyDescent="0.2">
      <c r="A54" s="31" t="s">
        <v>193</v>
      </c>
      <c r="B54" s="60" t="s">
        <v>339</v>
      </c>
      <c r="C54" s="15">
        <f>КЛПУ!BS58</f>
        <v>0</v>
      </c>
      <c r="D54" s="15">
        <f>КЛПУ!BT58</f>
        <v>0</v>
      </c>
      <c r="E54" s="15">
        <f>КЛПУ!BU58</f>
        <v>0</v>
      </c>
      <c r="F54" s="15">
        <f>КЛПУ!BV58</f>
        <v>0</v>
      </c>
      <c r="G54" s="15">
        <f>Хабаровск!EY58</f>
        <v>3406</v>
      </c>
      <c r="H54" s="15">
        <f>Хабаровск!EZ58</f>
        <v>3406</v>
      </c>
      <c r="I54" s="15">
        <f>Хабаровск!FA58</f>
        <v>3749</v>
      </c>
      <c r="J54" s="15">
        <f>Хабаровск!FB58</f>
        <v>110.07046388725779</v>
      </c>
      <c r="K54" s="15">
        <f>'Хаб.р-ны'!K58</f>
        <v>115</v>
      </c>
      <c r="L54" s="15">
        <f>'Хаб.р-ны'!L58</f>
        <v>115</v>
      </c>
      <c r="M54" s="15">
        <f>'Хаб.р-ны'!M58</f>
        <v>17</v>
      </c>
      <c r="N54" s="15">
        <f>'Хаб.р-ны'!N58</f>
        <v>14.782608695652174</v>
      </c>
      <c r="O54" s="15">
        <f>'Хаб.р-ны'!AA58</f>
        <v>54</v>
      </c>
      <c r="P54" s="15">
        <f>'Хаб.р-ны'!AB58</f>
        <v>54</v>
      </c>
      <c r="Q54" s="15">
        <f>'Хаб.р-ны'!AC58</f>
        <v>1</v>
      </c>
      <c r="R54" s="15">
        <f>'Хаб.р-ны'!AD58</f>
        <v>1.8518518518518516</v>
      </c>
      <c r="S54" s="15">
        <f>'Хаб.р-ны'!AU58</f>
        <v>414</v>
      </c>
      <c r="T54" s="15">
        <f>'Хаб.р-ны'!AV58</f>
        <v>414</v>
      </c>
      <c r="U54" s="15">
        <f>'Хаб.р-ны'!AW58</f>
        <v>249</v>
      </c>
      <c r="V54" s="15">
        <f>'Хаб.р-ны'!AX58</f>
        <v>60.144927536231883</v>
      </c>
      <c r="W54" s="15">
        <f>'Хаб.р-ны'!AY58</f>
        <v>274</v>
      </c>
      <c r="X54" s="15">
        <f>'Хаб.р-ны'!AZ58</f>
        <v>274</v>
      </c>
      <c r="Y54" s="15">
        <f>'Хаб.р-ны'!BA58</f>
        <v>51</v>
      </c>
      <c r="Z54" s="15">
        <f>'Хаб.р-ны'!BB58</f>
        <v>18.613138686131386</v>
      </c>
      <c r="AA54" s="15">
        <f>'Хаб.р-ны'!BK58</f>
        <v>784</v>
      </c>
      <c r="AB54" s="15">
        <f>'Хаб.р-ны'!BL58</f>
        <v>784</v>
      </c>
      <c r="AC54" s="15">
        <f>'Хаб.р-ны'!BM58</f>
        <v>250</v>
      </c>
      <c r="AD54" s="15">
        <f>'Хаб.р-ны'!BN58</f>
        <v>31.887755102040817</v>
      </c>
      <c r="AE54" s="15">
        <f>Комсомольск!BO58</f>
        <v>1889</v>
      </c>
      <c r="AF54" s="15">
        <f>Комсомольск!BP58</f>
        <v>1889</v>
      </c>
      <c r="AG54" s="15">
        <f>Комсомольск!BQ58</f>
        <v>2645</v>
      </c>
      <c r="AH54" s="15">
        <f>Комсомольск!BR58</f>
        <v>140.02117522498676</v>
      </c>
      <c r="AI54" s="15">
        <f>'районы КП, СП'!K58</f>
        <v>664</v>
      </c>
      <c r="AJ54" s="15">
        <f>'районы КП, СП'!L58</f>
        <v>664</v>
      </c>
      <c r="AK54" s="15">
        <f>'районы КП, СП'!M58</f>
        <v>734</v>
      </c>
      <c r="AL54" s="15">
        <f>'районы КП, СП'!N58</f>
        <v>110.54216867469879</v>
      </c>
      <c r="AM54" s="15">
        <f>'районы КП, СП'!W58</f>
        <v>198</v>
      </c>
      <c r="AN54" s="15">
        <f>'районы КП, СП'!X58</f>
        <v>198</v>
      </c>
      <c r="AO54" s="15">
        <f>'районы КП, СП'!Y58</f>
        <v>84</v>
      </c>
      <c r="AP54" s="15">
        <f>'районы КП, СП'!Z58</f>
        <v>42.424242424242422</v>
      </c>
      <c r="AQ54" s="15">
        <f>'районы КП, СП'!AA58</f>
        <v>34</v>
      </c>
      <c r="AR54" s="15">
        <f>'районы КП, СП'!AB58</f>
        <v>34</v>
      </c>
      <c r="AS54" s="15">
        <f>'районы КП, СП'!AC58</f>
        <v>29</v>
      </c>
      <c r="AT54" s="15">
        <f>'районы КП, СП'!AD58</f>
        <v>85.294117647058826</v>
      </c>
      <c r="AU54" s="15">
        <f>'районы КП, СП'!AM58</f>
        <v>230</v>
      </c>
      <c r="AV54" s="15">
        <f>'районы КП, СП'!AN58</f>
        <v>230</v>
      </c>
      <c r="AW54" s="15">
        <f>'районы КП, СП'!AO58</f>
        <v>449</v>
      </c>
      <c r="AX54" s="15">
        <f>'районы КП, СП'!AP58</f>
        <v>195.21739130434784</v>
      </c>
      <c r="AY54" s="15">
        <f>'районы КП, СП'!BC58</f>
        <v>358</v>
      </c>
      <c r="AZ54" s="15">
        <f>'районы КП, СП'!BD58</f>
        <v>358</v>
      </c>
      <c r="BA54" s="15">
        <f>'районы КП, СП'!BE58</f>
        <v>95</v>
      </c>
      <c r="BB54" s="15">
        <f>'районы КП, СП'!BF58</f>
        <v>26.536312849162012</v>
      </c>
      <c r="BC54" s="15">
        <f>'районы КП, СП'!BG58</f>
        <v>5</v>
      </c>
      <c r="BD54" s="15">
        <f>'районы КП, СП'!BH58</f>
        <v>5</v>
      </c>
      <c r="BE54" s="15">
        <f>'районы КП, СП'!BI58</f>
        <v>3</v>
      </c>
      <c r="BF54" s="15">
        <f>'районы КП, СП'!BJ58</f>
        <v>60</v>
      </c>
      <c r="BG54" s="15">
        <f>'районы НП, ЧП'!K58</f>
        <v>234</v>
      </c>
      <c r="BH54" s="15">
        <f>'районы НП, ЧП'!L58</f>
        <v>234</v>
      </c>
      <c r="BI54" s="15">
        <f>'районы НП, ЧП'!M58</f>
        <v>294</v>
      </c>
      <c r="BJ54" s="15">
        <f>'районы НП, ЧП'!N58</f>
        <v>125.64102564102564</v>
      </c>
      <c r="BK54" s="15">
        <f>'районы НП, ЧП'!AA58</f>
        <v>34</v>
      </c>
      <c r="BL54" s="15">
        <f>'районы НП, ЧП'!AB58</f>
        <v>34</v>
      </c>
      <c r="BM54" s="15">
        <f>'районы НП, ЧП'!AC58</f>
        <v>18</v>
      </c>
      <c r="BN54" s="15">
        <f>'районы НП, ЧП'!AD58</f>
        <v>52.941176470588239</v>
      </c>
      <c r="BO54" s="15">
        <f>'районы НП, ЧП'!AE58</f>
        <v>28</v>
      </c>
      <c r="BP54" s="15">
        <f>'районы НП, ЧП'!AF58</f>
        <v>28</v>
      </c>
      <c r="BQ54" s="15">
        <f>'районы НП, ЧП'!AG58</f>
        <v>0</v>
      </c>
      <c r="BR54" s="15">
        <f>'районы НП, ЧП'!AH58</f>
        <v>0</v>
      </c>
      <c r="BS54" s="15">
        <f>'районы НП, ЧП'!AI58</f>
        <v>6</v>
      </c>
      <c r="BT54" s="15">
        <f>'районы НП, ЧП'!AJ58</f>
        <v>6</v>
      </c>
      <c r="BU54" s="15">
        <f>'районы НП, ЧП'!AK58</f>
        <v>9</v>
      </c>
      <c r="BV54" s="15">
        <f>'районы НП, ЧП'!AL58</f>
        <v>150</v>
      </c>
      <c r="BW54" s="15">
        <f>'районы НП, ЧП'!AM58</f>
        <v>85</v>
      </c>
      <c r="BX54" s="15">
        <f>'районы НП, ЧП'!AN58</f>
        <v>85</v>
      </c>
      <c r="BY54" s="15">
        <f>'районы НП, ЧП'!AO58</f>
        <v>2</v>
      </c>
      <c r="BZ54" s="15">
        <f>'районы НП, ЧП'!AP58</f>
        <v>2.3529411764705883</v>
      </c>
      <c r="CA54" s="15">
        <f>'районы НП, ЧП'!AU58</f>
        <v>64</v>
      </c>
      <c r="CB54" s="15">
        <f>'районы НП, ЧП'!AV58</f>
        <v>64</v>
      </c>
      <c r="CC54" s="15">
        <f>'районы НП, ЧП'!AW58</f>
        <v>1</v>
      </c>
      <c r="CD54" s="15">
        <f>'районы НП, ЧП'!AX58</f>
        <v>1.5625</v>
      </c>
      <c r="CE54" s="292">
        <f t="shared" si="1"/>
        <v>8876</v>
      </c>
      <c r="CF54" s="292">
        <f t="shared" si="2"/>
        <v>8876</v>
      </c>
      <c r="CG54" s="292">
        <f t="shared" si="2"/>
        <v>8680</v>
      </c>
      <c r="CH54" s="293">
        <f t="shared" si="3"/>
        <v>97.791798107255516</v>
      </c>
    </row>
    <row r="55" spans="1:87" ht="31.5" x14ac:dyDescent="0.2">
      <c r="A55" s="31" t="s">
        <v>159</v>
      </c>
      <c r="B55" s="60" t="s">
        <v>339</v>
      </c>
      <c r="C55" s="15">
        <f>КЛПУ!BS59</f>
        <v>0</v>
      </c>
      <c r="D55" s="15">
        <f>КЛПУ!BT59</f>
        <v>0</v>
      </c>
      <c r="E55" s="15">
        <f>КЛПУ!BU59</f>
        <v>0</v>
      </c>
      <c r="F55" s="15">
        <f>КЛПУ!BV59</f>
        <v>0</v>
      </c>
      <c r="G55" s="15">
        <f>Хабаровск!EY59</f>
        <v>2623.5</v>
      </c>
      <c r="H55" s="15">
        <f>Хабаровск!EZ59</f>
        <v>2623.5</v>
      </c>
      <c r="I55" s="15">
        <f>Хабаровск!FA59</f>
        <v>2450</v>
      </c>
      <c r="J55" s="15">
        <f>Хабаровск!FB59</f>
        <v>93.386697160282068</v>
      </c>
      <c r="K55" s="15">
        <f>'Хаб.р-ны'!K59</f>
        <v>60</v>
      </c>
      <c r="L55" s="15">
        <f>'Хаб.р-ны'!L59</f>
        <v>60</v>
      </c>
      <c r="M55" s="15">
        <f>'Хаб.р-ны'!M59</f>
        <v>12</v>
      </c>
      <c r="N55" s="15">
        <f>'Хаб.р-ны'!N59</f>
        <v>20</v>
      </c>
      <c r="O55" s="15">
        <f>'Хаб.р-ны'!AA59</f>
        <v>55</v>
      </c>
      <c r="P55" s="15">
        <f>'Хаб.р-ны'!AB59</f>
        <v>55</v>
      </c>
      <c r="Q55" s="15">
        <f>'Хаб.р-ны'!AC59</f>
        <v>0</v>
      </c>
      <c r="R55" s="15">
        <f>'Хаб.р-ны'!AD59</f>
        <v>0</v>
      </c>
      <c r="S55" s="15">
        <f>'Хаб.р-ны'!AU59</f>
        <v>316</v>
      </c>
      <c r="T55" s="15">
        <f>'Хаб.р-ны'!AV59</f>
        <v>316</v>
      </c>
      <c r="U55" s="15">
        <f>'Хаб.р-ны'!AW59</f>
        <v>114</v>
      </c>
      <c r="V55" s="15">
        <f>'Хаб.р-ны'!AX59</f>
        <v>36.075949367088604</v>
      </c>
      <c r="W55" s="15">
        <f>'Хаб.р-ны'!AY59</f>
        <v>137</v>
      </c>
      <c r="X55" s="15">
        <f>'Хаб.р-ны'!AZ59</f>
        <v>137</v>
      </c>
      <c r="Y55" s="15">
        <f>'Хаб.р-ны'!BA59</f>
        <v>21</v>
      </c>
      <c r="Z55" s="15">
        <f>'Хаб.р-ны'!BB59</f>
        <v>15.328467153284672</v>
      </c>
      <c r="AA55" s="15">
        <f>'Хаб.р-ны'!BK59</f>
        <v>395</v>
      </c>
      <c r="AB55" s="15">
        <f>'Хаб.р-ны'!BL59</f>
        <v>395</v>
      </c>
      <c r="AC55" s="15">
        <f>'Хаб.р-ны'!BM59</f>
        <v>131</v>
      </c>
      <c r="AD55" s="15">
        <f>'Хаб.р-ны'!BN59</f>
        <v>33.164556962025316</v>
      </c>
      <c r="AE55" s="15">
        <f>Комсомольск!BO59</f>
        <v>981</v>
      </c>
      <c r="AF55" s="15">
        <f>Комсомольск!BP59</f>
        <v>981</v>
      </c>
      <c r="AG55" s="15">
        <f>Комсомольск!BQ59</f>
        <v>1736</v>
      </c>
      <c r="AH55" s="15">
        <f>Комсомольск!BR59</f>
        <v>176.96228338430174</v>
      </c>
      <c r="AI55" s="15">
        <f>'районы КП, СП'!K59</f>
        <v>351</v>
      </c>
      <c r="AJ55" s="15">
        <f>'районы КП, СП'!L59</f>
        <v>351</v>
      </c>
      <c r="AK55" s="15">
        <f>'районы КП, СП'!M59</f>
        <v>359</v>
      </c>
      <c r="AL55" s="15">
        <f>'районы КП, СП'!N59</f>
        <v>102.27920227920228</v>
      </c>
      <c r="AM55" s="15">
        <f>'районы КП, СП'!W59</f>
        <v>99</v>
      </c>
      <c r="AN55" s="15">
        <f>'районы КП, СП'!X59</f>
        <v>99</v>
      </c>
      <c r="AO55" s="15">
        <f>'районы КП, СП'!Y59</f>
        <v>96</v>
      </c>
      <c r="AP55" s="15">
        <f>'районы КП, СП'!Z59</f>
        <v>96.969696969696969</v>
      </c>
      <c r="AQ55" s="15">
        <f>'районы КП, СП'!AA59</f>
        <v>74</v>
      </c>
      <c r="AR55" s="15">
        <f>'районы КП, СП'!AB59</f>
        <v>74</v>
      </c>
      <c r="AS55" s="15">
        <f>'районы КП, СП'!AC59</f>
        <v>63</v>
      </c>
      <c r="AT55" s="15">
        <f>'районы КП, СП'!AD59</f>
        <v>85.13513513513513</v>
      </c>
      <c r="AU55" s="15">
        <f>'районы КП, СП'!AM59</f>
        <v>115</v>
      </c>
      <c r="AV55" s="15">
        <f>'районы КП, СП'!AN59</f>
        <v>115</v>
      </c>
      <c r="AW55" s="15">
        <f>'районы КП, СП'!AO59</f>
        <v>148</v>
      </c>
      <c r="AX55" s="15">
        <f>'районы КП, СП'!AP59</f>
        <v>128.69565217391303</v>
      </c>
      <c r="AY55" s="15">
        <f>'районы КП, СП'!BC59</f>
        <v>175</v>
      </c>
      <c r="AZ55" s="15">
        <f>'районы КП, СП'!BD59</f>
        <v>175</v>
      </c>
      <c r="BA55" s="15">
        <f>'районы КП, СП'!BE59</f>
        <v>46</v>
      </c>
      <c r="BB55" s="15">
        <f>'районы КП, СП'!BF59</f>
        <v>26.285714285714285</v>
      </c>
      <c r="BC55" s="15">
        <f>'районы КП, СП'!BG59</f>
        <v>38</v>
      </c>
      <c r="BD55" s="15">
        <f>'районы КП, СП'!BH59</f>
        <v>38</v>
      </c>
      <c r="BE55" s="15">
        <f>'районы КП, СП'!BI59</f>
        <v>1</v>
      </c>
      <c r="BF55" s="15">
        <f>'районы КП, СП'!BJ59</f>
        <v>2.6315789473684208</v>
      </c>
      <c r="BG55" s="15">
        <f>'районы НП, ЧП'!K59</f>
        <v>123</v>
      </c>
      <c r="BH55" s="15">
        <f>'районы НП, ЧП'!L59</f>
        <v>123</v>
      </c>
      <c r="BI55" s="15">
        <f>'районы НП, ЧП'!M59</f>
        <v>57</v>
      </c>
      <c r="BJ55" s="15">
        <f>'районы НП, ЧП'!N59</f>
        <v>46.341463414634148</v>
      </c>
      <c r="BK55" s="15">
        <f>'районы НП, ЧП'!AA59</f>
        <v>64</v>
      </c>
      <c r="BL55" s="15">
        <f>'районы НП, ЧП'!AB59</f>
        <v>64</v>
      </c>
      <c r="BM55" s="15">
        <f>'районы НП, ЧП'!AC59</f>
        <v>46</v>
      </c>
      <c r="BN55" s="15">
        <f>'районы НП, ЧП'!AD59</f>
        <v>71.875</v>
      </c>
      <c r="BO55" s="15">
        <f>'районы НП, ЧП'!AE59</f>
        <v>21</v>
      </c>
      <c r="BP55" s="15">
        <f>'районы НП, ЧП'!AF59</f>
        <v>21</v>
      </c>
      <c r="BQ55" s="15">
        <f>'районы НП, ЧП'!AG59</f>
        <v>6</v>
      </c>
      <c r="BR55" s="15">
        <f>'районы НП, ЧП'!AH59</f>
        <v>28.571428571428569</v>
      </c>
      <c r="BS55" s="15">
        <f>'районы НП, ЧП'!AI59</f>
        <v>2</v>
      </c>
      <c r="BT55" s="15">
        <f>'районы НП, ЧП'!AJ59</f>
        <v>2</v>
      </c>
      <c r="BU55" s="15">
        <f>'районы НП, ЧП'!AK59</f>
        <v>9</v>
      </c>
      <c r="BV55" s="15">
        <f>'районы НП, ЧП'!AL59</f>
        <v>450</v>
      </c>
      <c r="BW55" s="15">
        <f>'районы НП, ЧП'!AM59</f>
        <v>57</v>
      </c>
      <c r="BX55" s="15">
        <f>'районы НП, ЧП'!AN59</f>
        <v>57</v>
      </c>
      <c r="BY55" s="15">
        <f>'районы НП, ЧП'!AO59</f>
        <v>3</v>
      </c>
      <c r="BZ55" s="15">
        <f>'районы НП, ЧП'!AP59</f>
        <v>5.2631578947368416</v>
      </c>
      <c r="CA55" s="15">
        <f>'районы НП, ЧП'!AU59</f>
        <v>30</v>
      </c>
      <c r="CB55" s="15">
        <f>'районы НП, ЧП'!AV59</f>
        <v>30</v>
      </c>
      <c r="CC55" s="15">
        <f>'районы НП, ЧП'!AW59</f>
        <v>0</v>
      </c>
      <c r="CD55" s="15">
        <f>'районы НП, ЧП'!AX59</f>
        <v>0</v>
      </c>
      <c r="CE55" s="292">
        <f t="shared" si="1"/>
        <v>5716.5</v>
      </c>
      <c r="CF55" s="292">
        <f t="shared" si="2"/>
        <v>5716.5</v>
      </c>
      <c r="CG55" s="292">
        <f t="shared" si="2"/>
        <v>5298</v>
      </c>
      <c r="CH55" s="293">
        <f t="shared" si="3"/>
        <v>92.67908685384414</v>
      </c>
    </row>
    <row r="56" spans="1:87" ht="31.5" x14ac:dyDescent="0.2">
      <c r="A56" s="31" t="s">
        <v>160</v>
      </c>
      <c r="B56" s="60" t="s">
        <v>339</v>
      </c>
      <c r="C56" s="15">
        <f>КЛПУ!BS60</f>
        <v>0</v>
      </c>
      <c r="D56" s="15">
        <f>КЛПУ!BT60</f>
        <v>0</v>
      </c>
      <c r="E56" s="15">
        <f>КЛПУ!BU60</f>
        <v>0</v>
      </c>
      <c r="F56" s="15">
        <f>КЛПУ!BV60</f>
        <v>0</v>
      </c>
      <c r="G56" s="15">
        <f>Хабаровск!EY60</f>
        <v>2525.5</v>
      </c>
      <c r="H56" s="15">
        <f>Хабаровск!EZ60</f>
        <v>2525.5</v>
      </c>
      <c r="I56" s="15">
        <f>Хабаровск!FA60</f>
        <v>2630</v>
      </c>
      <c r="J56" s="15">
        <f>Хабаровск!FB60</f>
        <v>104.13779449613938</v>
      </c>
      <c r="K56" s="15">
        <f>'Хаб.р-ны'!K60</f>
        <v>55</v>
      </c>
      <c r="L56" s="15">
        <f>'Хаб.р-ны'!L60</f>
        <v>55</v>
      </c>
      <c r="M56" s="15">
        <f>'Хаб.р-ны'!M60</f>
        <v>62</v>
      </c>
      <c r="N56" s="15">
        <f>'Хаб.р-ны'!N60</f>
        <v>112.72727272727272</v>
      </c>
      <c r="O56" s="15">
        <f>'Хаб.р-ны'!AA60</f>
        <v>66</v>
      </c>
      <c r="P56" s="15">
        <f>'Хаб.р-ны'!AB60</f>
        <v>66</v>
      </c>
      <c r="Q56" s="15">
        <f>'Хаб.р-ны'!AC60</f>
        <v>12</v>
      </c>
      <c r="R56" s="15">
        <f>'Хаб.р-ны'!AD60</f>
        <v>18.181818181818183</v>
      </c>
      <c r="S56" s="15">
        <f>'Хаб.р-ны'!AU60</f>
        <v>402</v>
      </c>
      <c r="T56" s="15">
        <f>'Хаб.р-ны'!AV60</f>
        <v>402</v>
      </c>
      <c r="U56" s="15">
        <f>'Хаб.р-ны'!AW60</f>
        <v>70</v>
      </c>
      <c r="V56" s="15">
        <f>'Хаб.р-ны'!AX60</f>
        <v>17.412935323383085</v>
      </c>
      <c r="W56" s="15">
        <f>'Хаб.р-ны'!AY60</f>
        <v>143</v>
      </c>
      <c r="X56" s="15">
        <f>'Хаб.р-ны'!AZ60</f>
        <v>143</v>
      </c>
      <c r="Y56" s="15">
        <f>'Хаб.р-ны'!BA60</f>
        <v>36</v>
      </c>
      <c r="Z56" s="15">
        <f>'Хаб.р-ны'!BB60</f>
        <v>25.174825174825177</v>
      </c>
      <c r="AA56" s="15">
        <f>'Хаб.р-ны'!BK60</f>
        <v>547</v>
      </c>
      <c r="AB56" s="15">
        <f>'Хаб.р-ны'!BL60</f>
        <v>547</v>
      </c>
      <c r="AC56" s="15">
        <f>'Хаб.р-ны'!BM60</f>
        <v>341</v>
      </c>
      <c r="AD56" s="15">
        <f>'Хаб.р-ны'!BN60</f>
        <v>62.340036563071301</v>
      </c>
      <c r="AE56" s="15">
        <f>Комсомольск!BO60</f>
        <v>700</v>
      </c>
      <c r="AF56" s="15">
        <f>Комсомольск!BP60</f>
        <v>700</v>
      </c>
      <c r="AG56" s="15">
        <f>Комсомольск!BQ60</f>
        <v>510</v>
      </c>
      <c r="AH56" s="15">
        <f>Комсомольск!BR60</f>
        <v>72.857142857142847</v>
      </c>
      <c r="AI56" s="15">
        <f>'районы КП, СП'!K60</f>
        <v>362</v>
      </c>
      <c r="AJ56" s="15">
        <f>'районы КП, СП'!L60</f>
        <v>362</v>
      </c>
      <c r="AK56" s="15">
        <f>'районы КП, СП'!M60</f>
        <v>110</v>
      </c>
      <c r="AL56" s="15">
        <f>'районы КП, СП'!N60</f>
        <v>30.386740331491712</v>
      </c>
      <c r="AM56" s="15">
        <f>'районы КП, СП'!W60</f>
        <v>110</v>
      </c>
      <c r="AN56" s="15">
        <f>'районы КП, СП'!X60</f>
        <v>110</v>
      </c>
      <c r="AO56" s="15">
        <f>'районы КП, СП'!Y60</f>
        <v>169</v>
      </c>
      <c r="AP56" s="15">
        <f>'районы КП, СП'!Z60</f>
        <v>153.63636363636363</v>
      </c>
      <c r="AQ56" s="15">
        <f>'районы КП, СП'!AA60</f>
        <v>100</v>
      </c>
      <c r="AR56" s="15">
        <f>'районы КП, СП'!AB60</f>
        <v>100</v>
      </c>
      <c r="AS56" s="15">
        <f>'районы КП, СП'!AC60</f>
        <v>95</v>
      </c>
      <c r="AT56" s="15">
        <f>'районы КП, СП'!AD60</f>
        <v>95</v>
      </c>
      <c r="AU56" s="15">
        <f>'районы КП, СП'!AM60</f>
        <v>110</v>
      </c>
      <c r="AV56" s="15">
        <f>'районы КП, СП'!AN60</f>
        <v>110</v>
      </c>
      <c r="AW56" s="15">
        <f>'районы КП, СП'!AO60</f>
        <v>92</v>
      </c>
      <c r="AX56" s="15">
        <f>'районы КП, СП'!AP60</f>
        <v>83.636363636363626</v>
      </c>
      <c r="AY56" s="15">
        <f>'районы КП, СП'!BC60</f>
        <v>120</v>
      </c>
      <c r="AZ56" s="15">
        <f>'районы КП, СП'!BD60</f>
        <v>120</v>
      </c>
      <c r="BA56" s="15">
        <f>'районы КП, СП'!BE60</f>
        <v>61</v>
      </c>
      <c r="BB56" s="15">
        <f>'районы КП, СП'!BF60</f>
        <v>50.833333333333329</v>
      </c>
      <c r="BC56" s="15">
        <f>'районы КП, СП'!BG60</f>
        <v>5</v>
      </c>
      <c r="BD56" s="15">
        <f>'районы КП, СП'!BH60</f>
        <v>5</v>
      </c>
      <c r="BE56" s="15">
        <f>'районы КП, СП'!BI60</f>
        <v>3</v>
      </c>
      <c r="BF56" s="15">
        <f>'районы КП, СП'!BJ60</f>
        <v>60</v>
      </c>
      <c r="BG56" s="15">
        <f>'районы НП, ЧП'!K60</f>
        <v>118</v>
      </c>
      <c r="BH56" s="15">
        <f>'районы НП, ЧП'!L60</f>
        <v>118</v>
      </c>
      <c r="BI56" s="15">
        <f>'районы НП, ЧП'!M60</f>
        <v>115</v>
      </c>
      <c r="BJ56" s="15">
        <f>'районы НП, ЧП'!N60</f>
        <v>97.457627118644069</v>
      </c>
      <c r="BK56" s="15">
        <f>'районы НП, ЧП'!AA60</f>
        <v>91</v>
      </c>
      <c r="BL56" s="15">
        <f>'районы НП, ЧП'!AB60</f>
        <v>91</v>
      </c>
      <c r="BM56" s="15">
        <f>'районы НП, ЧП'!AC60</f>
        <v>74</v>
      </c>
      <c r="BN56" s="15">
        <f>'районы НП, ЧП'!AD60</f>
        <v>81.318681318681314</v>
      </c>
      <c r="BO56" s="15">
        <f>'районы НП, ЧП'!AE60</f>
        <v>19</v>
      </c>
      <c r="BP56" s="15">
        <f>'районы НП, ЧП'!AF60</f>
        <v>19</v>
      </c>
      <c r="BQ56" s="15">
        <f>'районы НП, ЧП'!AG60</f>
        <v>23</v>
      </c>
      <c r="BR56" s="15">
        <f>'районы НП, ЧП'!AH60</f>
        <v>121.05263157894737</v>
      </c>
      <c r="BS56" s="15">
        <f>'районы НП, ЧП'!AI60</f>
        <v>4</v>
      </c>
      <c r="BT56" s="15">
        <f>'районы НП, ЧП'!AJ60</f>
        <v>4</v>
      </c>
      <c r="BU56" s="15">
        <f>'районы НП, ЧП'!AK60</f>
        <v>5</v>
      </c>
      <c r="BV56" s="15">
        <f>'районы НП, ЧП'!AL60</f>
        <v>125</v>
      </c>
      <c r="BW56" s="15">
        <f>'районы НП, ЧП'!AM60</f>
        <v>57</v>
      </c>
      <c r="BX56" s="15">
        <f>'районы НП, ЧП'!AN60</f>
        <v>57</v>
      </c>
      <c r="BY56" s="15">
        <f>'районы НП, ЧП'!AO60</f>
        <v>1</v>
      </c>
      <c r="BZ56" s="15">
        <f>'районы НП, ЧП'!AP60</f>
        <v>1.7543859649122806</v>
      </c>
      <c r="CA56" s="15">
        <f>'районы НП, ЧП'!AU60</f>
        <v>30</v>
      </c>
      <c r="CB56" s="15">
        <f>'районы НП, ЧП'!AV60</f>
        <v>30</v>
      </c>
      <c r="CC56" s="15">
        <f>'районы НП, ЧП'!AW60</f>
        <v>1</v>
      </c>
      <c r="CD56" s="15">
        <f>'районы НП, ЧП'!AX60</f>
        <v>3.3333333333333335</v>
      </c>
      <c r="CE56" s="292">
        <f t="shared" si="1"/>
        <v>5564.5</v>
      </c>
      <c r="CF56" s="292">
        <f t="shared" si="2"/>
        <v>5564.5</v>
      </c>
      <c r="CG56" s="292">
        <f t="shared" si="2"/>
        <v>4410</v>
      </c>
      <c r="CH56" s="293">
        <f t="shared" si="3"/>
        <v>79.252403630155456</v>
      </c>
    </row>
    <row r="57" spans="1:87" ht="31.5" x14ac:dyDescent="0.2">
      <c r="A57" s="31" t="s">
        <v>161</v>
      </c>
      <c r="B57" s="60" t="s">
        <v>339</v>
      </c>
      <c r="C57" s="15">
        <f>КЛПУ!BS61</f>
        <v>0</v>
      </c>
      <c r="D57" s="15">
        <f>КЛПУ!BT61</f>
        <v>0</v>
      </c>
      <c r="E57" s="15">
        <f>КЛПУ!BU61</f>
        <v>0</v>
      </c>
      <c r="F57" s="15">
        <f>КЛПУ!BV61</f>
        <v>0</v>
      </c>
      <c r="G57" s="15">
        <f>Хабаровск!EY61</f>
        <v>2273</v>
      </c>
      <c r="H57" s="15">
        <f>Хабаровск!EZ61</f>
        <v>2273</v>
      </c>
      <c r="I57" s="15">
        <f>Хабаровск!FA61</f>
        <v>3080</v>
      </c>
      <c r="J57" s="15">
        <f>Хабаровск!FB61</f>
        <v>135.50373955125386</v>
      </c>
      <c r="K57" s="15">
        <f>'Хаб.р-ны'!K61</f>
        <v>55</v>
      </c>
      <c r="L57" s="15">
        <f>'Хаб.р-ны'!L61</f>
        <v>55</v>
      </c>
      <c r="M57" s="15">
        <f>'Хаб.р-ны'!M61</f>
        <v>17</v>
      </c>
      <c r="N57" s="15">
        <f>'Хаб.р-ны'!N61</f>
        <v>30.909090909090907</v>
      </c>
      <c r="O57" s="15">
        <f>'Хаб.р-ны'!AA61</f>
        <v>66</v>
      </c>
      <c r="P57" s="15">
        <f>'Хаб.р-ны'!AB61</f>
        <v>66</v>
      </c>
      <c r="Q57" s="15">
        <f>'Хаб.р-ны'!AC61</f>
        <v>6</v>
      </c>
      <c r="R57" s="15">
        <f>'Хаб.р-ны'!AD61</f>
        <v>9.0909090909090917</v>
      </c>
      <c r="S57" s="15">
        <f>'Хаб.р-ны'!AU61</f>
        <v>328</v>
      </c>
      <c r="T57" s="15">
        <f>'Хаб.р-ны'!AV61</f>
        <v>328</v>
      </c>
      <c r="U57" s="15">
        <f>'Хаб.р-ны'!AW61</f>
        <v>113</v>
      </c>
      <c r="V57" s="15">
        <f>'Хаб.р-ны'!AX61</f>
        <v>34.451219512195117</v>
      </c>
      <c r="W57" s="15">
        <f>'Хаб.р-ны'!AY61</f>
        <v>137</v>
      </c>
      <c r="X57" s="15">
        <f>'Хаб.р-ны'!AZ61</f>
        <v>137</v>
      </c>
      <c r="Y57" s="15">
        <f>'Хаб.р-ны'!BA61</f>
        <v>50</v>
      </c>
      <c r="Z57" s="15">
        <f>'Хаб.р-ны'!BB61</f>
        <v>36.496350364963504</v>
      </c>
      <c r="AA57" s="15">
        <f>'Хаб.р-ны'!BK61</f>
        <v>219</v>
      </c>
      <c r="AB57" s="15">
        <f>'Хаб.р-ны'!BL61</f>
        <v>219</v>
      </c>
      <c r="AC57" s="15">
        <f>'Хаб.р-ны'!BM61</f>
        <v>243</v>
      </c>
      <c r="AD57" s="15">
        <f>'Хаб.р-ны'!BN61</f>
        <v>110.95890410958904</v>
      </c>
      <c r="AE57" s="15">
        <f>Комсомольск!BO61</f>
        <v>619</v>
      </c>
      <c r="AF57" s="15">
        <f>Комсомольск!BP61</f>
        <v>619</v>
      </c>
      <c r="AG57" s="15">
        <f>Комсомольск!BQ61</f>
        <v>486</v>
      </c>
      <c r="AH57" s="15">
        <f>Комсомольск!BR61</f>
        <v>78.513731825525042</v>
      </c>
      <c r="AI57" s="15">
        <f>'районы КП, СП'!K61</f>
        <v>330</v>
      </c>
      <c r="AJ57" s="15">
        <f>'районы КП, СП'!L61</f>
        <v>330</v>
      </c>
      <c r="AK57" s="15">
        <f>'районы КП, СП'!M61</f>
        <v>447</v>
      </c>
      <c r="AL57" s="15">
        <f>'районы КП, СП'!N61</f>
        <v>135.45454545454544</v>
      </c>
      <c r="AM57" s="15">
        <f>'районы КП, СП'!W61</f>
        <v>110</v>
      </c>
      <c r="AN57" s="15">
        <f>'районы КП, СП'!X61</f>
        <v>110</v>
      </c>
      <c r="AO57" s="15">
        <f>'районы КП, СП'!Y61</f>
        <v>197</v>
      </c>
      <c r="AP57" s="15">
        <f>'районы КП, СП'!Z61</f>
        <v>179.09090909090909</v>
      </c>
      <c r="AQ57" s="15">
        <f>'районы КП, СП'!AA61</f>
        <v>150</v>
      </c>
      <c r="AR57" s="15">
        <f>'районы КП, СП'!AB61</f>
        <v>150</v>
      </c>
      <c r="AS57" s="15">
        <f>'районы КП, СП'!AC61</f>
        <v>185</v>
      </c>
      <c r="AT57" s="15">
        <f>'районы КП, СП'!AD61</f>
        <v>123.33333333333334</v>
      </c>
      <c r="AU57" s="15">
        <f>'районы КП, СП'!AM61</f>
        <v>0</v>
      </c>
      <c r="AV57" s="15">
        <f>'районы КП, СП'!AN61</f>
        <v>0</v>
      </c>
      <c r="AW57" s="15">
        <f>'районы КП, СП'!AO61</f>
        <v>8</v>
      </c>
      <c r="AX57" s="15">
        <f>'районы КП, СП'!AP61</f>
        <v>0</v>
      </c>
      <c r="AY57" s="15">
        <f>'районы КП, СП'!BC61</f>
        <v>185</v>
      </c>
      <c r="AZ57" s="15">
        <f>'районы КП, СП'!BD61</f>
        <v>185</v>
      </c>
      <c r="BA57" s="15">
        <f>'районы КП, СП'!BE61</f>
        <v>156</v>
      </c>
      <c r="BB57" s="15">
        <f>'районы КП, СП'!BF61</f>
        <v>84.324324324324323</v>
      </c>
      <c r="BC57" s="15">
        <f>'районы КП, СП'!BG61</f>
        <v>31</v>
      </c>
      <c r="BD57" s="15">
        <f>'районы КП, СП'!BH61</f>
        <v>31</v>
      </c>
      <c r="BE57" s="15">
        <f>'районы КП, СП'!BI61</f>
        <v>26</v>
      </c>
      <c r="BF57" s="15">
        <f>'районы КП, СП'!BJ61</f>
        <v>83.870967741935488</v>
      </c>
      <c r="BG57" s="15">
        <f>'районы НП, ЧП'!K61</f>
        <v>137</v>
      </c>
      <c r="BH57" s="15">
        <f>'районы НП, ЧП'!L61</f>
        <v>137</v>
      </c>
      <c r="BI57" s="15">
        <f>'районы НП, ЧП'!M61</f>
        <v>215</v>
      </c>
      <c r="BJ57" s="15">
        <f>'районы НП, ЧП'!N61</f>
        <v>156.93430656934305</v>
      </c>
      <c r="BK57" s="15">
        <f>'районы НП, ЧП'!AA61</f>
        <v>105</v>
      </c>
      <c r="BL57" s="15">
        <f>'районы НП, ЧП'!AB61</f>
        <v>105</v>
      </c>
      <c r="BM57" s="15">
        <f>'районы НП, ЧП'!AC61</f>
        <v>89</v>
      </c>
      <c r="BN57" s="15">
        <f>'районы НП, ЧП'!AD61</f>
        <v>84.761904761904759</v>
      </c>
      <c r="BO57" s="15">
        <f>'районы НП, ЧП'!AE61</f>
        <v>21</v>
      </c>
      <c r="BP57" s="15">
        <f>'районы НП, ЧП'!AF61</f>
        <v>21</v>
      </c>
      <c r="BQ57" s="15">
        <f>'районы НП, ЧП'!AG61</f>
        <v>25</v>
      </c>
      <c r="BR57" s="15">
        <f>'районы НП, ЧП'!AH61</f>
        <v>119.04761904761905</v>
      </c>
      <c r="BS57" s="15">
        <f>'районы НП, ЧП'!AI61</f>
        <v>2</v>
      </c>
      <c r="BT57" s="15">
        <f>'районы НП, ЧП'!AJ61</f>
        <v>2</v>
      </c>
      <c r="BU57" s="15">
        <f>'районы НП, ЧП'!AK61</f>
        <v>5</v>
      </c>
      <c r="BV57" s="15">
        <f>'районы НП, ЧП'!AL61</f>
        <v>250</v>
      </c>
      <c r="BW57" s="15">
        <f>'районы НП, ЧП'!AM61</f>
        <v>55</v>
      </c>
      <c r="BX57" s="15">
        <f>'районы НП, ЧП'!AN61</f>
        <v>55</v>
      </c>
      <c r="BY57" s="15">
        <f>'районы НП, ЧП'!AO61</f>
        <v>1</v>
      </c>
      <c r="BZ57" s="15">
        <f>'районы НП, ЧП'!AP61</f>
        <v>1.8181818181818181</v>
      </c>
      <c r="CA57" s="15">
        <f>'районы НП, ЧП'!AU61</f>
        <v>31</v>
      </c>
      <c r="CB57" s="15">
        <f>'районы НП, ЧП'!AV61</f>
        <v>31</v>
      </c>
      <c r="CC57" s="15">
        <f>'районы НП, ЧП'!AW61</f>
        <v>0</v>
      </c>
      <c r="CD57" s="15">
        <f>'районы НП, ЧП'!AX61</f>
        <v>0</v>
      </c>
      <c r="CE57" s="292">
        <f t="shared" si="1"/>
        <v>4854</v>
      </c>
      <c r="CF57" s="292">
        <f t="shared" si="2"/>
        <v>4854</v>
      </c>
      <c r="CG57" s="292">
        <f t="shared" si="2"/>
        <v>5349</v>
      </c>
      <c r="CH57" s="293">
        <f t="shared" si="3"/>
        <v>110.19777503090236</v>
      </c>
    </row>
    <row r="58" spans="1:87" ht="31.5" x14ac:dyDescent="0.2">
      <c r="A58" s="31" t="s">
        <v>162</v>
      </c>
      <c r="B58" s="60" t="s">
        <v>339</v>
      </c>
      <c r="C58" s="15">
        <f>КЛПУ!BS62</f>
        <v>0</v>
      </c>
      <c r="D58" s="15">
        <f>КЛПУ!BT62</f>
        <v>0</v>
      </c>
      <c r="E58" s="15">
        <f>КЛПУ!BU62</f>
        <v>0</v>
      </c>
      <c r="F58" s="15">
        <f>КЛПУ!BV62</f>
        <v>0</v>
      </c>
      <c r="G58" s="15">
        <f>Хабаровск!EY62</f>
        <v>8862</v>
      </c>
      <c r="H58" s="15">
        <f>Хабаровск!EZ62</f>
        <v>8862</v>
      </c>
      <c r="I58" s="15">
        <f>Хабаровск!FA62</f>
        <v>8732</v>
      </c>
      <c r="J58" s="15">
        <f>Хабаровск!FB62</f>
        <v>98.533062514105168</v>
      </c>
      <c r="K58" s="15">
        <f>'Хаб.р-ны'!K62</f>
        <v>55</v>
      </c>
      <c r="L58" s="15">
        <f>'Хаб.р-ны'!L62</f>
        <v>55</v>
      </c>
      <c r="M58" s="15">
        <f>'Хаб.р-ны'!M62</f>
        <v>203</v>
      </c>
      <c r="N58" s="15">
        <f>'Хаб.р-ны'!N62</f>
        <v>369.09090909090907</v>
      </c>
      <c r="O58" s="15">
        <f>'Хаб.р-ны'!AA62</f>
        <v>87</v>
      </c>
      <c r="P58" s="15">
        <f>'Хаб.р-ны'!AB62</f>
        <v>87</v>
      </c>
      <c r="Q58" s="15">
        <f>'Хаб.р-ны'!AC62</f>
        <v>104</v>
      </c>
      <c r="R58" s="15">
        <f>'Хаб.р-ны'!AD62</f>
        <v>119.54022988505749</v>
      </c>
      <c r="S58" s="15">
        <f>'Хаб.р-ны'!AU62</f>
        <v>629</v>
      </c>
      <c r="T58" s="15">
        <f>'Хаб.р-ны'!AV62</f>
        <v>629</v>
      </c>
      <c r="U58" s="15">
        <f>'Хаб.р-ны'!AW62</f>
        <v>325</v>
      </c>
      <c r="V58" s="15">
        <f>'Хаб.р-ны'!AX62</f>
        <v>51.669316375198726</v>
      </c>
      <c r="W58" s="15">
        <f>'Хаб.р-ны'!AY62</f>
        <v>126</v>
      </c>
      <c r="X58" s="15">
        <f>'Хаб.р-ны'!AZ62</f>
        <v>126</v>
      </c>
      <c r="Y58" s="15">
        <f>'Хаб.р-ны'!BA62</f>
        <v>123</v>
      </c>
      <c r="Z58" s="15">
        <f>'Хаб.р-ны'!BB62</f>
        <v>97.61904761904762</v>
      </c>
      <c r="AA58" s="15">
        <f>'Хаб.р-ны'!BK62</f>
        <v>694</v>
      </c>
      <c r="AB58" s="15">
        <f>'Хаб.р-ны'!BL62</f>
        <v>694</v>
      </c>
      <c r="AC58" s="15">
        <f>'Хаб.р-ны'!BM62</f>
        <v>820</v>
      </c>
      <c r="AD58" s="15">
        <f>'Хаб.р-ны'!BN62</f>
        <v>118.1556195965418</v>
      </c>
      <c r="AE58" s="15">
        <f>Комсомольск!BO62</f>
        <v>1407</v>
      </c>
      <c r="AF58" s="15">
        <f>Комсомольск!BP62</f>
        <v>1407</v>
      </c>
      <c r="AG58" s="15">
        <f>Комсомольск!BQ62</f>
        <v>3933</v>
      </c>
      <c r="AH58" s="15">
        <f>Комсомольск!BR62</f>
        <v>279.53091684434969</v>
      </c>
      <c r="AI58" s="15">
        <f>'районы КП, СП'!K62</f>
        <v>687</v>
      </c>
      <c r="AJ58" s="15">
        <f>'районы КП, СП'!L62</f>
        <v>687</v>
      </c>
      <c r="AK58" s="15">
        <f>'районы КП, СП'!M62</f>
        <v>827</v>
      </c>
      <c r="AL58" s="15">
        <f>'районы КП, СП'!N62</f>
        <v>120.37845705967977</v>
      </c>
      <c r="AM58" s="15">
        <f>'районы КП, СП'!W62</f>
        <v>154</v>
      </c>
      <c r="AN58" s="15">
        <f>'районы КП, СП'!X62</f>
        <v>154</v>
      </c>
      <c r="AO58" s="15">
        <f>'районы КП, СП'!Y62</f>
        <v>411</v>
      </c>
      <c r="AP58" s="15">
        <f>'районы КП, СП'!Z62</f>
        <v>266.88311688311688</v>
      </c>
      <c r="AQ58" s="15">
        <f>'районы КП, СП'!AA62</f>
        <v>500</v>
      </c>
      <c r="AR58" s="15">
        <f>'районы КП, СП'!AB62</f>
        <v>500</v>
      </c>
      <c r="AS58" s="15">
        <f>'районы КП, СП'!AC62</f>
        <v>384</v>
      </c>
      <c r="AT58" s="15">
        <f>'районы КП, СП'!AD62</f>
        <v>76.8</v>
      </c>
      <c r="AU58" s="15">
        <f>'районы КП, СП'!AM62</f>
        <v>165</v>
      </c>
      <c r="AV58" s="15">
        <f>'районы КП, СП'!AN62</f>
        <v>165</v>
      </c>
      <c r="AW58" s="15">
        <f>'районы КП, СП'!AO62</f>
        <v>457</v>
      </c>
      <c r="AX58" s="15">
        <f>'районы КП, СП'!AP62</f>
        <v>276.96969696969694</v>
      </c>
      <c r="AY58" s="15">
        <f>'районы КП, СП'!BC62</f>
        <v>286</v>
      </c>
      <c r="AZ58" s="15">
        <f>'районы КП, СП'!BD62</f>
        <v>286</v>
      </c>
      <c r="BA58" s="15">
        <f>'районы КП, СП'!BE62</f>
        <v>363</v>
      </c>
      <c r="BB58" s="15">
        <f>'районы КП, СП'!BF62</f>
        <v>126.92307692307692</v>
      </c>
      <c r="BC58" s="15">
        <f>'районы КП, СП'!BG62</f>
        <v>16</v>
      </c>
      <c r="BD58" s="15">
        <f>'районы КП, СП'!BH62</f>
        <v>16</v>
      </c>
      <c r="BE58" s="15">
        <f>'районы КП, СП'!BI62</f>
        <v>65</v>
      </c>
      <c r="BF58" s="15">
        <f>'районы КП, СП'!BJ62</f>
        <v>406.25</v>
      </c>
      <c r="BG58" s="15">
        <f>'районы НП, ЧП'!K62</f>
        <v>124</v>
      </c>
      <c r="BH58" s="15">
        <f>'районы НП, ЧП'!L62</f>
        <v>124</v>
      </c>
      <c r="BI58" s="15">
        <f>'районы НП, ЧП'!M62</f>
        <v>467</v>
      </c>
      <c r="BJ58" s="15">
        <f>'районы НП, ЧП'!N62</f>
        <v>376.61290322580646</v>
      </c>
      <c r="BK58" s="15">
        <f>'районы НП, ЧП'!AA62</f>
        <v>270</v>
      </c>
      <c r="BL58" s="15">
        <f>'районы НП, ЧП'!AB62</f>
        <v>270</v>
      </c>
      <c r="BM58" s="15">
        <f>'районы НП, ЧП'!AC62</f>
        <v>279</v>
      </c>
      <c r="BN58" s="15">
        <f>'районы НП, ЧП'!AD62</f>
        <v>103.33333333333334</v>
      </c>
      <c r="BO58" s="15">
        <f>'районы НП, ЧП'!AE62</f>
        <v>34</v>
      </c>
      <c r="BP58" s="15">
        <f>'районы НП, ЧП'!AF62</f>
        <v>34</v>
      </c>
      <c r="BQ58" s="15">
        <f>'районы НП, ЧП'!AG62</f>
        <v>48</v>
      </c>
      <c r="BR58" s="15">
        <f>'районы НП, ЧП'!AH62</f>
        <v>141.1764705882353</v>
      </c>
      <c r="BS58" s="15">
        <f>'районы НП, ЧП'!AI62</f>
        <v>11</v>
      </c>
      <c r="BT58" s="15">
        <f>'районы НП, ЧП'!AJ62</f>
        <v>11</v>
      </c>
      <c r="BU58" s="15">
        <f>'районы НП, ЧП'!AK62</f>
        <v>16</v>
      </c>
      <c r="BV58" s="15">
        <f>'районы НП, ЧП'!AL62</f>
        <v>145.45454545454547</v>
      </c>
      <c r="BW58" s="15">
        <f>'районы НП, ЧП'!AM62</f>
        <v>68</v>
      </c>
      <c r="BX58" s="15">
        <f>'районы НП, ЧП'!AN62</f>
        <v>68</v>
      </c>
      <c r="BY58" s="15">
        <f>'районы НП, ЧП'!AO62</f>
        <v>4</v>
      </c>
      <c r="BZ58" s="15">
        <f>'районы НП, ЧП'!AP62</f>
        <v>5.8823529411764701</v>
      </c>
      <c r="CA58" s="15">
        <f>'районы НП, ЧП'!AU62</f>
        <v>35</v>
      </c>
      <c r="CB58" s="15">
        <f>'районы НП, ЧП'!AV62</f>
        <v>35</v>
      </c>
      <c r="CC58" s="15">
        <f>'районы НП, ЧП'!AW62</f>
        <v>2</v>
      </c>
      <c r="CD58" s="15">
        <f>'районы НП, ЧП'!AX62</f>
        <v>5.7142857142857144</v>
      </c>
      <c r="CE58" s="292">
        <f t="shared" si="1"/>
        <v>14210</v>
      </c>
      <c r="CF58" s="292">
        <f t="shared" si="2"/>
        <v>14210</v>
      </c>
      <c r="CG58" s="292">
        <f t="shared" si="2"/>
        <v>17563</v>
      </c>
      <c r="CH58" s="293">
        <f t="shared" si="3"/>
        <v>123.5960591133005</v>
      </c>
    </row>
    <row r="59" spans="1:87" ht="31.5" x14ac:dyDescent="0.2">
      <c r="A59" s="31" t="s">
        <v>163</v>
      </c>
      <c r="B59" s="60" t="s">
        <v>339</v>
      </c>
      <c r="C59" s="15">
        <f>КЛПУ!BS63</f>
        <v>0</v>
      </c>
      <c r="D59" s="15">
        <f>КЛПУ!BT63</f>
        <v>0</v>
      </c>
      <c r="E59" s="15">
        <f>КЛПУ!BU63</f>
        <v>0</v>
      </c>
      <c r="F59" s="15">
        <f>КЛПУ!BV63</f>
        <v>0</v>
      </c>
      <c r="G59" s="15">
        <f>Хабаровск!EY63</f>
        <v>4384</v>
      </c>
      <c r="H59" s="15">
        <f>Хабаровск!EZ63</f>
        <v>4384</v>
      </c>
      <c r="I59" s="15">
        <f>Хабаровск!FA63</f>
        <v>4022</v>
      </c>
      <c r="J59" s="15">
        <f>Хабаровск!FB63</f>
        <v>91.742700729927009</v>
      </c>
      <c r="K59" s="15">
        <f>'Хаб.р-ны'!K63</f>
        <v>77</v>
      </c>
      <c r="L59" s="15">
        <f>'Хаб.р-ны'!L63</f>
        <v>77</v>
      </c>
      <c r="M59" s="15">
        <f>'Хаб.р-ны'!M63</f>
        <v>102</v>
      </c>
      <c r="N59" s="15">
        <f>'Хаб.р-ны'!N63</f>
        <v>132.46753246753246</v>
      </c>
      <c r="O59" s="15">
        <f>'Хаб.р-ны'!AA63</f>
        <v>55</v>
      </c>
      <c r="P59" s="15">
        <f>'Хаб.р-ны'!AB63</f>
        <v>55</v>
      </c>
      <c r="Q59" s="15">
        <f>'Хаб.р-ны'!AC63</f>
        <v>24</v>
      </c>
      <c r="R59" s="15">
        <f>'Хаб.р-ны'!AD63</f>
        <v>43.636363636363633</v>
      </c>
      <c r="S59" s="15">
        <f>'Хаб.р-ны'!AU63</f>
        <v>359</v>
      </c>
      <c r="T59" s="15">
        <f>'Хаб.р-ны'!AV63</f>
        <v>359</v>
      </c>
      <c r="U59" s="15">
        <f>'Хаб.р-ны'!AW63</f>
        <v>172</v>
      </c>
      <c r="V59" s="15">
        <f>'Хаб.р-ны'!AX63</f>
        <v>47.910863509749305</v>
      </c>
      <c r="W59" s="15">
        <f>'Хаб.р-ны'!AY63</f>
        <v>121</v>
      </c>
      <c r="X59" s="15">
        <f>'Хаб.р-ны'!AZ63</f>
        <v>121</v>
      </c>
      <c r="Y59" s="15">
        <f>'Хаб.р-ны'!BA63</f>
        <v>56</v>
      </c>
      <c r="Z59" s="15">
        <f>'Хаб.р-ны'!BB63</f>
        <v>46.280991735537192</v>
      </c>
      <c r="AA59" s="15">
        <f>'Хаб.р-ны'!BK63</f>
        <v>329</v>
      </c>
      <c r="AB59" s="15">
        <f>'Хаб.р-ны'!BL63</f>
        <v>329</v>
      </c>
      <c r="AC59" s="15">
        <f>'Хаб.р-ны'!BM63</f>
        <v>280</v>
      </c>
      <c r="AD59" s="15">
        <f>'Хаб.р-ны'!BN63</f>
        <v>85.106382978723403</v>
      </c>
      <c r="AE59" s="15">
        <f>Комсомольск!BO63</f>
        <v>917</v>
      </c>
      <c r="AF59" s="15">
        <f>Комсомольск!BP63</f>
        <v>917</v>
      </c>
      <c r="AG59" s="15">
        <f>Комсомольск!BQ63</f>
        <v>1627</v>
      </c>
      <c r="AH59" s="15">
        <f>Комсомольск!BR63</f>
        <v>177.42639040348965</v>
      </c>
      <c r="AI59" s="15">
        <f>'районы КП, СП'!K63</f>
        <v>340</v>
      </c>
      <c r="AJ59" s="15">
        <f>'районы КП, СП'!L63</f>
        <v>340</v>
      </c>
      <c r="AK59" s="15">
        <f>'районы КП, СП'!M63</f>
        <v>378</v>
      </c>
      <c r="AL59" s="15">
        <f>'районы КП, СП'!N63</f>
        <v>111.1764705882353</v>
      </c>
      <c r="AM59" s="15">
        <f>'районы КП, СП'!W63</f>
        <v>121</v>
      </c>
      <c r="AN59" s="15">
        <f>'районы КП, СП'!X63</f>
        <v>121</v>
      </c>
      <c r="AO59" s="15">
        <f>'районы КП, СП'!Y63</f>
        <v>229</v>
      </c>
      <c r="AP59" s="15">
        <f>'районы КП, СП'!Z63</f>
        <v>189.25619834710744</v>
      </c>
      <c r="AQ59" s="15">
        <f>'районы КП, СП'!AA63</f>
        <v>200</v>
      </c>
      <c r="AR59" s="15">
        <f>'районы КП, СП'!AB63</f>
        <v>200</v>
      </c>
      <c r="AS59" s="15">
        <f>'районы КП, СП'!AC63</f>
        <v>210</v>
      </c>
      <c r="AT59" s="15">
        <f>'районы КП, СП'!AD63</f>
        <v>105</v>
      </c>
      <c r="AU59" s="15">
        <f>'районы КП, СП'!AM63</f>
        <v>0</v>
      </c>
      <c r="AV59" s="15">
        <f>'районы КП, СП'!AN63</f>
        <v>0</v>
      </c>
      <c r="AW59" s="15">
        <f>'районы КП, СП'!AO63</f>
        <v>254</v>
      </c>
      <c r="AX59" s="15">
        <f>'районы КП, СП'!AP63</f>
        <v>0</v>
      </c>
      <c r="AY59" s="15">
        <f>'районы КП, СП'!BC63</f>
        <v>106</v>
      </c>
      <c r="AZ59" s="15">
        <f>'районы КП, СП'!BD63</f>
        <v>106</v>
      </c>
      <c r="BA59" s="15">
        <f>'районы КП, СП'!BE63</f>
        <v>168</v>
      </c>
      <c r="BB59" s="15">
        <f>'районы КП, СП'!BF63</f>
        <v>158.49056603773585</v>
      </c>
      <c r="BC59" s="15">
        <f>'районы КП, СП'!BG63</f>
        <v>33</v>
      </c>
      <c r="BD59" s="15">
        <f>'районы КП, СП'!BH63</f>
        <v>33</v>
      </c>
      <c r="BE59" s="15">
        <f>'районы КП, СП'!BI63</f>
        <v>44</v>
      </c>
      <c r="BF59" s="15">
        <f>'районы КП, СП'!BJ63</f>
        <v>133.33333333333331</v>
      </c>
      <c r="BG59" s="15">
        <f>'районы НП, ЧП'!K63</f>
        <v>154</v>
      </c>
      <c r="BH59" s="15">
        <f>'районы НП, ЧП'!L63</f>
        <v>154</v>
      </c>
      <c r="BI59" s="15">
        <f>'районы НП, ЧП'!M63</f>
        <v>248</v>
      </c>
      <c r="BJ59" s="15">
        <f>'районы НП, ЧП'!N63</f>
        <v>161.03896103896105</v>
      </c>
      <c r="BK59" s="15">
        <f>'районы НП, ЧП'!AA63</f>
        <v>114</v>
      </c>
      <c r="BL59" s="15">
        <f>'районы НП, ЧП'!AB63</f>
        <v>114</v>
      </c>
      <c r="BM59" s="15">
        <f>'районы НП, ЧП'!AC63</f>
        <v>135</v>
      </c>
      <c r="BN59" s="15">
        <f>'районы НП, ЧП'!AD63</f>
        <v>118.42105263157893</v>
      </c>
      <c r="BO59" s="15">
        <f>'районы НП, ЧП'!AE63</f>
        <v>21</v>
      </c>
      <c r="BP59" s="15">
        <f>'районы НП, ЧП'!AF63</f>
        <v>21</v>
      </c>
      <c r="BQ59" s="15">
        <f>'районы НП, ЧП'!AG63</f>
        <v>20</v>
      </c>
      <c r="BR59" s="15">
        <f>'районы НП, ЧП'!AH63</f>
        <v>95.238095238095227</v>
      </c>
      <c r="BS59" s="15">
        <f>'районы НП, ЧП'!AI63</f>
        <v>5</v>
      </c>
      <c r="BT59" s="15">
        <f>'районы НП, ЧП'!AJ63</f>
        <v>5</v>
      </c>
      <c r="BU59" s="15">
        <f>'районы НП, ЧП'!AK63</f>
        <v>7</v>
      </c>
      <c r="BV59" s="15">
        <f>'районы НП, ЧП'!AL63</f>
        <v>140</v>
      </c>
      <c r="BW59" s="15">
        <f>'районы НП, ЧП'!AM63</f>
        <v>58</v>
      </c>
      <c r="BX59" s="15">
        <f>'районы НП, ЧП'!AN63</f>
        <v>58</v>
      </c>
      <c r="BY59" s="15">
        <f>'районы НП, ЧП'!AO63</f>
        <v>0</v>
      </c>
      <c r="BZ59" s="15">
        <f>'районы НП, ЧП'!AP63</f>
        <v>0</v>
      </c>
      <c r="CA59" s="15">
        <f>'районы НП, ЧП'!AU63</f>
        <v>43</v>
      </c>
      <c r="CB59" s="15">
        <f>'районы НП, ЧП'!AV63</f>
        <v>43</v>
      </c>
      <c r="CC59" s="15">
        <f>'районы НП, ЧП'!AW63</f>
        <v>0</v>
      </c>
      <c r="CD59" s="15">
        <f>'районы НП, ЧП'!AX63</f>
        <v>0</v>
      </c>
      <c r="CE59" s="292">
        <f t="shared" si="1"/>
        <v>7437</v>
      </c>
      <c r="CF59" s="292">
        <f t="shared" si="2"/>
        <v>7437</v>
      </c>
      <c r="CG59" s="292">
        <f t="shared" si="2"/>
        <v>7976</v>
      </c>
      <c r="CH59" s="293">
        <f t="shared" si="3"/>
        <v>107.2475460535162</v>
      </c>
    </row>
    <row r="60" spans="1:87" ht="31.5" x14ac:dyDescent="0.2">
      <c r="A60" s="31" t="s">
        <v>164</v>
      </c>
      <c r="B60" s="60" t="s">
        <v>339</v>
      </c>
      <c r="C60" s="15">
        <f>КЛПУ!BS64</f>
        <v>0</v>
      </c>
      <c r="D60" s="15">
        <f>КЛПУ!BT64</f>
        <v>0</v>
      </c>
      <c r="E60" s="15">
        <f>КЛПУ!BU64</f>
        <v>0</v>
      </c>
      <c r="F60" s="15">
        <f>КЛПУ!BV64</f>
        <v>0</v>
      </c>
      <c r="G60" s="15">
        <f>Хабаровск!EY64</f>
        <v>3497.5</v>
      </c>
      <c r="H60" s="15">
        <f>Хабаровск!EZ64</f>
        <v>3497.5</v>
      </c>
      <c r="I60" s="15">
        <f>Хабаровск!FA64</f>
        <v>3461</v>
      </c>
      <c r="J60" s="15">
        <f>Хабаровск!FB64</f>
        <v>98.956397426733375</v>
      </c>
      <c r="K60" s="15">
        <f>'Хаб.р-ны'!K64</f>
        <v>55</v>
      </c>
      <c r="L60" s="15">
        <f>'Хаб.р-ны'!L64</f>
        <v>55</v>
      </c>
      <c r="M60" s="15">
        <f>'Хаб.р-ны'!M64</f>
        <v>31</v>
      </c>
      <c r="N60" s="15">
        <f>'Хаб.р-ны'!N64</f>
        <v>56.36363636363636</v>
      </c>
      <c r="O60" s="15">
        <f>'Хаб.р-ны'!AA64</f>
        <v>82</v>
      </c>
      <c r="P60" s="15">
        <f>'Хаб.р-ны'!AB64</f>
        <v>82</v>
      </c>
      <c r="Q60" s="15">
        <f>'Хаб.р-ны'!AC64</f>
        <v>1</v>
      </c>
      <c r="R60" s="15">
        <f>'Хаб.р-ны'!AD64</f>
        <v>1.2195121951219512</v>
      </c>
      <c r="S60" s="15">
        <f>'Хаб.р-ны'!AU64</f>
        <v>328</v>
      </c>
      <c r="T60" s="15">
        <f>'Хаб.р-ны'!AV64</f>
        <v>328</v>
      </c>
      <c r="U60" s="15">
        <f>'Хаб.р-ны'!AW64</f>
        <v>151</v>
      </c>
      <c r="V60" s="15">
        <f>'Хаб.р-ны'!AX64</f>
        <v>46.036585365853661</v>
      </c>
      <c r="W60" s="15">
        <f>'Хаб.р-ны'!AY64</f>
        <v>132</v>
      </c>
      <c r="X60" s="15">
        <f>'Хаб.р-ны'!AZ64</f>
        <v>132</v>
      </c>
      <c r="Y60" s="15">
        <f>'Хаб.р-ны'!BA64</f>
        <v>40</v>
      </c>
      <c r="Z60" s="15">
        <f>'Хаб.р-ны'!BB64</f>
        <v>30.303030303030305</v>
      </c>
      <c r="AA60" s="15">
        <f>'Хаб.р-ны'!BK64</f>
        <v>0</v>
      </c>
      <c r="AB60" s="15">
        <f>'Хаб.р-ны'!BL64</f>
        <v>0</v>
      </c>
      <c r="AC60" s="15">
        <f>'Хаб.р-ны'!BM64</f>
        <v>220</v>
      </c>
      <c r="AD60" s="15">
        <f>'Хаб.р-ны'!BN64</f>
        <v>0</v>
      </c>
      <c r="AE60" s="15">
        <f>Комсомольск!BO64</f>
        <v>1320</v>
      </c>
      <c r="AF60" s="15">
        <f>Комсомольск!BP64</f>
        <v>1320</v>
      </c>
      <c r="AG60" s="15">
        <f>Комсомольск!BQ64</f>
        <v>1140</v>
      </c>
      <c r="AH60" s="15">
        <f>Комсомольск!BR64</f>
        <v>86.36363636363636</v>
      </c>
      <c r="AI60" s="15">
        <f>'районы КП, СП'!K64</f>
        <v>101</v>
      </c>
      <c r="AJ60" s="15">
        <f>'районы КП, СП'!L64</f>
        <v>101</v>
      </c>
      <c r="AK60" s="15">
        <f>'районы КП, СП'!M64</f>
        <v>7</v>
      </c>
      <c r="AL60" s="15">
        <f>'районы КП, СП'!N64</f>
        <v>6.9306930693069315</v>
      </c>
      <c r="AM60" s="15">
        <f>'районы КП, СП'!W64</f>
        <v>123</v>
      </c>
      <c r="AN60" s="15">
        <f>'районы КП, СП'!X64</f>
        <v>123</v>
      </c>
      <c r="AO60" s="15">
        <f>'районы КП, СП'!Y64</f>
        <v>36</v>
      </c>
      <c r="AP60" s="15">
        <f>'районы КП, СП'!Z64</f>
        <v>29.268292682926827</v>
      </c>
      <c r="AQ60" s="15">
        <f>'районы КП, СП'!AA64</f>
        <v>200</v>
      </c>
      <c r="AR60" s="15">
        <f>'районы КП, СП'!AB64</f>
        <v>200</v>
      </c>
      <c r="AS60" s="15">
        <f>'районы КП, СП'!AC64</f>
        <v>170</v>
      </c>
      <c r="AT60" s="15">
        <f>'районы КП, СП'!AD64</f>
        <v>85</v>
      </c>
      <c r="AU60" s="15">
        <f>'районы КП, СП'!AM64</f>
        <v>55</v>
      </c>
      <c r="AV60" s="15">
        <f>'районы КП, СП'!AN64</f>
        <v>55</v>
      </c>
      <c r="AW60" s="15">
        <f>'районы КП, СП'!AO64</f>
        <v>7</v>
      </c>
      <c r="AX60" s="15">
        <f>'районы КП, СП'!AP64</f>
        <v>12.727272727272727</v>
      </c>
      <c r="AY60" s="15">
        <f>'районы КП, СП'!BC64</f>
        <v>64</v>
      </c>
      <c r="AZ60" s="15">
        <f>'районы КП, СП'!BD64</f>
        <v>64</v>
      </c>
      <c r="BA60" s="15">
        <f>'районы КП, СП'!BE64</f>
        <v>247</v>
      </c>
      <c r="BB60" s="15">
        <f>'районы КП, СП'!BF64</f>
        <v>385.9375</v>
      </c>
      <c r="BC60" s="15">
        <f>'районы КП, СП'!BG64</f>
        <v>34</v>
      </c>
      <c r="BD60" s="15">
        <f>'районы КП, СП'!BH64</f>
        <v>34</v>
      </c>
      <c r="BE60" s="15">
        <f>'районы КП, СП'!BI64</f>
        <v>22</v>
      </c>
      <c r="BF60" s="15">
        <f>'районы КП, СП'!BJ64</f>
        <v>64.705882352941174</v>
      </c>
      <c r="BG60" s="15">
        <f>'районы НП, ЧП'!K64</f>
        <v>126</v>
      </c>
      <c r="BH60" s="15">
        <f>'районы НП, ЧП'!L64</f>
        <v>126</v>
      </c>
      <c r="BI60" s="15">
        <f>'районы НП, ЧП'!M64</f>
        <v>8</v>
      </c>
      <c r="BJ60" s="15">
        <f>'районы НП, ЧП'!N64</f>
        <v>6.3492063492063489</v>
      </c>
      <c r="BK60" s="15">
        <f>'районы НП, ЧП'!AA64</f>
        <v>94</v>
      </c>
      <c r="BL60" s="15">
        <f>'районы НП, ЧП'!AB64</f>
        <v>94</v>
      </c>
      <c r="BM60" s="15">
        <f>'районы НП, ЧП'!AC64</f>
        <v>67</v>
      </c>
      <c r="BN60" s="15">
        <f>'районы НП, ЧП'!AD64</f>
        <v>71.276595744680847</v>
      </c>
      <c r="BO60" s="15">
        <f>'районы НП, ЧП'!AE64</f>
        <v>16</v>
      </c>
      <c r="BP60" s="15">
        <f>'районы НП, ЧП'!AF64</f>
        <v>16</v>
      </c>
      <c r="BQ60" s="15">
        <f>'районы НП, ЧП'!AG64</f>
        <v>28</v>
      </c>
      <c r="BR60" s="15">
        <f>'районы НП, ЧП'!AH64</f>
        <v>175</v>
      </c>
      <c r="BS60" s="15">
        <f>'районы НП, ЧП'!AI64</f>
        <v>2</v>
      </c>
      <c r="BT60" s="15">
        <f>'районы НП, ЧП'!AJ64</f>
        <v>2</v>
      </c>
      <c r="BU60" s="15">
        <f>'районы НП, ЧП'!AK64</f>
        <v>8</v>
      </c>
      <c r="BV60" s="15">
        <f>'районы НП, ЧП'!AL64</f>
        <v>400</v>
      </c>
      <c r="BW60" s="15">
        <f>'районы НП, ЧП'!AM64</f>
        <v>56</v>
      </c>
      <c r="BX60" s="15">
        <f>'районы НП, ЧП'!AN64</f>
        <v>56</v>
      </c>
      <c r="BY60" s="15">
        <f>'районы НП, ЧП'!AO64</f>
        <v>20</v>
      </c>
      <c r="BZ60" s="15">
        <f>'районы НП, ЧП'!AP64</f>
        <v>35.714285714285715</v>
      </c>
      <c r="CA60" s="15">
        <f>'районы НП, ЧП'!AU64</f>
        <v>28</v>
      </c>
      <c r="CB60" s="15">
        <f>'районы НП, ЧП'!AV64</f>
        <v>28</v>
      </c>
      <c r="CC60" s="15">
        <f>'районы НП, ЧП'!AW64</f>
        <v>0</v>
      </c>
      <c r="CD60" s="15">
        <f>'районы НП, ЧП'!AX64</f>
        <v>0</v>
      </c>
      <c r="CE60" s="292">
        <f t="shared" si="1"/>
        <v>6313.5</v>
      </c>
      <c r="CF60" s="292">
        <f t="shared" si="2"/>
        <v>6313.5</v>
      </c>
      <c r="CG60" s="292">
        <f t="shared" si="2"/>
        <v>5664</v>
      </c>
      <c r="CH60" s="293">
        <f t="shared" si="3"/>
        <v>89.712520788785937</v>
      </c>
    </row>
    <row r="61" spans="1:87" ht="31.5" x14ac:dyDescent="0.2">
      <c r="A61" s="31" t="s">
        <v>165</v>
      </c>
      <c r="B61" s="60" t="s">
        <v>339</v>
      </c>
      <c r="C61" s="15">
        <f>КЛПУ!BS65</f>
        <v>0</v>
      </c>
      <c r="D61" s="15">
        <f>КЛПУ!BT65</f>
        <v>0</v>
      </c>
      <c r="E61" s="15">
        <f>КЛПУ!BU65</f>
        <v>0</v>
      </c>
      <c r="F61" s="15">
        <f>КЛПУ!BV65</f>
        <v>0</v>
      </c>
      <c r="G61" s="15">
        <f>Хабаровск!EY65</f>
        <v>1735.5</v>
      </c>
      <c r="H61" s="15">
        <f>Хабаровск!EZ65</f>
        <v>1735.5</v>
      </c>
      <c r="I61" s="15">
        <f>Хабаровск!FA65</f>
        <v>4727</v>
      </c>
      <c r="J61" s="15">
        <f>Хабаровск!FB65</f>
        <v>272.3710746182656</v>
      </c>
      <c r="K61" s="15">
        <f>'Хаб.р-ны'!K65</f>
        <v>60</v>
      </c>
      <c r="L61" s="15">
        <f>'Хаб.р-ны'!L65</f>
        <v>60</v>
      </c>
      <c r="M61" s="15">
        <f>'Хаб.р-ны'!M65</f>
        <v>19</v>
      </c>
      <c r="N61" s="15">
        <f>'Хаб.р-ны'!N65</f>
        <v>31.666666666666664</v>
      </c>
      <c r="O61" s="15">
        <f>'Хаб.р-ны'!AA65</f>
        <v>76</v>
      </c>
      <c r="P61" s="15">
        <f>'Хаб.р-ны'!AB65</f>
        <v>76</v>
      </c>
      <c r="Q61" s="15">
        <f>'Хаб.р-ны'!AC65</f>
        <v>3</v>
      </c>
      <c r="R61" s="15">
        <f>'Хаб.р-ны'!AD65</f>
        <v>3.9473684210526314</v>
      </c>
      <c r="S61" s="15">
        <f>'Хаб.р-ны'!AU65</f>
        <v>319</v>
      </c>
      <c r="T61" s="15">
        <f>'Хаб.р-ны'!AV65</f>
        <v>319</v>
      </c>
      <c r="U61" s="15">
        <f>'Хаб.р-ны'!AW65</f>
        <v>165</v>
      </c>
      <c r="V61" s="15">
        <f>'Хаб.р-ны'!AX65</f>
        <v>51.724137931034484</v>
      </c>
      <c r="W61" s="15">
        <f>'Хаб.р-ны'!AY65</f>
        <v>104</v>
      </c>
      <c r="X61" s="15">
        <f>'Хаб.р-ны'!AZ65</f>
        <v>104</v>
      </c>
      <c r="Y61" s="15">
        <f>'Хаб.р-ны'!BA65</f>
        <v>113</v>
      </c>
      <c r="Z61" s="15">
        <f>'Хаб.р-ны'!BB65</f>
        <v>108.65384615384615</v>
      </c>
      <c r="AA61" s="15">
        <f>'Хаб.р-ны'!BK65</f>
        <v>230</v>
      </c>
      <c r="AB61" s="15">
        <f>'Хаб.р-ны'!BL65</f>
        <v>230</v>
      </c>
      <c r="AC61" s="15">
        <f>'Хаб.р-ны'!BM65</f>
        <v>301</v>
      </c>
      <c r="AD61" s="15">
        <f>'Хаб.р-ны'!BN65</f>
        <v>130.86956521739131</v>
      </c>
      <c r="AE61" s="15">
        <f>Комсомольск!BO65</f>
        <v>552</v>
      </c>
      <c r="AF61" s="15">
        <f>Комсомольск!BP65</f>
        <v>552</v>
      </c>
      <c r="AG61" s="15">
        <f>Комсомольск!BQ65</f>
        <v>747</v>
      </c>
      <c r="AH61" s="15">
        <f>Комсомольск!BR65</f>
        <v>135.32608695652172</v>
      </c>
      <c r="AI61" s="15">
        <f>'районы КП, СП'!K65</f>
        <v>299</v>
      </c>
      <c r="AJ61" s="15">
        <f>'районы КП, СП'!L65</f>
        <v>299</v>
      </c>
      <c r="AK61" s="15">
        <f>'районы КП, СП'!M65</f>
        <v>418</v>
      </c>
      <c r="AL61" s="15">
        <f>'районы КП, СП'!N65</f>
        <v>139.79933110367892</v>
      </c>
      <c r="AM61" s="15">
        <f>'районы КП, СП'!W65</f>
        <v>99</v>
      </c>
      <c r="AN61" s="15">
        <f>'районы КП, СП'!X65</f>
        <v>99</v>
      </c>
      <c r="AO61" s="15">
        <f>'районы КП, СП'!Y65</f>
        <v>206</v>
      </c>
      <c r="AP61" s="15">
        <f>'районы КП, СП'!Z65</f>
        <v>208.08080808080808</v>
      </c>
      <c r="AQ61" s="15">
        <f>'районы КП, СП'!AA65</f>
        <v>200</v>
      </c>
      <c r="AR61" s="15">
        <f>'районы КП, СП'!AB65</f>
        <v>200</v>
      </c>
      <c r="AS61" s="15">
        <f>'районы КП, СП'!AC65</f>
        <v>225</v>
      </c>
      <c r="AT61" s="15">
        <f>'районы КП, СП'!AD65</f>
        <v>112.5</v>
      </c>
      <c r="AU61" s="15">
        <f>'районы КП, СП'!AM65</f>
        <v>0</v>
      </c>
      <c r="AV61" s="15">
        <f>'районы КП, СП'!AN65</f>
        <v>0</v>
      </c>
      <c r="AW61" s="15">
        <f>'районы КП, СП'!AO65</f>
        <v>1</v>
      </c>
      <c r="AX61" s="15">
        <f>'районы КП, СП'!AP65</f>
        <v>0</v>
      </c>
      <c r="AY61" s="15">
        <f>'районы КП, СП'!BC65</f>
        <v>151</v>
      </c>
      <c r="AZ61" s="15">
        <f>'районы КП, СП'!BD65</f>
        <v>151</v>
      </c>
      <c r="BA61" s="15">
        <f>'районы КП, СП'!BE65</f>
        <v>305</v>
      </c>
      <c r="BB61" s="15">
        <f>'районы КП, СП'!BF65</f>
        <v>201.98675496688742</v>
      </c>
      <c r="BC61" s="15">
        <f>'районы КП, СП'!BG65</f>
        <v>26</v>
      </c>
      <c r="BD61" s="15">
        <f>'районы КП, СП'!BH65</f>
        <v>26</v>
      </c>
      <c r="BE61" s="15">
        <f>'районы КП, СП'!BI65</f>
        <v>25</v>
      </c>
      <c r="BF61" s="15">
        <f>'районы КП, СП'!BJ65</f>
        <v>96.15384615384616</v>
      </c>
      <c r="BG61" s="15">
        <f>'районы НП, ЧП'!K65</f>
        <v>140</v>
      </c>
      <c r="BH61" s="15">
        <f>'районы НП, ЧП'!L65</f>
        <v>140</v>
      </c>
      <c r="BI61" s="15">
        <f>'районы НП, ЧП'!M65</f>
        <v>214</v>
      </c>
      <c r="BJ61" s="15">
        <f>'районы НП, ЧП'!N65</f>
        <v>152.85714285714283</v>
      </c>
      <c r="BK61" s="15">
        <f>'районы НП, ЧП'!AA65</f>
        <v>99</v>
      </c>
      <c r="BL61" s="15">
        <f>'районы НП, ЧП'!AB65</f>
        <v>99</v>
      </c>
      <c r="BM61" s="15">
        <f>'районы НП, ЧП'!AC65</f>
        <v>86</v>
      </c>
      <c r="BN61" s="15">
        <f>'районы НП, ЧП'!AD65</f>
        <v>86.868686868686879</v>
      </c>
      <c r="BO61" s="15">
        <f>'районы НП, ЧП'!AE65</f>
        <v>25</v>
      </c>
      <c r="BP61" s="15">
        <f>'районы НП, ЧП'!AF65</f>
        <v>25</v>
      </c>
      <c r="BQ61" s="15">
        <f>'районы НП, ЧП'!AG65</f>
        <v>23</v>
      </c>
      <c r="BR61" s="15">
        <f>'районы НП, ЧП'!AH65</f>
        <v>92</v>
      </c>
      <c r="BS61" s="15">
        <f>'районы НП, ЧП'!AI65</f>
        <v>2</v>
      </c>
      <c r="BT61" s="15">
        <f>'районы НП, ЧП'!AJ65</f>
        <v>2</v>
      </c>
      <c r="BU61" s="15">
        <f>'районы НП, ЧП'!AK65</f>
        <v>8</v>
      </c>
      <c r="BV61" s="15">
        <f>'районы НП, ЧП'!AL65</f>
        <v>400</v>
      </c>
      <c r="BW61" s="15">
        <f>'районы НП, ЧП'!AM65</f>
        <v>50</v>
      </c>
      <c r="BX61" s="15">
        <f>'районы НП, ЧП'!AN65</f>
        <v>50</v>
      </c>
      <c r="BY61" s="15">
        <f>'районы НП, ЧП'!AO65</f>
        <v>37</v>
      </c>
      <c r="BZ61" s="15">
        <f>'районы НП, ЧП'!AP65</f>
        <v>74</v>
      </c>
      <c r="CA61" s="15">
        <f>'районы НП, ЧП'!AU65</f>
        <v>29</v>
      </c>
      <c r="CB61" s="15">
        <f>'районы НП, ЧП'!AV65</f>
        <v>29</v>
      </c>
      <c r="CC61" s="15">
        <f>'районы НП, ЧП'!AW65</f>
        <v>0</v>
      </c>
      <c r="CD61" s="15">
        <f>'районы НП, ЧП'!AX65</f>
        <v>0</v>
      </c>
      <c r="CE61" s="292">
        <f t="shared" si="1"/>
        <v>4196.5</v>
      </c>
      <c r="CF61" s="292">
        <f t="shared" si="2"/>
        <v>4196.5</v>
      </c>
      <c r="CG61" s="292">
        <f t="shared" si="2"/>
        <v>7623</v>
      </c>
      <c r="CH61" s="293">
        <f t="shared" si="3"/>
        <v>181.65137614678898</v>
      </c>
    </row>
    <row r="62" spans="1:87" ht="31.5" x14ac:dyDescent="0.2">
      <c r="A62" s="31" t="s">
        <v>166</v>
      </c>
      <c r="B62" s="60" t="s">
        <v>339</v>
      </c>
      <c r="C62" s="15">
        <f>КЛПУ!BS66</f>
        <v>0</v>
      </c>
      <c r="D62" s="15">
        <f>КЛПУ!BT66</f>
        <v>0</v>
      </c>
      <c r="E62" s="15">
        <f>КЛПУ!BU66</f>
        <v>0</v>
      </c>
      <c r="F62" s="15">
        <f>КЛПУ!BV66</f>
        <v>0</v>
      </c>
      <c r="G62" s="15">
        <f>Хабаровск!EY66</f>
        <v>2269</v>
      </c>
      <c r="H62" s="15">
        <f>Хабаровск!EZ66</f>
        <v>2269</v>
      </c>
      <c r="I62" s="15">
        <f>Хабаровск!FA66</f>
        <v>4310</v>
      </c>
      <c r="J62" s="15">
        <f>Хабаровск!FB66</f>
        <v>189.95152049360954</v>
      </c>
      <c r="K62" s="15">
        <f>'Хаб.р-ны'!K66</f>
        <v>60</v>
      </c>
      <c r="L62" s="15">
        <f>'Хаб.р-ны'!L66</f>
        <v>60</v>
      </c>
      <c r="M62" s="15">
        <f>'Хаб.р-ны'!M66</f>
        <v>65</v>
      </c>
      <c r="N62" s="15">
        <f>'Хаб.р-ны'!N66</f>
        <v>108.33333333333333</v>
      </c>
      <c r="O62" s="15">
        <f>'Хаб.р-ны'!AA66</f>
        <v>38</v>
      </c>
      <c r="P62" s="15">
        <f>'Хаб.р-ны'!AB66</f>
        <v>38</v>
      </c>
      <c r="Q62" s="15">
        <f>'Хаб.р-ны'!AC66</f>
        <v>143</v>
      </c>
      <c r="R62" s="15">
        <f>'Хаб.р-ны'!AD66</f>
        <v>376.31578947368422</v>
      </c>
      <c r="S62" s="15">
        <f>'Хаб.р-ны'!AU66</f>
        <v>288</v>
      </c>
      <c r="T62" s="15">
        <f>'Хаб.р-ны'!AV66</f>
        <v>288</v>
      </c>
      <c r="U62" s="15">
        <f>'Хаб.р-ны'!AW66</f>
        <v>144</v>
      </c>
      <c r="V62" s="15">
        <f>'Хаб.р-ны'!AX66</f>
        <v>50</v>
      </c>
      <c r="W62" s="15">
        <f>'Хаб.р-ны'!AY66</f>
        <v>121</v>
      </c>
      <c r="X62" s="15">
        <f>'Хаб.р-ны'!AZ66</f>
        <v>121</v>
      </c>
      <c r="Y62" s="15">
        <f>'Хаб.р-ны'!BA66</f>
        <v>110</v>
      </c>
      <c r="Z62" s="15">
        <f>'Хаб.р-ны'!BB66</f>
        <v>90.909090909090907</v>
      </c>
      <c r="AA62" s="15">
        <f>'Хаб.р-ны'!BK66</f>
        <v>351</v>
      </c>
      <c r="AB62" s="15">
        <f>'Хаб.р-ны'!BL66</f>
        <v>351</v>
      </c>
      <c r="AC62" s="15">
        <f>'Хаб.р-ны'!BM66</f>
        <v>385</v>
      </c>
      <c r="AD62" s="15">
        <f>'Хаб.р-ны'!BN66</f>
        <v>109.68660968660969</v>
      </c>
      <c r="AE62" s="15">
        <f>Комсомольск!BO66</f>
        <v>1186</v>
      </c>
      <c r="AF62" s="15">
        <f>Комсомольск!BP66</f>
        <v>1186</v>
      </c>
      <c r="AG62" s="15">
        <f>Комсомольск!BQ66</f>
        <v>2405</v>
      </c>
      <c r="AH62" s="15">
        <f>Комсомольск!BR66</f>
        <v>202.78246205733558</v>
      </c>
      <c r="AI62" s="15">
        <f>'районы КП, СП'!K66</f>
        <v>324</v>
      </c>
      <c r="AJ62" s="15">
        <f>'районы КП, СП'!L66</f>
        <v>324</v>
      </c>
      <c r="AK62" s="15">
        <f>'районы КП, СП'!M66</f>
        <v>517</v>
      </c>
      <c r="AL62" s="15">
        <f>'районы КП, СП'!N66</f>
        <v>159.5679012345679</v>
      </c>
      <c r="AM62" s="15">
        <f>'районы КП, СП'!W66</f>
        <v>93</v>
      </c>
      <c r="AN62" s="15">
        <f>'районы КП, СП'!X66</f>
        <v>93</v>
      </c>
      <c r="AO62" s="15">
        <f>'районы КП, СП'!Y66</f>
        <v>107</v>
      </c>
      <c r="AP62" s="15">
        <f>'районы КП, СП'!Z66</f>
        <v>115.05376344086022</v>
      </c>
      <c r="AQ62" s="15">
        <f>'районы КП, СП'!AA66</f>
        <v>200</v>
      </c>
      <c r="AR62" s="15">
        <f>'районы КП, СП'!AB66</f>
        <v>200</v>
      </c>
      <c r="AS62" s="15">
        <f>'районы КП, СП'!AC66</f>
        <v>239</v>
      </c>
      <c r="AT62" s="15">
        <f>'районы КП, СП'!AD66</f>
        <v>119.5</v>
      </c>
      <c r="AU62" s="15">
        <f>'районы КП, СП'!AM66</f>
        <v>110</v>
      </c>
      <c r="AV62" s="15">
        <f>'районы КП, СП'!AN66</f>
        <v>110</v>
      </c>
      <c r="AW62" s="15">
        <f>'районы КП, СП'!AO66</f>
        <v>292</v>
      </c>
      <c r="AX62" s="15">
        <f>'районы КП, СП'!AP66</f>
        <v>265.4545454545455</v>
      </c>
      <c r="AY62" s="15">
        <f>'районы КП, СП'!BC66</f>
        <v>161</v>
      </c>
      <c r="AZ62" s="15">
        <f>'районы КП, СП'!BD66</f>
        <v>161</v>
      </c>
      <c r="BA62" s="15">
        <f>'районы КП, СП'!BE66</f>
        <v>107</v>
      </c>
      <c r="BB62" s="15">
        <f>'районы КП, СП'!BF66</f>
        <v>66.459627329192557</v>
      </c>
      <c r="BC62" s="15">
        <f>'районы КП, СП'!BG66</f>
        <v>28</v>
      </c>
      <c r="BD62" s="15">
        <f>'районы КП, СП'!BH66</f>
        <v>28</v>
      </c>
      <c r="BE62" s="15">
        <f>'районы КП, СП'!BI66</f>
        <v>44</v>
      </c>
      <c r="BF62" s="15">
        <f>'районы КП, СП'!BJ66</f>
        <v>157.14285714285714</v>
      </c>
      <c r="BG62" s="15">
        <f>'районы НП, ЧП'!K66</f>
        <v>102</v>
      </c>
      <c r="BH62" s="15">
        <f>'районы НП, ЧП'!L66</f>
        <v>102</v>
      </c>
      <c r="BI62" s="15">
        <f>'районы НП, ЧП'!M66</f>
        <v>255</v>
      </c>
      <c r="BJ62" s="15">
        <f>'районы НП, ЧП'!N66</f>
        <v>250</v>
      </c>
      <c r="BK62" s="15">
        <f>'районы НП, ЧП'!AA66</f>
        <v>87</v>
      </c>
      <c r="BL62" s="15">
        <f>'районы НП, ЧП'!AB66</f>
        <v>87</v>
      </c>
      <c r="BM62" s="15">
        <f>'районы НП, ЧП'!AC66</f>
        <v>114</v>
      </c>
      <c r="BN62" s="15">
        <f>'районы НП, ЧП'!AD66</f>
        <v>131.0344827586207</v>
      </c>
      <c r="BO62" s="15">
        <f>'районы НП, ЧП'!AE66</f>
        <v>18</v>
      </c>
      <c r="BP62" s="15">
        <f>'районы НП, ЧП'!AF66</f>
        <v>18</v>
      </c>
      <c r="BQ62" s="15">
        <f>'районы НП, ЧП'!AG66</f>
        <v>36</v>
      </c>
      <c r="BR62" s="15">
        <f>'районы НП, ЧП'!AH66</f>
        <v>200</v>
      </c>
      <c r="BS62" s="15">
        <f>'районы НП, ЧП'!AI66</f>
        <v>9</v>
      </c>
      <c r="BT62" s="15">
        <f>'районы НП, ЧП'!AJ66</f>
        <v>9</v>
      </c>
      <c r="BU62" s="15">
        <f>'районы НП, ЧП'!AK66</f>
        <v>10</v>
      </c>
      <c r="BV62" s="15">
        <f>'районы НП, ЧП'!AL66</f>
        <v>111.11111111111111</v>
      </c>
      <c r="BW62" s="15">
        <f>'районы НП, ЧП'!AM66</f>
        <v>54</v>
      </c>
      <c r="BX62" s="15">
        <f>'районы НП, ЧП'!AN66</f>
        <v>54</v>
      </c>
      <c r="BY62" s="15">
        <f>'районы НП, ЧП'!AO66</f>
        <v>4</v>
      </c>
      <c r="BZ62" s="15">
        <f>'районы НП, ЧП'!AP66</f>
        <v>7.4074074074074066</v>
      </c>
      <c r="CA62" s="15">
        <f>'районы НП, ЧП'!AU66</f>
        <v>28</v>
      </c>
      <c r="CB62" s="15">
        <f>'районы НП, ЧП'!AV66</f>
        <v>28</v>
      </c>
      <c r="CC62" s="15">
        <f>'районы НП, ЧП'!AW66</f>
        <v>0</v>
      </c>
      <c r="CD62" s="15">
        <f>'районы НП, ЧП'!AX66</f>
        <v>0</v>
      </c>
      <c r="CE62" s="292">
        <f t="shared" si="1"/>
        <v>5527</v>
      </c>
      <c r="CF62" s="292">
        <f t="shared" si="2"/>
        <v>5527</v>
      </c>
      <c r="CG62" s="292">
        <f t="shared" si="2"/>
        <v>9287</v>
      </c>
      <c r="CH62" s="293">
        <f t="shared" si="3"/>
        <v>168.02967251673601</v>
      </c>
    </row>
    <row r="63" spans="1:87" ht="31.5" x14ac:dyDescent="0.2">
      <c r="A63" s="31" t="s">
        <v>167</v>
      </c>
      <c r="B63" s="60" t="s">
        <v>339</v>
      </c>
      <c r="C63" s="15">
        <f>КЛПУ!BS67</f>
        <v>0</v>
      </c>
      <c r="D63" s="15">
        <f>КЛПУ!BT67</f>
        <v>0</v>
      </c>
      <c r="E63" s="15">
        <f>КЛПУ!BU67</f>
        <v>0</v>
      </c>
      <c r="F63" s="15">
        <f>КЛПУ!BV67</f>
        <v>0</v>
      </c>
      <c r="G63" s="15">
        <f>Хабаровск!EY67</f>
        <v>1980.5</v>
      </c>
      <c r="H63" s="15">
        <f>Хабаровск!EZ67</f>
        <v>1980.5</v>
      </c>
      <c r="I63" s="15">
        <f>Хабаровск!FA67</f>
        <v>3449</v>
      </c>
      <c r="J63" s="15">
        <f>Хабаровск!FB67</f>
        <v>174.1479424387781</v>
      </c>
      <c r="K63" s="15">
        <f>'Хаб.р-ны'!K67</f>
        <v>74</v>
      </c>
      <c r="L63" s="15">
        <f>'Хаб.р-ны'!L67</f>
        <v>74</v>
      </c>
      <c r="M63" s="15">
        <f>'Хаб.р-ны'!M67</f>
        <v>23</v>
      </c>
      <c r="N63" s="15">
        <f>'Хаб.р-ны'!N67</f>
        <v>31.081081081081081</v>
      </c>
      <c r="O63" s="15">
        <f>'Хаб.р-ны'!AA67</f>
        <v>38</v>
      </c>
      <c r="P63" s="15">
        <f>'Хаб.р-ны'!AB67</f>
        <v>38</v>
      </c>
      <c r="Q63" s="15">
        <f>'Хаб.р-ны'!AC67</f>
        <v>102</v>
      </c>
      <c r="R63" s="15">
        <f>'Хаб.р-ны'!AD67</f>
        <v>268.42105263157896</v>
      </c>
      <c r="S63" s="15">
        <f>'Хаб.р-ны'!AU67</f>
        <v>280</v>
      </c>
      <c r="T63" s="15">
        <f>'Хаб.р-ны'!AV67</f>
        <v>280</v>
      </c>
      <c r="U63" s="15">
        <f>'Хаб.р-ны'!AW67</f>
        <v>65</v>
      </c>
      <c r="V63" s="15">
        <f>'Хаб.р-ны'!AX67</f>
        <v>23.214285714285715</v>
      </c>
      <c r="W63" s="15">
        <f>'Хаб.р-ны'!AY67</f>
        <v>115</v>
      </c>
      <c r="X63" s="15">
        <f>'Хаб.р-ны'!AZ67</f>
        <v>115</v>
      </c>
      <c r="Y63" s="15">
        <f>'Хаб.р-ны'!BA67</f>
        <v>124</v>
      </c>
      <c r="Z63" s="15">
        <f>'Хаб.р-ны'!BB67</f>
        <v>107.82608695652173</v>
      </c>
      <c r="AA63" s="15">
        <f>'Хаб.р-ны'!BK67</f>
        <v>336</v>
      </c>
      <c r="AB63" s="15">
        <f>'Хаб.р-ны'!BL67</f>
        <v>336</v>
      </c>
      <c r="AC63" s="15">
        <f>'Хаб.р-ны'!BM67</f>
        <v>427</v>
      </c>
      <c r="AD63" s="15">
        <f>'Хаб.р-ны'!BN67</f>
        <v>127.08333333333333</v>
      </c>
      <c r="AE63" s="15">
        <f>Комсомольск!BO67</f>
        <v>1049</v>
      </c>
      <c r="AF63" s="15">
        <f>Комсомольск!BP67</f>
        <v>1049</v>
      </c>
      <c r="AG63" s="15">
        <f>Комсомольск!BQ67</f>
        <v>2244</v>
      </c>
      <c r="AH63" s="15">
        <f>Комсомольск!BR67</f>
        <v>213.91801715919922</v>
      </c>
      <c r="AI63" s="15">
        <f>'районы КП, СП'!K67</f>
        <v>289</v>
      </c>
      <c r="AJ63" s="15">
        <f>'районы КП, СП'!L67</f>
        <v>289</v>
      </c>
      <c r="AK63" s="15">
        <f>'районы КП, СП'!M67</f>
        <v>451</v>
      </c>
      <c r="AL63" s="15">
        <f>'районы КП, СП'!N67</f>
        <v>156.05536332179929</v>
      </c>
      <c r="AM63" s="15">
        <f>'районы КП, СП'!W67</f>
        <v>93</v>
      </c>
      <c r="AN63" s="15">
        <f>'районы КП, СП'!X67</f>
        <v>93</v>
      </c>
      <c r="AO63" s="15">
        <f>'районы КП, СП'!Y67</f>
        <v>73</v>
      </c>
      <c r="AP63" s="15">
        <f>'районы КП, СП'!Z67</f>
        <v>78.494623655913969</v>
      </c>
      <c r="AQ63" s="15">
        <f>'районы КП, СП'!AA67</f>
        <v>200</v>
      </c>
      <c r="AR63" s="15">
        <f>'районы КП, СП'!AB67</f>
        <v>200</v>
      </c>
      <c r="AS63" s="15">
        <f>'районы КП, СП'!AC67</f>
        <v>238</v>
      </c>
      <c r="AT63" s="15">
        <f>'районы КП, СП'!AD67</f>
        <v>119</v>
      </c>
      <c r="AU63" s="15">
        <f>'районы КП, СП'!AM67</f>
        <v>0</v>
      </c>
      <c r="AV63" s="15">
        <f>'районы КП, СП'!AN67</f>
        <v>0</v>
      </c>
      <c r="AW63" s="15">
        <f>'районы КП, СП'!AO67</f>
        <v>121</v>
      </c>
      <c r="AX63" s="15">
        <f>'районы КП, СП'!AP67</f>
        <v>0</v>
      </c>
      <c r="AY63" s="15">
        <f>'районы КП, СП'!BC67</f>
        <v>149</v>
      </c>
      <c r="AZ63" s="15">
        <f>'районы КП, СП'!BD67</f>
        <v>149</v>
      </c>
      <c r="BA63" s="15">
        <f>'районы КП, СП'!BE67</f>
        <v>233</v>
      </c>
      <c r="BB63" s="15">
        <f>'районы КП, СП'!BF67</f>
        <v>156.37583892617451</v>
      </c>
      <c r="BC63" s="15">
        <f>'районы КП, СП'!BG67</f>
        <v>33</v>
      </c>
      <c r="BD63" s="15">
        <f>'районы КП, СП'!BH67</f>
        <v>33</v>
      </c>
      <c r="BE63" s="15">
        <f>'районы КП, СП'!BI67</f>
        <v>50</v>
      </c>
      <c r="BF63" s="15">
        <f>'районы КП, СП'!BJ67</f>
        <v>151.5151515151515</v>
      </c>
      <c r="BG63" s="15">
        <f>'районы НП, ЧП'!K67</f>
        <v>119</v>
      </c>
      <c r="BH63" s="15">
        <f>'районы НП, ЧП'!L67</f>
        <v>119</v>
      </c>
      <c r="BI63" s="15">
        <f>'районы НП, ЧП'!M67</f>
        <v>241</v>
      </c>
      <c r="BJ63" s="15">
        <f>'районы НП, ЧП'!N67</f>
        <v>202.52100840336135</v>
      </c>
      <c r="BK63" s="15">
        <f>'районы НП, ЧП'!AA67</f>
        <v>100</v>
      </c>
      <c r="BL63" s="15">
        <f>'районы НП, ЧП'!AB67</f>
        <v>100</v>
      </c>
      <c r="BM63" s="15">
        <f>'районы НП, ЧП'!AC67</f>
        <v>64</v>
      </c>
      <c r="BN63" s="15">
        <f>'районы НП, ЧП'!AD67</f>
        <v>64</v>
      </c>
      <c r="BO63" s="15">
        <f>'районы НП, ЧП'!AE67</f>
        <v>12</v>
      </c>
      <c r="BP63" s="15">
        <f>'районы НП, ЧП'!AF67</f>
        <v>12</v>
      </c>
      <c r="BQ63" s="15">
        <f>'районы НП, ЧП'!AG67</f>
        <v>25</v>
      </c>
      <c r="BR63" s="15">
        <f>'районы НП, ЧП'!AH67</f>
        <v>208.33333333333334</v>
      </c>
      <c r="BS63" s="15">
        <f>'районы НП, ЧП'!AI67</f>
        <v>5</v>
      </c>
      <c r="BT63" s="15">
        <f>'районы НП, ЧП'!AJ67</f>
        <v>5</v>
      </c>
      <c r="BU63" s="15">
        <f>'районы НП, ЧП'!AK67</f>
        <v>9</v>
      </c>
      <c r="BV63" s="15">
        <f>'районы НП, ЧП'!AL67</f>
        <v>180</v>
      </c>
      <c r="BW63" s="15">
        <f>'районы НП, ЧП'!AM67</f>
        <v>44</v>
      </c>
      <c r="BX63" s="15">
        <f>'районы НП, ЧП'!AN67</f>
        <v>44</v>
      </c>
      <c r="BY63" s="15">
        <f>'районы НП, ЧП'!AO67</f>
        <v>12</v>
      </c>
      <c r="BZ63" s="15">
        <f>'районы НП, ЧП'!AP67</f>
        <v>27.27272727272727</v>
      </c>
      <c r="CA63" s="15">
        <f>'районы НП, ЧП'!AU67</f>
        <v>28</v>
      </c>
      <c r="CB63" s="15">
        <f>'районы НП, ЧП'!AV67</f>
        <v>28</v>
      </c>
      <c r="CC63" s="15">
        <f>'районы НП, ЧП'!AW67</f>
        <v>0</v>
      </c>
      <c r="CD63" s="15">
        <f>'районы НП, ЧП'!AX67</f>
        <v>0</v>
      </c>
      <c r="CE63" s="292">
        <f t="shared" si="1"/>
        <v>4944.5</v>
      </c>
      <c r="CF63" s="292">
        <f t="shared" si="2"/>
        <v>4944.5</v>
      </c>
      <c r="CG63" s="292">
        <f t="shared" si="2"/>
        <v>7951</v>
      </c>
      <c r="CH63" s="293">
        <f t="shared" si="3"/>
        <v>160.80493477601377</v>
      </c>
    </row>
    <row r="64" spans="1:87" ht="31.5" x14ac:dyDescent="0.2">
      <c r="A64" s="31" t="s">
        <v>168</v>
      </c>
      <c r="B64" s="60" t="s">
        <v>339</v>
      </c>
      <c r="C64" s="15">
        <f>КЛПУ!BS68</f>
        <v>0</v>
      </c>
      <c r="D64" s="15">
        <f>КЛПУ!BT68</f>
        <v>0</v>
      </c>
      <c r="E64" s="15">
        <f>КЛПУ!BU68</f>
        <v>0</v>
      </c>
      <c r="F64" s="15">
        <f>КЛПУ!BV68</f>
        <v>0</v>
      </c>
      <c r="G64" s="15">
        <f>Хабаровск!EY68</f>
        <v>2312</v>
      </c>
      <c r="H64" s="15">
        <f>Хабаровск!EZ68</f>
        <v>2312</v>
      </c>
      <c r="I64" s="15">
        <f>Хабаровск!FA68</f>
        <v>3426</v>
      </c>
      <c r="J64" s="15">
        <f>Хабаровск!FB68</f>
        <v>148.1833910034602</v>
      </c>
      <c r="K64" s="15">
        <f>'Хаб.р-ны'!K68</f>
        <v>60</v>
      </c>
      <c r="L64" s="15">
        <f>'Хаб.р-ны'!L68</f>
        <v>60</v>
      </c>
      <c r="M64" s="15">
        <f>'Хаб.р-ны'!M68</f>
        <v>9</v>
      </c>
      <c r="N64" s="15">
        <f>'Хаб.р-ны'!N68</f>
        <v>15</v>
      </c>
      <c r="O64" s="15">
        <f>'Хаб.р-ны'!AA68</f>
        <v>88</v>
      </c>
      <c r="P64" s="15">
        <f>'Хаб.р-ны'!AB68</f>
        <v>88</v>
      </c>
      <c r="Q64" s="15">
        <f>'Хаб.р-ны'!AC68</f>
        <v>102</v>
      </c>
      <c r="R64" s="15">
        <f>'Хаб.р-ны'!AD68</f>
        <v>115.90909090909092</v>
      </c>
      <c r="S64" s="15">
        <f>'Хаб.р-ны'!AU68</f>
        <v>282</v>
      </c>
      <c r="T64" s="15">
        <f>'Хаб.р-ны'!AV68</f>
        <v>282</v>
      </c>
      <c r="U64" s="15">
        <f>'Хаб.р-ны'!AW68</f>
        <v>177</v>
      </c>
      <c r="V64" s="15">
        <f>'Хаб.р-ны'!AX68</f>
        <v>62.765957446808507</v>
      </c>
      <c r="W64" s="15">
        <f>'Хаб.р-ны'!AY68</f>
        <v>93</v>
      </c>
      <c r="X64" s="15">
        <f>'Хаб.р-ны'!AZ68</f>
        <v>93</v>
      </c>
      <c r="Y64" s="15">
        <f>'Хаб.р-ны'!BA68</f>
        <v>142</v>
      </c>
      <c r="Z64" s="15">
        <f>'Хаб.р-ны'!BB68</f>
        <v>152.68817204301075</v>
      </c>
      <c r="AA64" s="15">
        <f>'Хаб.р-ны'!BK68</f>
        <v>208</v>
      </c>
      <c r="AB64" s="15">
        <f>'Хаб.р-ны'!BL68</f>
        <v>208</v>
      </c>
      <c r="AC64" s="15">
        <f>'Хаб.р-ны'!BM68</f>
        <v>224</v>
      </c>
      <c r="AD64" s="15">
        <f>'Хаб.р-ны'!BN68</f>
        <v>107.69230769230769</v>
      </c>
      <c r="AE64" s="15">
        <f>Комсомольск!BO68</f>
        <v>892</v>
      </c>
      <c r="AF64" s="15">
        <f>Комсомольск!BP68</f>
        <v>892</v>
      </c>
      <c r="AG64" s="15">
        <f>Комсомольск!BQ68</f>
        <v>1095</v>
      </c>
      <c r="AH64" s="15">
        <f>Комсомольск!BR68</f>
        <v>122.75784753363229</v>
      </c>
      <c r="AI64" s="15">
        <f>'районы КП, СП'!K68</f>
        <v>268</v>
      </c>
      <c r="AJ64" s="15">
        <f>'районы КП, СП'!L68</f>
        <v>268</v>
      </c>
      <c r="AK64" s="15">
        <f>'районы КП, СП'!M68</f>
        <v>306</v>
      </c>
      <c r="AL64" s="15">
        <f>'районы КП, СП'!N68</f>
        <v>114.17910447761194</v>
      </c>
      <c r="AM64" s="15">
        <f>'районы КП, СП'!W68</f>
        <v>103</v>
      </c>
      <c r="AN64" s="15">
        <f>'районы КП, СП'!X68</f>
        <v>103</v>
      </c>
      <c r="AO64" s="15">
        <f>'районы КП, СП'!Y68</f>
        <v>249</v>
      </c>
      <c r="AP64" s="15">
        <f>'районы КП, СП'!Z68</f>
        <v>241.74757281553397</v>
      </c>
      <c r="AQ64" s="15">
        <f>'районы КП, СП'!AA68</f>
        <v>150</v>
      </c>
      <c r="AR64" s="15">
        <f>'районы КП, СП'!AB68</f>
        <v>150</v>
      </c>
      <c r="AS64" s="15">
        <f>'районы КП, СП'!AC68</f>
        <v>193</v>
      </c>
      <c r="AT64" s="15">
        <f>'районы КП, СП'!AD68</f>
        <v>128.66666666666666</v>
      </c>
      <c r="AU64" s="15">
        <f>'районы КП, СП'!AM68</f>
        <v>0</v>
      </c>
      <c r="AV64" s="15">
        <f>'районы КП, СП'!AN68</f>
        <v>0</v>
      </c>
      <c r="AW64" s="15">
        <f>'районы КП, СП'!AO68</f>
        <v>12</v>
      </c>
      <c r="AX64" s="15">
        <f>'районы КП, СП'!AP68</f>
        <v>0</v>
      </c>
      <c r="AY64" s="15">
        <f>'районы КП, СП'!BC68</f>
        <v>149</v>
      </c>
      <c r="AZ64" s="15">
        <f>'районы КП, СП'!BD68</f>
        <v>149</v>
      </c>
      <c r="BA64" s="15">
        <f>'районы КП, СП'!BE68</f>
        <v>288</v>
      </c>
      <c r="BB64" s="15">
        <f>'районы КП, СП'!BF68</f>
        <v>193.28859060402687</v>
      </c>
      <c r="BC64" s="15">
        <f>'районы КП, СП'!BG68</f>
        <v>17</v>
      </c>
      <c r="BD64" s="15">
        <f>'районы КП, СП'!BH68</f>
        <v>17</v>
      </c>
      <c r="BE64" s="15">
        <f>'районы КП, СП'!BI68</f>
        <v>10</v>
      </c>
      <c r="BF64" s="15">
        <f>'районы КП, СП'!BJ68</f>
        <v>58.82352941176471</v>
      </c>
      <c r="BG64" s="15">
        <f>'районы НП, ЧП'!K68</f>
        <v>177</v>
      </c>
      <c r="BH64" s="15">
        <f>'районы НП, ЧП'!L68</f>
        <v>177</v>
      </c>
      <c r="BI64" s="15">
        <f>'районы НП, ЧП'!M68</f>
        <v>271</v>
      </c>
      <c r="BJ64" s="15">
        <f>'районы НП, ЧП'!N68</f>
        <v>153.10734463276836</v>
      </c>
      <c r="BK64" s="15">
        <f>'районы НП, ЧП'!AA68</f>
        <v>75</v>
      </c>
      <c r="BL64" s="15">
        <f>'районы НП, ЧП'!AB68</f>
        <v>75</v>
      </c>
      <c r="BM64" s="15">
        <f>'районы НП, ЧП'!AC68</f>
        <v>68</v>
      </c>
      <c r="BN64" s="15">
        <f>'районы НП, ЧП'!AD68</f>
        <v>90.666666666666657</v>
      </c>
      <c r="BO64" s="15">
        <f>'районы НП, ЧП'!AE68</f>
        <v>14</v>
      </c>
      <c r="BP64" s="15">
        <f>'районы НП, ЧП'!AF68</f>
        <v>14</v>
      </c>
      <c r="BQ64" s="15">
        <f>'районы НП, ЧП'!AG68</f>
        <v>26</v>
      </c>
      <c r="BR64" s="15">
        <f>'районы НП, ЧП'!AH68</f>
        <v>185.71428571428572</v>
      </c>
      <c r="BS64" s="15">
        <f>'районы НП, ЧП'!AI68</f>
        <v>3</v>
      </c>
      <c r="BT64" s="15">
        <f>'районы НП, ЧП'!AJ68</f>
        <v>3</v>
      </c>
      <c r="BU64" s="15">
        <f>'районы НП, ЧП'!AK68</f>
        <v>5</v>
      </c>
      <c r="BV64" s="15">
        <f>'районы НП, ЧП'!AL68</f>
        <v>166.66666666666669</v>
      </c>
      <c r="BW64" s="15">
        <f>'районы НП, ЧП'!AM68</f>
        <v>52</v>
      </c>
      <c r="BX64" s="15">
        <f>'районы НП, ЧП'!AN68</f>
        <v>52</v>
      </c>
      <c r="BY64" s="15">
        <f>'районы НП, ЧП'!AO68</f>
        <v>56</v>
      </c>
      <c r="BZ64" s="15">
        <f>'районы НП, ЧП'!AP68</f>
        <v>107.69230769230769</v>
      </c>
      <c r="CA64" s="15">
        <f>'районы НП, ЧП'!AU68</f>
        <v>43</v>
      </c>
      <c r="CB64" s="15">
        <f>'районы НП, ЧП'!AV68</f>
        <v>43</v>
      </c>
      <c r="CC64" s="15">
        <f>'районы НП, ЧП'!AW68</f>
        <v>0</v>
      </c>
      <c r="CD64" s="15">
        <f>'районы НП, ЧП'!AX68</f>
        <v>0</v>
      </c>
      <c r="CE64" s="292">
        <f t="shared" si="1"/>
        <v>4986</v>
      </c>
      <c r="CF64" s="292">
        <f t="shared" si="2"/>
        <v>4986</v>
      </c>
      <c r="CG64" s="292">
        <f t="shared" si="2"/>
        <v>6659</v>
      </c>
      <c r="CH64" s="293">
        <f t="shared" si="3"/>
        <v>133.55395106297635</v>
      </c>
    </row>
    <row r="65" spans="1:87" ht="31.5" x14ac:dyDescent="0.2">
      <c r="A65" s="31" t="s">
        <v>169</v>
      </c>
      <c r="B65" s="60" t="s">
        <v>339</v>
      </c>
      <c r="C65" s="15">
        <f>КЛПУ!BS69</f>
        <v>0</v>
      </c>
      <c r="D65" s="15">
        <f>КЛПУ!BT69</f>
        <v>0</v>
      </c>
      <c r="E65" s="15">
        <f>КЛПУ!BU69</f>
        <v>0</v>
      </c>
      <c r="F65" s="15">
        <f>КЛПУ!BV69</f>
        <v>0</v>
      </c>
      <c r="G65" s="15">
        <f>Хабаровск!EY69</f>
        <v>4264.5</v>
      </c>
      <c r="H65" s="15">
        <f>Хабаровск!EZ69</f>
        <v>4264.5</v>
      </c>
      <c r="I65" s="15">
        <f>Хабаровск!FA69</f>
        <v>8631</v>
      </c>
      <c r="J65" s="15">
        <f>Хабаровск!FB69</f>
        <v>202.39183960604996</v>
      </c>
      <c r="K65" s="15">
        <f>'Хаб.р-ны'!K69</f>
        <v>206</v>
      </c>
      <c r="L65" s="15">
        <f>'Хаб.р-ны'!L69</f>
        <v>206</v>
      </c>
      <c r="M65" s="15">
        <f>'Хаб.р-ны'!M69</f>
        <v>42</v>
      </c>
      <c r="N65" s="15">
        <f>'Хаб.р-ны'!N69</f>
        <v>20.388349514563107</v>
      </c>
      <c r="O65" s="15">
        <f>'Хаб.р-ны'!AA69</f>
        <v>197</v>
      </c>
      <c r="P65" s="15">
        <f>'Хаб.р-ны'!AB69</f>
        <v>197</v>
      </c>
      <c r="Q65" s="15">
        <f>'Хаб.р-ны'!AC69</f>
        <v>493</v>
      </c>
      <c r="R65" s="15">
        <f>'Хаб.р-ны'!AD69</f>
        <v>250.253807106599</v>
      </c>
      <c r="S65" s="15">
        <f>'Хаб.р-ны'!AU69</f>
        <v>748</v>
      </c>
      <c r="T65" s="15">
        <f>'Хаб.р-ны'!AV69</f>
        <v>748</v>
      </c>
      <c r="U65" s="15">
        <f>'Хаб.р-ны'!AW69</f>
        <v>329</v>
      </c>
      <c r="V65" s="15">
        <f>'Хаб.р-ны'!AX69</f>
        <v>43.983957219251337</v>
      </c>
      <c r="W65" s="15">
        <f>'Хаб.р-ны'!AY69</f>
        <v>252</v>
      </c>
      <c r="X65" s="15">
        <f>'Хаб.р-ны'!AZ69</f>
        <v>252</v>
      </c>
      <c r="Y65" s="15">
        <f>'Хаб.р-ны'!BA69</f>
        <v>293</v>
      </c>
      <c r="Z65" s="15">
        <f>'Хаб.р-ны'!BB69</f>
        <v>116.26984126984128</v>
      </c>
      <c r="AA65" s="15">
        <f>'Хаб.р-ны'!BK69</f>
        <v>411</v>
      </c>
      <c r="AB65" s="15">
        <f>'Хаб.р-ны'!BL69</f>
        <v>411</v>
      </c>
      <c r="AC65" s="15">
        <f>'Хаб.р-ны'!BM69</f>
        <v>599</v>
      </c>
      <c r="AD65" s="15">
        <f>'Хаб.р-ны'!BN69</f>
        <v>145.74209245742094</v>
      </c>
      <c r="AE65" s="15">
        <f>Комсомольск!BO69</f>
        <v>1994</v>
      </c>
      <c r="AF65" s="15">
        <f>Комсомольск!BP69</f>
        <v>1994</v>
      </c>
      <c r="AG65" s="15">
        <f>Комсомольск!BQ69</f>
        <v>3802</v>
      </c>
      <c r="AH65" s="15">
        <f>Комсомольск!BR69</f>
        <v>190.67201604814443</v>
      </c>
      <c r="AI65" s="15">
        <f>'районы КП, СП'!K69</f>
        <v>675</v>
      </c>
      <c r="AJ65" s="15">
        <f>'районы КП, СП'!L69</f>
        <v>675</v>
      </c>
      <c r="AK65" s="15">
        <f>'районы КП, СП'!M69</f>
        <v>1037</v>
      </c>
      <c r="AL65" s="15">
        <f>'районы КП, СП'!N69</f>
        <v>153.62962962962962</v>
      </c>
      <c r="AM65" s="15">
        <f>'районы КП, СП'!W69</f>
        <v>247</v>
      </c>
      <c r="AN65" s="15">
        <f>'районы КП, СП'!X69</f>
        <v>247</v>
      </c>
      <c r="AO65" s="15">
        <f>'районы КП, СП'!Y69</f>
        <v>429</v>
      </c>
      <c r="AP65" s="15">
        <f>'районы КП, СП'!Z69</f>
        <v>173.68421052631581</v>
      </c>
      <c r="AQ65" s="15">
        <f>'районы КП, СП'!AA69</f>
        <v>380</v>
      </c>
      <c r="AR65" s="15">
        <f>'районы КП, СП'!AB69</f>
        <v>380</v>
      </c>
      <c r="AS65" s="15">
        <f>'районы КП, СП'!AC69</f>
        <v>383</v>
      </c>
      <c r="AT65" s="15">
        <f>'районы КП, СП'!AD69</f>
        <v>100.78947368421052</v>
      </c>
      <c r="AU65" s="15">
        <f>'районы КП, СП'!AM69</f>
        <v>0</v>
      </c>
      <c r="AV65" s="15">
        <f>'районы КП, СП'!AN69</f>
        <v>0</v>
      </c>
      <c r="AW65" s="15">
        <f>'районы КП, СП'!AO69</f>
        <v>505</v>
      </c>
      <c r="AX65" s="15">
        <f>'районы КП, СП'!AP69</f>
        <v>0</v>
      </c>
      <c r="AY65" s="15">
        <f>'районы КП, СП'!BC69</f>
        <v>196</v>
      </c>
      <c r="AZ65" s="15">
        <f>'районы КП, СП'!BD69</f>
        <v>196</v>
      </c>
      <c r="BA65" s="15">
        <f>'районы КП, СП'!BE69</f>
        <v>347</v>
      </c>
      <c r="BB65" s="15">
        <f>'районы КП, СП'!BF69</f>
        <v>177.0408163265306</v>
      </c>
      <c r="BC65" s="15">
        <f>'районы КП, СП'!BG69</f>
        <v>95</v>
      </c>
      <c r="BD65" s="15">
        <f>'районы КП, СП'!BH69</f>
        <v>95</v>
      </c>
      <c r="BE65" s="15">
        <f>'районы КП, СП'!BI69</f>
        <v>74</v>
      </c>
      <c r="BF65" s="15">
        <f>'районы КП, СП'!BJ69</f>
        <v>77.89473684210526</v>
      </c>
      <c r="BG65" s="15">
        <f>'районы НП, ЧП'!K69</f>
        <v>502</v>
      </c>
      <c r="BH65" s="15">
        <f>'районы НП, ЧП'!L69</f>
        <v>502</v>
      </c>
      <c r="BI65" s="15">
        <f>'районы НП, ЧП'!M69</f>
        <v>731</v>
      </c>
      <c r="BJ65" s="15">
        <f>'районы НП, ЧП'!N69</f>
        <v>145.61752988047809</v>
      </c>
      <c r="BK65" s="15">
        <f>'районы НП, ЧП'!AA69</f>
        <v>240</v>
      </c>
      <c r="BL65" s="15">
        <f>'районы НП, ЧП'!AB69</f>
        <v>240</v>
      </c>
      <c r="BM65" s="15">
        <f>'районы НП, ЧП'!AC69</f>
        <v>137</v>
      </c>
      <c r="BN65" s="15">
        <f>'районы НП, ЧП'!AD69</f>
        <v>57.083333333333329</v>
      </c>
      <c r="BO65" s="15">
        <f>'районы НП, ЧП'!AE69</f>
        <v>48</v>
      </c>
      <c r="BP65" s="15">
        <f>'районы НП, ЧП'!AF69</f>
        <v>48</v>
      </c>
      <c r="BQ65" s="15">
        <f>'районы НП, ЧП'!AG69</f>
        <v>73</v>
      </c>
      <c r="BR65" s="15">
        <f>'районы НП, ЧП'!AH69</f>
        <v>152.08333333333331</v>
      </c>
      <c r="BS65" s="15">
        <f>'районы НП, ЧП'!AI69</f>
        <v>3</v>
      </c>
      <c r="BT65" s="15">
        <f>'районы НП, ЧП'!AJ69</f>
        <v>3</v>
      </c>
      <c r="BU65" s="15">
        <f>'районы НП, ЧП'!AK69</f>
        <v>8</v>
      </c>
      <c r="BV65" s="15">
        <f>'районы НП, ЧП'!AL69</f>
        <v>266.66666666666663</v>
      </c>
      <c r="BW65" s="15">
        <f>'районы НП, ЧП'!AM69</f>
        <v>150</v>
      </c>
      <c r="BX65" s="15">
        <f>'районы НП, ЧП'!AN69</f>
        <v>150</v>
      </c>
      <c r="BY65" s="15">
        <f>'районы НП, ЧП'!AO69</f>
        <v>149</v>
      </c>
      <c r="BZ65" s="15">
        <f>'районы НП, ЧП'!AP69</f>
        <v>99.333333333333329</v>
      </c>
      <c r="CA65" s="15">
        <f>'районы НП, ЧП'!AU69</f>
        <v>142</v>
      </c>
      <c r="CB65" s="15">
        <f>'районы НП, ЧП'!AV69</f>
        <v>142</v>
      </c>
      <c r="CC65" s="15">
        <f>'районы НП, ЧП'!AW69</f>
        <v>0</v>
      </c>
      <c r="CD65" s="15">
        <f>'районы НП, ЧП'!AX69</f>
        <v>0</v>
      </c>
      <c r="CE65" s="292">
        <f t="shared" si="1"/>
        <v>10750.5</v>
      </c>
      <c r="CF65" s="292">
        <f t="shared" si="2"/>
        <v>10750.5</v>
      </c>
      <c r="CG65" s="292">
        <f t="shared" si="2"/>
        <v>18062</v>
      </c>
      <c r="CH65" s="293">
        <f t="shared" si="3"/>
        <v>168.01079019580484</v>
      </c>
    </row>
    <row r="66" spans="1:87" ht="31.5" x14ac:dyDescent="0.2">
      <c r="A66" s="39" t="s">
        <v>170</v>
      </c>
      <c r="B66" s="57" t="s">
        <v>3</v>
      </c>
      <c r="C66" s="15">
        <f>КЛПУ!BS70</f>
        <v>0</v>
      </c>
      <c r="D66" s="15">
        <f>КЛПУ!BT70</f>
        <v>0</v>
      </c>
      <c r="E66" s="15">
        <f>КЛПУ!BU70</f>
        <v>0</v>
      </c>
      <c r="F66" s="15">
        <f>КЛПУ!BV70</f>
        <v>0</v>
      </c>
      <c r="G66" s="15">
        <f>Хабаровск!EY70</f>
        <v>46873</v>
      </c>
      <c r="H66" s="15">
        <f>Хабаровск!EZ70</f>
        <v>46873</v>
      </c>
      <c r="I66" s="15">
        <f>Хабаровск!FA70</f>
        <v>42890</v>
      </c>
      <c r="J66" s="15">
        <f>Хабаровск!FB70</f>
        <v>91.502570776353124</v>
      </c>
      <c r="K66" s="15">
        <f>'Хаб.р-ны'!K70</f>
        <v>3917</v>
      </c>
      <c r="L66" s="15">
        <f>'Хаб.р-ны'!L70</f>
        <v>3917</v>
      </c>
      <c r="M66" s="15">
        <f>'Хаб.р-ны'!M70</f>
        <v>126</v>
      </c>
      <c r="N66" s="15">
        <f>'Хаб.р-ны'!N70</f>
        <v>3.2167475108501402</v>
      </c>
      <c r="O66" s="15">
        <f>'Хаб.р-ны'!AA70</f>
        <v>0</v>
      </c>
      <c r="P66" s="15">
        <f>'Хаб.р-ны'!AB70</f>
        <v>0</v>
      </c>
      <c r="Q66" s="15">
        <f>'Хаб.р-ны'!AC70</f>
        <v>0</v>
      </c>
      <c r="R66" s="15">
        <f>'Хаб.р-ны'!AD70</f>
        <v>0</v>
      </c>
      <c r="S66" s="15">
        <f>'Хаб.р-ны'!AU70</f>
        <v>13865</v>
      </c>
      <c r="T66" s="15">
        <f>'Хаб.р-ны'!AV70</f>
        <v>13865</v>
      </c>
      <c r="U66" s="15">
        <f>'Хаб.р-ны'!AW70</f>
        <v>7266</v>
      </c>
      <c r="V66" s="15">
        <f>'Хаб.р-ны'!AX70</f>
        <v>52.40533717994952</v>
      </c>
      <c r="W66" s="15">
        <f>'Хаб.р-ны'!AY70</f>
        <v>3510</v>
      </c>
      <c r="X66" s="15">
        <f>'Хаб.р-ны'!AZ70</f>
        <v>3510</v>
      </c>
      <c r="Y66" s="15">
        <f>'Хаб.р-ны'!BA70</f>
        <v>2746</v>
      </c>
      <c r="Z66" s="15">
        <f>'Хаб.р-ны'!BB70</f>
        <v>78.23361823361823</v>
      </c>
      <c r="AA66" s="15">
        <f>'Хаб.р-ны'!BK70</f>
        <v>7536</v>
      </c>
      <c r="AB66" s="15">
        <f>'Хаб.р-ны'!BL70</f>
        <v>7536</v>
      </c>
      <c r="AC66" s="15">
        <f>'Хаб.р-ны'!BM70</f>
        <v>3572</v>
      </c>
      <c r="AD66" s="15">
        <f>'Хаб.р-ны'!BN70</f>
        <v>47.399150743099788</v>
      </c>
      <c r="AE66" s="15">
        <f>Комсомольск!BO70</f>
        <v>42257</v>
      </c>
      <c r="AF66" s="15">
        <f>Комсомольск!BP70</f>
        <v>42257</v>
      </c>
      <c r="AG66" s="15">
        <f>Комсомольск!BQ70</f>
        <v>37209</v>
      </c>
      <c r="AH66" s="15">
        <f>Комсомольск!BR70</f>
        <v>88.054050216532175</v>
      </c>
      <c r="AI66" s="15">
        <f>'районы КП, СП'!K70</f>
        <v>11503</v>
      </c>
      <c r="AJ66" s="15">
        <f>'районы КП, СП'!L70</f>
        <v>11503</v>
      </c>
      <c r="AK66" s="15">
        <f>'районы КП, СП'!M70</f>
        <v>9961</v>
      </c>
      <c r="AL66" s="15">
        <f>'районы КП, СП'!N70</f>
        <v>86.594801356167963</v>
      </c>
      <c r="AM66" s="15">
        <f>'районы КП, СП'!W70</f>
        <v>3130</v>
      </c>
      <c r="AN66" s="15">
        <f>'районы КП, СП'!X70</f>
        <v>3130</v>
      </c>
      <c r="AO66" s="15">
        <f>'районы КП, СП'!Y70</f>
        <v>2341</v>
      </c>
      <c r="AP66" s="15">
        <f>'районы КП, СП'!Z70</f>
        <v>74.792332268370615</v>
      </c>
      <c r="AQ66" s="15">
        <f>'районы КП, СП'!AA70</f>
        <v>1675</v>
      </c>
      <c r="AR66" s="15">
        <f>'районы КП, СП'!AB70</f>
        <v>1675</v>
      </c>
      <c r="AS66" s="15">
        <f>'районы КП, СП'!AC70</f>
        <v>6471</v>
      </c>
      <c r="AT66" s="15">
        <f>'районы КП, СП'!AD70</f>
        <v>386.32835820895519</v>
      </c>
      <c r="AU66" s="15">
        <f>'районы КП, СП'!AM70</f>
        <v>12956</v>
      </c>
      <c r="AV66" s="15">
        <f>'районы КП, СП'!AN70</f>
        <v>12956</v>
      </c>
      <c r="AW66" s="15">
        <f>'районы КП, СП'!AO70</f>
        <v>5142</v>
      </c>
      <c r="AX66" s="15">
        <f>'районы КП, СП'!AP70</f>
        <v>39.688175362766287</v>
      </c>
      <c r="AY66" s="15">
        <f>'районы КП, СП'!BC70</f>
        <v>8287</v>
      </c>
      <c r="AZ66" s="15">
        <f>'районы КП, СП'!BD70</f>
        <v>8287</v>
      </c>
      <c r="BA66" s="15">
        <f>'районы КП, СП'!BE70</f>
        <v>2810</v>
      </c>
      <c r="BB66" s="15">
        <f>'районы КП, СП'!BF70</f>
        <v>33.908531434777359</v>
      </c>
      <c r="BC66" s="15">
        <f>'районы КП, СП'!BG70</f>
        <v>396</v>
      </c>
      <c r="BD66" s="15">
        <f>'районы КП, СП'!BH70</f>
        <v>396</v>
      </c>
      <c r="BE66" s="15">
        <f>'районы КП, СП'!BI70</f>
        <v>206</v>
      </c>
      <c r="BF66" s="15">
        <f>'районы КП, СП'!BJ70</f>
        <v>52.020202020202021</v>
      </c>
      <c r="BG66" s="15">
        <f>'районы НП, ЧП'!K70</f>
        <v>9442</v>
      </c>
      <c r="BH66" s="15">
        <f>'районы НП, ЧП'!L70</f>
        <v>9442</v>
      </c>
      <c r="BI66" s="15">
        <f>'районы НП, ЧП'!M70</f>
        <v>4202</v>
      </c>
      <c r="BJ66" s="15">
        <f>'районы НП, ЧП'!N70</f>
        <v>44.503283202711295</v>
      </c>
      <c r="BK66" s="15">
        <f>'районы НП, ЧП'!AA70</f>
        <v>2739</v>
      </c>
      <c r="BL66" s="15">
        <f>'районы НП, ЧП'!AB70</f>
        <v>2739</v>
      </c>
      <c r="BM66" s="15">
        <f>'районы НП, ЧП'!AC70</f>
        <v>1570</v>
      </c>
      <c r="BN66" s="15">
        <f>'районы НП, ЧП'!AD70</f>
        <v>57.320189850310335</v>
      </c>
      <c r="BO66" s="15">
        <f>'районы НП, ЧП'!AE70</f>
        <v>545</v>
      </c>
      <c r="BP66" s="15">
        <f>'районы НП, ЧП'!AF70</f>
        <v>545</v>
      </c>
      <c r="BQ66" s="15">
        <f>'районы НП, ЧП'!AG70</f>
        <v>1943</v>
      </c>
      <c r="BR66" s="15">
        <f>'районы НП, ЧП'!AH70</f>
        <v>356.51376146788988</v>
      </c>
      <c r="BS66" s="15">
        <f>'районы НП, ЧП'!AI70</f>
        <v>670</v>
      </c>
      <c r="BT66" s="15">
        <f>'районы НП, ЧП'!AJ70</f>
        <v>670</v>
      </c>
      <c r="BU66" s="15">
        <f>'районы НП, ЧП'!AK70</f>
        <v>582</v>
      </c>
      <c r="BV66" s="15">
        <f>'районы НП, ЧП'!AL70</f>
        <v>86.865671641791039</v>
      </c>
      <c r="BW66" s="15">
        <f>'районы НП, ЧП'!AM70</f>
        <v>1100</v>
      </c>
      <c r="BX66" s="15">
        <f>'районы НП, ЧП'!AN70</f>
        <v>1100</v>
      </c>
      <c r="BY66" s="15">
        <f>'районы НП, ЧП'!AO70</f>
        <v>959</v>
      </c>
      <c r="BZ66" s="15">
        <f>'районы НП, ЧП'!AP70</f>
        <v>87.181818181818187</v>
      </c>
      <c r="CA66" s="15">
        <f>'районы НП, ЧП'!AU70</f>
        <v>809</v>
      </c>
      <c r="CB66" s="15">
        <f>'районы НП, ЧП'!AV70</f>
        <v>809</v>
      </c>
      <c r="CC66" s="15">
        <f>'районы НП, ЧП'!AW70</f>
        <v>46</v>
      </c>
      <c r="CD66" s="15">
        <f>'районы НП, ЧП'!AX70</f>
        <v>5.6860321384425223</v>
      </c>
      <c r="CE66" s="292">
        <f t="shared" si="1"/>
        <v>171210</v>
      </c>
      <c r="CF66" s="292">
        <f t="shared" si="2"/>
        <v>171210</v>
      </c>
      <c r="CG66" s="292">
        <f t="shared" si="2"/>
        <v>130042</v>
      </c>
      <c r="CH66" s="293">
        <f t="shared" si="3"/>
        <v>75.954675544652758</v>
      </c>
      <c r="CI66">
        <v>-203</v>
      </c>
    </row>
    <row r="67" spans="1:87" ht="31.5" x14ac:dyDescent="0.2">
      <c r="A67" s="32" t="s">
        <v>171</v>
      </c>
      <c r="B67" s="60" t="s">
        <v>339</v>
      </c>
      <c r="C67" s="15">
        <f>КЛПУ!BS71</f>
        <v>0</v>
      </c>
      <c r="D67" s="15">
        <f>КЛПУ!BT71</f>
        <v>0</v>
      </c>
      <c r="E67" s="15">
        <f>КЛПУ!BU71</f>
        <v>0</v>
      </c>
      <c r="F67" s="15">
        <f>КЛПУ!BV71</f>
        <v>0</v>
      </c>
      <c r="G67" s="15">
        <f>Хабаровск!EY71</f>
        <v>2215</v>
      </c>
      <c r="H67" s="15">
        <f>Хабаровск!EZ71</f>
        <v>2215</v>
      </c>
      <c r="I67" s="15">
        <f>Хабаровск!FA71</f>
        <v>2030</v>
      </c>
      <c r="J67" s="15">
        <f>Хабаровск!FB71</f>
        <v>91.647855530474047</v>
      </c>
      <c r="K67" s="15">
        <f>'Хаб.р-ны'!K71</f>
        <v>163</v>
      </c>
      <c r="L67" s="15">
        <f>'Хаб.р-ны'!L71</f>
        <v>163</v>
      </c>
      <c r="M67" s="15">
        <f>'Хаб.р-ны'!M71</f>
        <v>10</v>
      </c>
      <c r="N67" s="15">
        <f>'Хаб.р-ны'!N71</f>
        <v>6.1349693251533743</v>
      </c>
      <c r="O67" s="15">
        <f>'Хаб.р-ны'!AA71</f>
        <v>0</v>
      </c>
      <c r="P67" s="15">
        <f>'Хаб.р-ны'!AB71</f>
        <v>0</v>
      </c>
      <c r="Q67" s="15">
        <f>'Хаб.р-ны'!AC71</f>
        <v>0</v>
      </c>
      <c r="R67" s="15">
        <f>'Хаб.р-ны'!AD71</f>
        <v>0</v>
      </c>
      <c r="S67" s="15">
        <f>'Хаб.р-ны'!AU71</f>
        <v>591</v>
      </c>
      <c r="T67" s="15">
        <f>'Хаб.р-ны'!AV71</f>
        <v>591</v>
      </c>
      <c r="U67" s="15">
        <f>'Хаб.р-ны'!AW71</f>
        <v>294</v>
      </c>
      <c r="V67" s="15">
        <f>'Хаб.р-ны'!AX71</f>
        <v>49.746192893401016</v>
      </c>
      <c r="W67" s="15">
        <f>'Хаб.р-ны'!AY71</f>
        <v>90</v>
      </c>
      <c r="X67" s="15">
        <f>'Хаб.р-ны'!AZ71</f>
        <v>90</v>
      </c>
      <c r="Y67" s="15">
        <f>'Хаб.р-ны'!BA71</f>
        <v>150</v>
      </c>
      <c r="Z67" s="15">
        <f>'Хаб.р-ны'!BB71</f>
        <v>166.66666666666669</v>
      </c>
      <c r="AA67" s="15">
        <f>'Хаб.р-ны'!BK71</f>
        <v>256</v>
      </c>
      <c r="AB67" s="15">
        <f>'Хаб.р-ны'!BL71</f>
        <v>256</v>
      </c>
      <c r="AC67" s="15">
        <f>'Хаб.р-ны'!BM71</f>
        <v>236</v>
      </c>
      <c r="AD67" s="15">
        <f>'Хаб.р-ны'!BN71</f>
        <v>92.1875</v>
      </c>
      <c r="AE67" s="15">
        <f>Комсомольск!BO71</f>
        <v>2247</v>
      </c>
      <c r="AF67" s="15">
        <f>Комсомольск!BP71</f>
        <v>2247</v>
      </c>
      <c r="AG67" s="15">
        <f>Комсомольск!BQ71</f>
        <v>2671</v>
      </c>
      <c r="AH67" s="15">
        <f>Комсомольск!BR71</f>
        <v>118.86960391633288</v>
      </c>
      <c r="AI67" s="15">
        <f>'районы КП, СП'!K71</f>
        <v>489</v>
      </c>
      <c r="AJ67" s="15">
        <f>'районы КП, СП'!L71</f>
        <v>489</v>
      </c>
      <c r="AK67" s="15">
        <f>'районы КП, СП'!M71</f>
        <v>591</v>
      </c>
      <c r="AL67" s="15">
        <f>'районы КП, СП'!N71</f>
        <v>120.85889570552146</v>
      </c>
      <c r="AM67" s="15">
        <f>'районы КП, СП'!W71</f>
        <v>150</v>
      </c>
      <c r="AN67" s="15">
        <f>'районы КП, СП'!X71</f>
        <v>150</v>
      </c>
      <c r="AO67" s="15">
        <f>'районы КП, СП'!Y71</f>
        <v>147</v>
      </c>
      <c r="AP67" s="15">
        <f>'районы КП, СП'!Z71</f>
        <v>98</v>
      </c>
      <c r="AQ67" s="15">
        <f>'районы КП, СП'!AA71</f>
        <v>45</v>
      </c>
      <c r="AR67" s="15">
        <f>'районы КП, СП'!AB71</f>
        <v>45</v>
      </c>
      <c r="AS67" s="15">
        <f>'районы КП, СП'!AC71</f>
        <v>313</v>
      </c>
      <c r="AT67" s="15">
        <f>'районы КП, СП'!AD71</f>
        <v>695.55555555555554</v>
      </c>
      <c r="AU67" s="15">
        <f>'районы КП, СП'!AM71</f>
        <v>700</v>
      </c>
      <c r="AV67" s="15">
        <f>'районы КП, СП'!AN71</f>
        <v>700</v>
      </c>
      <c r="AW67" s="15">
        <f>'районы КП, СП'!AO71</f>
        <v>290</v>
      </c>
      <c r="AX67" s="15">
        <f>'районы КП, СП'!AP71</f>
        <v>41.428571428571431</v>
      </c>
      <c r="AY67" s="15">
        <f>'районы КП, СП'!BC71</f>
        <v>257</v>
      </c>
      <c r="AZ67" s="15">
        <f>'районы КП, СП'!BD71</f>
        <v>257</v>
      </c>
      <c r="BA67" s="15">
        <f>'районы КП, СП'!BE71</f>
        <v>134</v>
      </c>
      <c r="BB67" s="15">
        <f>'районы КП, СП'!BF71</f>
        <v>52.14007782101168</v>
      </c>
      <c r="BC67" s="15">
        <f>'районы КП, СП'!BG71</f>
        <v>20</v>
      </c>
      <c r="BD67" s="15">
        <f>'районы КП, СП'!BH71</f>
        <v>20</v>
      </c>
      <c r="BE67" s="15">
        <f>'районы КП, СП'!BI71</f>
        <v>10</v>
      </c>
      <c r="BF67" s="15">
        <f>'районы КП, СП'!BJ71</f>
        <v>50</v>
      </c>
      <c r="BG67" s="15">
        <f>'районы НП, ЧП'!K71</f>
        <v>462</v>
      </c>
      <c r="BH67" s="15">
        <f>'районы НП, ЧП'!L71</f>
        <v>462</v>
      </c>
      <c r="BI67" s="15">
        <f>'районы НП, ЧП'!M71</f>
        <v>230</v>
      </c>
      <c r="BJ67" s="15">
        <f>'районы НП, ЧП'!N71</f>
        <v>49.783549783549788</v>
      </c>
      <c r="BK67" s="15">
        <f>'районы НП, ЧП'!AA71</f>
        <v>165</v>
      </c>
      <c r="BL67" s="15">
        <f>'районы НП, ЧП'!AB71</f>
        <v>165</v>
      </c>
      <c r="BM67" s="15">
        <f>'районы НП, ЧП'!AC71</f>
        <v>54</v>
      </c>
      <c r="BN67" s="15">
        <f>'районы НП, ЧП'!AD71</f>
        <v>32.727272727272727</v>
      </c>
      <c r="BO67" s="15">
        <f>'районы НП, ЧП'!AE71</f>
        <v>15</v>
      </c>
      <c r="BP67" s="15">
        <f>'районы НП, ЧП'!AF71</f>
        <v>15</v>
      </c>
      <c r="BQ67" s="15">
        <f>'районы НП, ЧП'!AG71</f>
        <v>97</v>
      </c>
      <c r="BR67" s="15">
        <f>'районы НП, ЧП'!AH71</f>
        <v>646.66666666666663</v>
      </c>
      <c r="BS67" s="15">
        <f>'районы НП, ЧП'!AI71</f>
        <v>26</v>
      </c>
      <c r="BT67" s="15">
        <f>'районы НП, ЧП'!AJ71</f>
        <v>26</v>
      </c>
      <c r="BU67" s="15">
        <f>'районы НП, ЧП'!AK71</f>
        <v>26</v>
      </c>
      <c r="BV67" s="15">
        <f>'районы НП, ЧП'!AL71</f>
        <v>100</v>
      </c>
      <c r="BW67" s="15">
        <f>'районы НП, ЧП'!AM71</f>
        <v>52</v>
      </c>
      <c r="BX67" s="15">
        <f>'районы НП, ЧП'!AN71</f>
        <v>52</v>
      </c>
      <c r="BY67" s="15">
        <f>'районы НП, ЧП'!AO71</f>
        <v>33</v>
      </c>
      <c r="BZ67" s="15">
        <f>'районы НП, ЧП'!AP71</f>
        <v>63.46153846153846</v>
      </c>
      <c r="CA67" s="15">
        <f>'районы НП, ЧП'!AU71</f>
        <v>47</v>
      </c>
      <c r="CB67" s="15">
        <f>'районы НП, ЧП'!AV71</f>
        <v>47</v>
      </c>
      <c r="CC67" s="15">
        <f>'районы НП, ЧП'!AW71</f>
        <v>2</v>
      </c>
      <c r="CD67" s="15">
        <f>'районы НП, ЧП'!AX71</f>
        <v>4.2553191489361701</v>
      </c>
      <c r="CE67" s="292">
        <f t="shared" si="1"/>
        <v>7990</v>
      </c>
      <c r="CF67" s="292">
        <f t="shared" si="2"/>
        <v>7990</v>
      </c>
      <c r="CG67" s="292">
        <f t="shared" si="2"/>
        <v>7318</v>
      </c>
      <c r="CH67" s="293">
        <f t="shared" si="3"/>
        <v>91.589486858573224</v>
      </c>
    </row>
    <row r="68" spans="1:87" ht="47.25" x14ac:dyDescent="0.2">
      <c r="A68" s="32" t="s">
        <v>172</v>
      </c>
      <c r="B68" s="60" t="s">
        <v>339</v>
      </c>
      <c r="C68" s="15">
        <f>КЛПУ!BS72</f>
        <v>0</v>
      </c>
      <c r="D68" s="15">
        <f>КЛПУ!BT72</f>
        <v>0</v>
      </c>
      <c r="E68" s="15">
        <f>КЛПУ!BU72</f>
        <v>0</v>
      </c>
      <c r="F68" s="15">
        <f>КЛПУ!BV72</f>
        <v>0</v>
      </c>
      <c r="G68" s="15">
        <f>Хабаровск!EY72</f>
        <v>2686</v>
      </c>
      <c r="H68" s="15">
        <f>Хабаровск!EZ72</f>
        <v>2686</v>
      </c>
      <c r="I68" s="15">
        <f>Хабаровск!FA72</f>
        <v>3248</v>
      </c>
      <c r="J68" s="15">
        <f>Хабаровск!FB72</f>
        <v>120.92330603127326</v>
      </c>
      <c r="K68" s="15">
        <f>'Хаб.р-ны'!K72</f>
        <v>240</v>
      </c>
      <c r="L68" s="15">
        <f>'Хаб.р-ны'!L72</f>
        <v>240</v>
      </c>
      <c r="M68" s="15">
        <f>'Хаб.р-ны'!M72</f>
        <v>7</v>
      </c>
      <c r="N68" s="15">
        <f>'Хаб.р-ны'!N72</f>
        <v>2.9166666666666665</v>
      </c>
      <c r="O68" s="15">
        <f>'Хаб.р-ны'!AA72</f>
        <v>0</v>
      </c>
      <c r="P68" s="15">
        <f>'Хаб.р-ны'!AB72</f>
        <v>0</v>
      </c>
      <c r="Q68" s="15">
        <f>'Хаб.р-ны'!AC72</f>
        <v>0</v>
      </c>
      <c r="R68" s="15">
        <f>'Хаб.р-ны'!AD72</f>
        <v>0</v>
      </c>
      <c r="S68" s="15">
        <f>'Хаб.р-ны'!AU72</f>
        <v>555</v>
      </c>
      <c r="T68" s="15">
        <f>'Хаб.р-ны'!AV72</f>
        <v>555</v>
      </c>
      <c r="U68" s="15">
        <f>'Хаб.р-ны'!AW72</f>
        <v>647</v>
      </c>
      <c r="V68" s="15">
        <f>'Хаб.р-ны'!AX72</f>
        <v>116.57657657657658</v>
      </c>
      <c r="W68" s="15">
        <f>'Хаб.р-ны'!AY72</f>
        <v>360</v>
      </c>
      <c r="X68" s="15">
        <f>'Хаб.р-ны'!AZ72</f>
        <v>360</v>
      </c>
      <c r="Y68" s="15">
        <f>'Хаб.р-ны'!BA72</f>
        <v>211</v>
      </c>
      <c r="Z68" s="15">
        <f>'Хаб.р-ны'!BB72</f>
        <v>58.611111111111114</v>
      </c>
      <c r="AA68" s="15">
        <f>'Хаб.р-ны'!BK72</f>
        <v>430</v>
      </c>
      <c r="AB68" s="15">
        <f>'Хаб.р-ны'!BL72</f>
        <v>430</v>
      </c>
      <c r="AC68" s="15">
        <f>'Хаб.р-ны'!BM72</f>
        <v>240</v>
      </c>
      <c r="AD68" s="15">
        <f>'Хаб.р-ны'!BN72</f>
        <v>55.813953488372093</v>
      </c>
      <c r="AE68" s="15">
        <f>Комсомольск!BO72</f>
        <v>1560</v>
      </c>
      <c r="AF68" s="15">
        <f>Комсомольск!BP72</f>
        <v>1560</v>
      </c>
      <c r="AG68" s="15">
        <f>Комсомольск!BQ72</f>
        <v>1632</v>
      </c>
      <c r="AH68" s="15">
        <f>Комсомольск!BR72</f>
        <v>104.61538461538463</v>
      </c>
      <c r="AI68" s="15">
        <f>'районы КП, СП'!K72</f>
        <v>632</v>
      </c>
      <c r="AJ68" s="15">
        <f>'районы КП, СП'!L72</f>
        <v>632</v>
      </c>
      <c r="AK68" s="15">
        <f>'районы КП, СП'!M72</f>
        <v>728</v>
      </c>
      <c r="AL68" s="15">
        <f>'районы КП, СП'!N72</f>
        <v>115.18987341772151</v>
      </c>
      <c r="AM68" s="15">
        <f>'районы КП, СП'!W72</f>
        <v>160</v>
      </c>
      <c r="AN68" s="15">
        <f>'районы КП, СП'!X72</f>
        <v>160</v>
      </c>
      <c r="AO68" s="15">
        <f>'районы КП, СП'!Y72</f>
        <v>163</v>
      </c>
      <c r="AP68" s="15">
        <f>'районы КП, СП'!Z72</f>
        <v>101.875</v>
      </c>
      <c r="AQ68" s="15">
        <f>'районы КП, СП'!AA72</f>
        <v>60</v>
      </c>
      <c r="AR68" s="15">
        <f>'районы КП, СП'!AB72</f>
        <v>60</v>
      </c>
      <c r="AS68" s="15">
        <f>'районы КП, СП'!AC72</f>
        <v>504</v>
      </c>
      <c r="AT68" s="15">
        <f>'районы КП, СП'!AD72</f>
        <v>840</v>
      </c>
      <c r="AU68" s="15">
        <f>'районы КП, СП'!AM72</f>
        <v>737</v>
      </c>
      <c r="AV68" s="15">
        <f>'районы КП, СП'!AN72</f>
        <v>737</v>
      </c>
      <c r="AW68" s="15">
        <f>'районы КП, СП'!AO72</f>
        <v>389</v>
      </c>
      <c r="AX68" s="15">
        <f>'районы КП, СП'!AP72</f>
        <v>52.781546811397561</v>
      </c>
      <c r="AY68" s="15">
        <f>'районы КП, СП'!BC72</f>
        <v>811</v>
      </c>
      <c r="AZ68" s="15">
        <f>'районы КП, СП'!BD72</f>
        <v>811</v>
      </c>
      <c r="BA68" s="15">
        <f>'районы КП, СП'!BE72</f>
        <v>234</v>
      </c>
      <c r="BB68" s="15">
        <f>'районы КП, СП'!BF72</f>
        <v>28.853267570900123</v>
      </c>
      <c r="BC68" s="15">
        <f>'районы КП, СП'!BG72</f>
        <v>17</v>
      </c>
      <c r="BD68" s="15">
        <f>'районы КП, СП'!BH72</f>
        <v>17</v>
      </c>
      <c r="BE68" s="15">
        <f>'районы КП, СП'!BI72</f>
        <v>17</v>
      </c>
      <c r="BF68" s="15">
        <f>'районы КП, СП'!BJ72</f>
        <v>100</v>
      </c>
      <c r="BG68" s="15">
        <f>'районы НП, ЧП'!K72</f>
        <v>393</v>
      </c>
      <c r="BH68" s="15">
        <f>'районы НП, ЧП'!L72</f>
        <v>393</v>
      </c>
      <c r="BI68" s="15">
        <f>'районы НП, ЧП'!M72</f>
        <v>324</v>
      </c>
      <c r="BJ68" s="15">
        <f>'районы НП, ЧП'!N72</f>
        <v>82.44274809160305</v>
      </c>
      <c r="BK68" s="15">
        <f>'районы НП, ЧП'!AA72</f>
        <v>198</v>
      </c>
      <c r="BL68" s="15">
        <f>'районы НП, ЧП'!AB72</f>
        <v>198</v>
      </c>
      <c r="BM68" s="15">
        <f>'районы НП, ЧП'!AC72</f>
        <v>130</v>
      </c>
      <c r="BN68" s="15">
        <f>'районы НП, ЧП'!AD72</f>
        <v>65.656565656565661</v>
      </c>
      <c r="BO68" s="15">
        <f>'районы НП, ЧП'!AE72</f>
        <v>25</v>
      </c>
      <c r="BP68" s="15">
        <f>'районы НП, ЧП'!AF72</f>
        <v>25</v>
      </c>
      <c r="BQ68" s="15">
        <f>'районы НП, ЧП'!AG72</f>
        <v>158</v>
      </c>
      <c r="BR68" s="15">
        <f>'районы НП, ЧП'!AH72</f>
        <v>632</v>
      </c>
      <c r="BS68" s="15">
        <f>'районы НП, ЧП'!AI72</f>
        <v>29</v>
      </c>
      <c r="BT68" s="15">
        <f>'районы НП, ЧП'!AJ72</f>
        <v>29</v>
      </c>
      <c r="BU68" s="15">
        <f>'районы НП, ЧП'!AK72</f>
        <v>19</v>
      </c>
      <c r="BV68" s="15">
        <f>'районы НП, ЧП'!AL72</f>
        <v>65.517241379310349</v>
      </c>
      <c r="BW68" s="15">
        <f>'районы НП, ЧП'!AM72</f>
        <v>56</v>
      </c>
      <c r="BX68" s="15">
        <f>'районы НП, ЧП'!AN72</f>
        <v>56</v>
      </c>
      <c r="BY68" s="15">
        <f>'районы НП, ЧП'!AO72</f>
        <v>91</v>
      </c>
      <c r="BZ68" s="15">
        <f>'районы НП, ЧП'!AP72</f>
        <v>162.5</v>
      </c>
      <c r="CA68" s="15">
        <f>'районы НП, ЧП'!AU72</f>
        <v>40</v>
      </c>
      <c r="CB68" s="15">
        <f>'районы НП, ЧП'!AV72</f>
        <v>40</v>
      </c>
      <c r="CC68" s="15">
        <f>'районы НП, ЧП'!AW72</f>
        <v>4</v>
      </c>
      <c r="CD68" s="15">
        <f>'районы НП, ЧП'!AX72</f>
        <v>10</v>
      </c>
      <c r="CE68" s="292">
        <f t="shared" si="1"/>
        <v>8989</v>
      </c>
      <c r="CF68" s="292">
        <f t="shared" si="2"/>
        <v>8989</v>
      </c>
      <c r="CG68" s="292">
        <f t="shared" si="2"/>
        <v>8746</v>
      </c>
      <c r="CH68" s="293">
        <f t="shared" si="3"/>
        <v>97.296695961731004</v>
      </c>
    </row>
    <row r="69" spans="1:87" ht="94.5" x14ac:dyDescent="0.2">
      <c r="A69" s="32" t="s">
        <v>173</v>
      </c>
      <c r="B69" s="60" t="s">
        <v>339</v>
      </c>
      <c r="C69" s="15">
        <f>КЛПУ!BS73</f>
        <v>0</v>
      </c>
      <c r="D69" s="15">
        <f>КЛПУ!BT73</f>
        <v>0</v>
      </c>
      <c r="E69" s="15">
        <f>КЛПУ!BU73</f>
        <v>0</v>
      </c>
      <c r="F69" s="15">
        <f>КЛПУ!BV73</f>
        <v>0</v>
      </c>
      <c r="G69" s="15">
        <f>Хабаровск!EY73</f>
        <v>1235</v>
      </c>
      <c r="H69" s="15">
        <f>Хабаровск!EZ73</f>
        <v>1235</v>
      </c>
      <c r="I69" s="15">
        <f>Хабаровск!FA73</f>
        <v>337</v>
      </c>
      <c r="J69" s="15">
        <f>Хабаровск!FB73</f>
        <v>27.287449392712549</v>
      </c>
      <c r="K69" s="15">
        <f>'Хаб.р-ны'!K73</f>
        <v>107</v>
      </c>
      <c r="L69" s="15">
        <f>'Хаб.р-ны'!L73</f>
        <v>107</v>
      </c>
      <c r="M69" s="15">
        <f>'Хаб.р-ны'!M73</f>
        <v>0</v>
      </c>
      <c r="N69" s="15">
        <f>'Хаб.р-ны'!N73</f>
        <v>0</v>
      </c>
      <c r="O69" s="15">
        <f>'Хаб.р-ны'!AA73</f>
        <v>0</v>
      </c>
      <c r="P69" s="15">
        <f>'Хаб.р-ны'!AB73</f>
        <v>0</v>
      </c>
      <c r="Q69" s="15">
        <f>'Хаб.р-ны'!AC73</f>
        <v>0</v>
      </c>
      <c r="R69" s="15">
        <f>'Хаб.р-ны'!AD73</f>
        <v>0</v>
      </c>
      <c r="S69" s="15">
        <f>'Хаб.р-ны'!AU73</f>
        <v>661</v>
      </c>
      <c r="T69" s="15">
        <f>'Хаб.р-ны'!AV73</f>
        <v>661</v>
      </c>
      <c r="U69" s="15">
        <f>'Хаб.р-ны'!AW73</f>
        <v>4</v>
      </c>
      <c r="V69" s="15">
        <f>'Хаб.р-ны'!AX73</f>
        <v>0.60514372163388808</v>
      </c>
      <c r="W69" s="15">
        <f>'Хаб.р-ны'!AY73</f>
        <v>0</v>
      </c>
      <c r="X69" s="15">
        <f>'Хаб.р-ны'!AZ73</f>
        <v>0</v>
      </c>
      <c r="Y69" s="15">
        <f>'Хаб.р-ны'!BA73</f>
        <v>1</v>
      </c>
      <c r="Z69" s="15">
        <f>'Хаб.р-ны'!BB73</f>
        <v>0</v>
      </c>
      <c r="AA69" s="15">
        <f>'Хаб.р-ны'!BK73</f>
        <v>288</v>
      </c>
      <c r="AB69" s="15">
        <f>'Хаб.р-ны'!BL73</f>
        <v>288</v>
      </c>
      <c r="AC69" s="15">
        <f>'Хаб.р-ны'!BM73</f>
        <v>0</v>
      </c>
      <c r="AD69" s="15">
        <f>'Хаб.р-ны'!BN73</f>
        <v>0</v>
      </c>
      <c r="AE69" s="15">
        <f>Комсомольск!BO73</f>
        <v>1756</v>
      </c>
      <c r="AF69" s="15">
        <f>Комсомольск!BP73</f>
        <v>1756</v>
      </c>
      <c r="AG69" s="15">
        <f>Комсомольск!BQ73</f>
        <v>682</v>
      </c>
      <c r="AH69" s="15">
        <f>Комсомольск!BR73</f>
        <v>38.838268792710707</v>
      </c>
      <c r="AI69" s="15">
        <f>'районы КП, СП'!K73</f>
        <v>378</v>
      </c>
      <c r="AJ69" s="15">
        <f>'районы КП, СП'!L73</f>
        <v>378</v>
      </c>
      <c r="AK69" s="15">
        <f>'районы КП, СП'!M73</f>
        <v>0</v>
      </c>
      <c r="AL69" s="15">
        <f>'районы КП, СП'!N73</f>
        <v>0</v>
      </c>
      <c r="AM69" s="15">
        <f>'районы КП, СП'!W73</f>
        <v>100</v>
      </c>
      <c r="AN69" s="15">
        <f>'районы КП, СП'!X73</f>
        <v>100</v>
      </c>
      <c r="AO69" s="15">
        <f>'районы КП, СП'!Y73</f>
        <v>1</v>
      </c>
      <c r="AP69" s="15">
        <f>'районы КП, СП'!Z73</f>
        <v>1</v>
      </c>
      <c r="AQ69" s="15">
        <f>'районы КП, СП'!AA73</f>
        <v>110</v>
      </c>
      <c r="AR69" s="15">
        <f>'районы КП, СП'!AB73</f>
        <v>110</v>
      </c>
      <c r="AS69" s="15">
        <f>'районы КП, СП'!AC73</f>
        <v>31</v>
      </c>
      <c r="AT69" s="15">
        <f>'районы КП, СП'!AD73</f>
        <v>28.18181818181818</v>
      </c>
      <c r="AU69" s="15">
        <f>'районы КП, СП'!AM73</f>
        <v>270</v>
      </c>
      <c r="AV69" s="15">
        <f>'районы КП, СП'!AN73</f>
        <v>270</v>
      </c>
      <c r="AW69" s="15">
        <f>'районы КП, СП'!AO73</f>
        <v>0</v>
      </c>
      <c r="AX69" s="15">
        <f>'районы КП, СП'!AP73</f>
        <v>0</v>
      </c>
      <c r="AY69" s="15">
        <f>'районы КП, СП'!BC73</f>
        <v>0</v>
      </c>
      <c r="AZ69" s="15">
        <f>'районы КП, СП'!BD73</f>
        <v>0</v>
      </c>
      <c r="BA69" s="15">
        <f>'районы КП, СП'!BE73</f>
        <v>0</v>
      </c>
      <c r="BB69" s="15">
        <f>'районы КП, СП'!BF73</f>
        <v>0</v>
      </c>
      <c r="BC69" s="15">
        <f>'районы КП, СП'!BG73</f>
        <v>15</v>
      </c>
      <c r="BD69" s="15">
        <f>'районы КП, СП'!BH73</f>
        <v>15</v>
      </c>
      <c r="BE69" s="15">
        <f>'районы КП, СП'!BI73</f>
        <v>0</v>
      </c>
      <c r="BF69" s="15">
        <f>'районы КП, СП'!BJ73</f>
        <v>0</v>
      </c>
      <c r="BG69" s="15">
        <f>'районы НП, ЧП'!K73</f>
        <v>383</v>
      </c>
      <c r="BH69" s="15">
        <f>'районы НП, ЧП'!L73</f>
        <v>383</v>
      </c>
      <c r="BI69" s="15">
        <f>'районы НП, ЧП'!M73</f>
        <v>0</v>
      </c>
      <c r="BJ69" s="15">
        <f>'районы НП, ЧП'!N73</f>
        <v>0</v>
      </c>
      <c r="BK69" s="15">
        <f>'районы НП, ЧП'!AA73</f>
        <v>0</v>
      </c>
      <c r="BL69" s="15">
        <f>'районы НП, ЧП'!AB73</f>
        <v>0</v>
      </c>
      <c r="BM69" s="15">
        <f>'районы НП, ЧП'!AC73</f>
        <v>19</v>
      </c>
      <c r="BN69" s="15">
        <f>'районы НП, ЧП'!AD73</f>
        <v>0</v>
      </c>
      <c r="BO69" s="15">
        <f>'районы НП, ЧП'!AE73</f>
        <v>30</v>
      </c>
      <c r="BP69" s="15">
        <f>'районы НП, ЧП'!AF73</f>
        <v>30</v>
      </c>
      <c r="BQ69" s="15">
        <f>'районы НП, ЧП'!AG73</f>
        <v>0</v>
      </c>
      <c r="BR69" s="15">
        <f>'районы НП, ЧП'!AH73</f>
        <v>0</v>
      </c>
      <c r="BS69" s="15">
        <f>'районы НП, ЧП'!AI73</f>
        <v>32</v>
      </c>
      <c r="BT69" s="15">
        <f>'районы НП, ЧП'!AJ73</f>
        <v>32</v>
      </c>
      <c r="BU69" s="15">
        <f>'районы НП, ЧП'!AK73</f>
        <v>31</v>
      </c>
      <c r="BV69" s="15">
        <f>'районы НП, ЧП'!AL73</f>
        <v>96.875</v>
      </c>
      <c r="BW69" s="15">
        <f>'районы НП, ЧП'!AM73</f>
        <v>36</v>
      </c>
      <c r="BX69" s="15">
        <f>'районы НП, ЧП'!AN73</f>
        <v>36</v>
      </c>
      <c r="BY69" s="15">
        <f>'районы НП, ЧП'!AO73</f>
        <v>0</v>
      </c>
      <c r="BZ69" s="15">
        <f>'районы НП, ЧП'!AP73</f>
        <v>0</v>
      </c>
      <c r="CA69" s="15">
        <f>'районы НП, ЧП'!AU73</f>
        <v>20</v>
      </c>
      <c r="CB69" s="15">
        <f>'районы НП, ЧП'!AV73</f>
        <v>20</v>
      </c>
      <c r="CC69" s="15">
        <f>'районы НП, ЧП'!AW73</f>
        <v>0</v>
      </c>
      <c r="CD69" s="15">
        <f>'районы НП, ЧП'!AX73</f>
        <v>0</v>
      </c>
      <c r="CE69" s="292">
        <f t="shared" si="1"/>
        <v>5421</v>
      </c>
      <c r="CF69" s="292">
        <f t="shared" si="2"/>
        <v>5421</v>
      </c>
      <c r="CG69" s="292">
        <f t="shared" si="2"/>
        <v>1106</v>
      </c>
      <c r="CH69" s="293">
        <f t="shared" si="3"/>
        <v>20.402139826600258</v>
      </c>
    </row>
    <row r="70" spans="1:87" ht="31.5" x14ac:dyDescent="0.2">
      <c r="A70" s="39" t="s">
        <v>174</v>
      </c>
      <c r="B70" s="57" t="s">
        <v>3</v>
      </c>
      <c r="C70" s="15">
        <f>КЛПУ!BS74</f>
        <v>0</v>
      </c>
      <c r="D70" s="15">
        <f>КЛПУ!BT74</f>
        <v>0</v>
      </c>
      <c r="E70" s="15">
        <f>КЛПУ!BU74</f>
        <v>0</v>
      </c>
      <c r="F70" s="15">
        <f>КЛПУ!BV74</f>
        <v>0</v>
      </c>
      <c r="G70" s="15">
        <f>Хабаровск!EY74</f>
        <v>12557</v>
      </c>
      <c r="H70" s="15">
        <f>Хабаровск!EZ74</f>
        <v>12557</v>
      </c>
      <c r="I70" s="15">
        <f>Хабаровск!FA74</f>
        <v>9914</v>
      </c>
      <c r="J70" s="15">
        <f>Хабаровск!FB74</f>
        <v>78.951978975870034</v>
      </c>
      <c r="K70" s="15">
        <f>'Хаб.р-ны'!K74</f>
        <v>749</v>
      </c>
      <c r="L70" s="15">
        <f>'Хаб.р-ны'!L74</f>
        <v>749</v>
      </c>
      <c r="M70" s="15">
        <f>'Хаб.р-ны'!M74</f>
        <v>62</v>
      </c>
      <c r="N70" s="15">
        <f>'Хаб.р-ны'!N74</f>
        <v>8.2777036048064083</v>
      </c>
      <c r="O70" s="15">
        <f>'Хаб.р-ны'!AA74</f>
        <v>296</v>
      </c>
      <c r="P70" s="15">
        <f>'Хаб.р-ны'!AB74</f>
        <v>296</v>
      </c>
      <c r="Q70" s="15">
        <f>'Хаб.р-ны'!AC74</f>
        <v>609</v>
      </c>
      <c r="R70" s="15">
        <f>'Хаб.р-ны'!AD74</f>
        <v>205.74324324324326</v>
      </c>
      <c r="S70" s="15">
        <f>'Хаб.р-ны'!AU74</f>
        <v>114</v>
      </c>
      <c r="T70" s="15">
        <f>'Хаб.р-ны'!AV74</f>
        <v>114</v>
      </c>
      <c r="U70" s="15">
        <f>'Хаб.р-ны'!AW74</f>
        <v>2966</v>
      </c>
      <c r="V70" s="15">
        <f>'Хаб.р-ны'!AX74</f>
        <v>2601.7543859649122</v>
      </c>
      <c r="W70" s="15">
        <f>'Хаб.р-ны'!AY74</f>
        <v>545</v>
      </c>
      <c r="X70" s="15">
        <f>'Хаб.р-ны'!AZ74</f>
        <v>545</v>
      </c>
      <c r="Y70" s="15">
        <f>'Хаб.р-ны'!BA74</f>
        <v>577</v>
      </c>
      <c r="Z70" s="15">
        <f>'Хаб.р-ны'!BB74</f>
        <v>105.87155963302752</v>
      </c>
      <c r="AA70" s="15">
        <f>'Хаб.р-ны'!BK74</f>
        <v>473</v>
      </c>
      <c r="AB70" s="15">
        <f>'Хаб.р-ны'!BL74</f>
        <v>473</v>
      </c>
      <c r="AC70" s="15">
        <f>'Хаб.р-ны'!BM74</f>
        <v>242</v>
      </c>
      <c r="AD70" s="15">
        <f>'Хаб.р-ны'!BN74</f>
        <v>51.162790697674424</v>
      </c>
      <c r="AE70" s="15">
        <f>Комсомольск!BO74</f>
        <v>8831</v>
      </c>
      <c r="AF70" s="15">
        <f>Комсомольск!BP74</f>
        <v>8831</v>
      </c>
      <c r="AG70" s="15">
        <f>Комсомольск!BQ74</f>
        <v>6309</v>
      </c>
      <c r="AH70" s="15">
        <f>Комсомольск!BR74</f>
        <v>71.441512852451595</v>
      </c>
      <c r="AI70" s="15">
        <f>'районы КП, СП'!K74</f>
        <v>2476</v>
      </c>
      <c r="AJ70" s="15">
        <f>'районы КП, СП'!L74</f>
        <v>2476</v>
      </c>
      <c r="AK70" s="15">
        <f>'районы КП, СП'!M74</f>
        <v>391</v>
      </c>
      <c r="AL70" s="15">
        <f>'районы КП, СП'!N74</f>
        <v>15.791599353796446</v>
      </c>
      <c r="AM70" s="15">
        <f>'районы КП, СП'!W74</f>
        <v>373</v>
      </c>
      <c r="AN70" s="15">
        <f>'районы КП, СП'!X74</f>
        <v>373</v>
      </c>
      <c r="AO70" s="15">
        <f>'районы КП, СП'!Y74</f>
        <v>180</v>
      </c>
      <c r="AP70" s="15">
        <f>'районы КП, СП'!Z74</f>
        <v>48.257372654155496</v>
      </c>
      <c r="AQ70" s="15">
        <f>'районы КП, СП'!AA74</f>
        <v>70</v>
      </c>
      <c r="AR70" s="15">
        <f>'районы КП, СП'!AB74</f>
        <v>70</v>
      </c>
      <c r="AS70" s="15">
        <f>'районы КП, СП'!AC74</f>
        <v>1655</v>
      </c>
      <c r="AT70" s="15">
        <f>'районы КП, СП'!AD74</f>
        <v>2364.2857142857142</v>
      </c>
      <c r="AU70" s="15">
        <f>'районы КП, СП'!AM74</f>
        <v>1140</v>
      </c>
      <c r="AV70" s="15">
        <f>'районы КП, СП'!AN74</f>
        <v>1140</v>
      </c>
      <c r="AW70" s="15">
        <f>'районы КП, СП'!AO74</f>
        <v>1096</v>
      </c>
      <c r="AX70" s="15">
        <f>'районы КП, СП'!AP74</f>
        <v>96.140350877192986</v>
      </c>
      <c r="AY70" s="15">
        <f>'районы КП, СП'!BC74</f>
        <v>196</v>
      </c>
      <c r="AZ70" s="15">
        <f>'районы КП, СП'!BD74</f>
        <v>196</v>
      </c>
      <c r="BA70" s="15">
        <f>'районы КП, СП'!BE74</f>
        <v>318</v>
      </c>
      <c r="BB70" s="15">
        <f>'районы КП, СП'!BF74</f>
        <v>162.24489795918367</v>
      </c>
      <c r="BC70" s="15">
        <f>'районы КП, СП'!BG74</f>
        <v>787</v>
      </c>
      <c r="BD70" s="15">
        <f>'районы КП, СП'!BH74</f>
        <v>787</v>
      </c>
      <c r="BE70" s="15">
        <f>'районы КП, СП'!BI74</f>
        <v>0</v>
      </c>
      <c r="BF70" s="15">
        <f>'районы КП, СП'!BJ74</f>
        <v>0</v>
      </c>
      <c r="BG70" s="15">
        <f>'районы НП, ЧП'!K74</f>
        <v>480</v>
      </c>
      <c r="BH70" s="15">
        <f>'районы НП, ЧП'!L74</f>
        <v>480</v>
      </c>
      <c r="BI70" s="15">
        <f>'районы НП, ЧП'!M74</f>
        <v>523</v>
      </c>
      <c r="BJ70" s="15">
        <f>'районы НП, ЧП'!N74</f>
        <v>108.95833333333333</v>
      </c>
      <c r="BK70" s="15">
        <f>'районы НП, ЧП'!AA74</f>
        <v>697</v>
      </c>
      <c r="BL70" s="15">
        <f>'районы НП, ЧП'!AB74</f>
        <v>697</v>
      </c>
      <c r="BM70" s="15">
        <f>'районы НП, ЧП'!AC74</f>
        <v>904</v>
      </c>
      <c r="BN70" s="15">
        <f>'районы НП, ЧП'!AD74</f>
        <v>129.69870875179339</v>
      </c>
      <c r="BO70" s="15">
        <f>'районы НП, ЧП'!AE74</f>
        <v>445</v>
      </c>
      <c r="BP70" s="15">
        <f>'районы НП, ЧП'!AF74</f>
        <v>445</v>
      </c>
      <c r="BQ70" s="15">
        <f>'районы НП, ЧП'!AG74</f>
        <v>462</v>
      </c>
      <c r="BR70" s="15">
        <f>'районы НП, ЧП'!AH74</f>
        <v>103.82022471910113</v>
      </c>
      <c r="BS70" s="15">
        <f>'районы НП, ЧП'!AI74</f>
        <v>84</v>
      </c>
      <c r="BT70" s="15">
        <f>'районы НП, ЧП'!AJ74</f>
        <v>84</v>
      </c>
      <c r="BU70" s="15">
        <f>'районы НП, ЧП'!AK74</f>
        <v>77</v>
      </c>
      <c r="BV70" s="15">
        <f>'районы НП, ЧП'!AL74</f>
        <v>91.666666666666657</v>
      </c>
      <c r="BW70" s="15">
        <f>'районы НП, ЧП'!AM74</f>
        <v>658</v>
      </c>
      <c r="BX70" s="15">
        <f>'районы НП, ЧП'!AN74</f>
        <v>658</v>
      </c>
      <c r="BY70" s="15">
        <f>'районы НП, ЧП'!AO74</f>
        <v>538</v>
      </c>
      <c r="BZ70" s="15">
        <f>'районы НП, ЧП'!AP74</f>
        <v>81.762917933130694</v>
      </c>
      <c r="CA70" s="15">
        <f>'районы НП, ЧП'!AU74</f>
        <v>115</v>
      </c>
      <c r="CB70" s="15">
        <f>'районы НП, ЧП'!AV74</f>
        <v>115</v>
      </c>
      <c r="CC70" s="15">
        <f>'районы НП, ЧП'!AW74</f>
        <v>0</v>
      </c>
      <c r="CD70" s="15">
        <f>'районы НП, ЧП'!AX74</f>
        <v>0</v>
      </c>
      <c r="CE70" s="292">
        <f t="shared" si="1"/>
        <v>31086</v>
      </c>
      <c r="CF70" s="292">
        <f t="shared" si="2"/>
        <v>31086</v>
      </c>
      <c r="CG70" s="292">
        <f t="shared" si="2"/>
        <v>26823</v>
      </c>
      <c r="CH70" s="293">
        <f t="shared" si="3"/>
        <v>86.286431190889786</v>
      </c>
      <c r="CI70">
        <v>-210</v>
      </c>
    </row>
    <row r="71" spans="1:87" ht="31.5" x14ac:dyDescent="0.2">
      <c r="A71" s="32" t="s">
        <v>175</v>
      </c>
      <c r="B71" s="60" t="s">
        <v>339</v>
      </c>
      <c r="C71" s="15">
        <f>КЛПУ!BS75</f>
        <v>0</v>
      </c>
      <c r="D71" s="15">
        <f>КЛПУ!BT75</f>
        <v>0</v>
      </c>
      <c r="E71" s="15">
        <f>КЛПУ!BU75</f>
        <v>0</v>
      </c>
      <c r="F71" s="15">
        <f>КЛПУ!BV75</f>
        <v>0</v>
      </c>
      <c r="G71" s="15">
        <f>Хабаровск!EY75</f>
        <v>3666</v>
      </c>
      <c r="H71" s="15">
        <f>Хабаровск!EZ75</f>
        <v>3666</v>
      </c>
      <c r="I71" s="15">
        <f>Хабаровск!FA75</f>
        <v>3498</v>
      </c>
      <c r="J71" s="15">
        <f>Хабаровск!FB75</f>
        <v>95.417348608837969</v>
      </c>
      <c r="K71" s="15">
        <f>'Хаб.р-ны'!K75</f>
        <v>204</v>
      </c>
      <c r="L71" s="15">
        <f>'Хаб.р-ны'!L75</f>
        <v>204</v>
      </c>
      <c r="M71" s="15">
        <f>'Хаб.р-ны'!M75</f>
        <v>32</v>
      </c>
      <c r="N71" s="15">
        <f>'Хаб.р-ны'!N75</f>
        <v>15.686274509803921</v>
      </c>
      <c r="O71" s="15">
        <f>'Хаб.р-ны'!AA75</f>
        <v>120</v>
      </c>
      <c r="P71" s="15">
        <f>'Хаб.р-ны'!AB75</f>
        <v>120</v>
      </c>
      <c r="Q71" s="15">
        <f>'Хаб.р-ны'!AC75</f>
        <v>484</v>
      </c>
      <c r="R71" s="15">
        <f>'Хаб.р-ны'!AD75</f>
        <v>403.33333333333331</v>
      </c>
      <c r="S71" s="15">
        <f>'Хаб.р-ны'!AU75</f>
        <v>71</v>
      </c>
      <c r="T71" s="15">
        <f>'Хаб.р-ны'!AV75</f>
        <v>71</v>
      </c>
      <c r="U71" s="15">
        <f>'Хаб.р-ны'!AW75</f>
        <v>1022</v>
      </c>
      <c r="V71" s="15">
        <f>'Хаб.р-ны'!AX75</f>
        <v>1439.4366197183099</v>
      </c>
      <c r="W71" s="15">
        <f>'Хаб.р-ны'!AY75</f>
        <v>90</v>
      </c>
      <c r="X71" s="15">
        <f>'Хаб.р-ны'!AZ75</f>
        <v>90</v>
      </c>
      <c r="Y71" s="15">
        <f>'Хаб.р-ны'!BA75</f>
        <v>73</v>
      </c>
      <c r="Z71" s="15">
        <f>'Хаб.р-ны'!BB75</f>
        <v>81.111111111111114</v>
      </c>
      <c r="AA71" s="15">
        <f>'Хаб.р-ны'!BK75</f>
        <v>168</v>
      </c>
      <c r="AB71" s="15">
        <f>'Хаб.р-ны'!BL75</f>
        <v>168</v>
      </c>
      <c r="AC71" s="15">
        <f>'Хаб.р-ны'!BM75</f>
        <v>125</v>
      </c>
      <c r="AD71" s="15">
        <f>'Хаб.р-ны'!BN75</f>
        <v>74.404761904761912</v>
      </c>
      <c r="AE71" s="15">
        <f>Комсомольск!BO75</f>
        <v>2724</v>
      </c>
      <c r="AF71" s="15">
        <f>Комсомольск!BP75</f>
        <v>2724</v>
      </c>
      <c r="AG71" s="15">
        <f>Комсомольск!BQ75</f>
        <v>2865</v>
      </c>
      <c r="AH71" s="15">
        <f>Комсомольск!BR75</f>
        <v>105.1762114537445</v>
      </c>
      <c r="AI71" s="15">
        <f>'районы КП, СП'!K75</f>
        <v>761</v>
      </c>
      <c r="AJ71" s="15">
        <f>'районы КП, СП'!L75</f>
        <v>761</v>
      </c>
      <c r="AK71" s="15">
        <f>'районы КП, СП'!M75</f>
        <v>155</v>
      </c>
      <c r="AL71" s="15">
        <f>'районы КП, СП'!N75</f>
        <v>20.367936925098554</v>
      </c>
      <c r="AM71" s="15">
        <f>'районы КП, СП'!W75</f>
        <v>150</v>
      </c>
      <c r="AN71" s="15">
        <f>'районы КП, СП'!X75</f>
        <v>150</v>
      </c>
      <c r="AO71" s="15">
        <f>'районы КП, СП'!Y75</f>
        <v>95</v>
      </c>
      <c r="AP71" s="15">
        <f>'районы КП, СП'!Z75</f>
        <v>63.333333333333329</v>
      </c>
      <c r="AQ71" s="15">
        <f>'районы КП, СП'!AA75</f>
        <v>25</v>
      </c>
      <c r="AR71" s="15">
        <f>'районы КП, СП'!AB75</f>
        <v>25</v>
      </c>
      <c r="AS71" s="15">
        <f>'районы КП, СП'!AC75</f>
        <v>510</v>
      </c>
      <c r="AT71" s="15">
        <f>'районы КП, СП'!AD75</f>
        <v>2039.9999999999998</v>
      </c>
      <c r="AU71" s="15">
        <f>'районы КП, СП'!AM75</f>
        <v>390</v>
      </c>
      <c r="AV71" s="15">
        <f>'районы КП, СП'!AN75</f>
        <v>390</v>
      </c>
      <c r="AW71" s="15">
        <f>'районы КП, СП'!AO75</f>
        <v>300</v>
      </c>
      <c r="AX71" s="15">
        <f>'районы КП, СП'!AP75</f>
        <v>76.923076923076934</v>
      </c>
      <c r="AY71" s="15">
        <f>'районы КП, СП'!BC75</f>
        <v>60</v>
      </c>
      <c r="AZ71" s="15">
        <f>'районы КП, СП'!BD75</f>
        <v>60</v>
      </c>
      <c r="BA71" s="15">
        <f>'районы КП, СП'!BE75</f>
        <v>42</v>
      </c>
      <c r="BB71" s="15">
        <f>'районы КП, СП'!BF75</f>
        <v>70</v>
      </c>
      <c r="BC71" s="15">
        <f>'районы КП, СП'!BG75</f>
        <v>233</v>
      </c>
      <c r="BD71" s="15">
        <f>'районы КП, СП'!BH75</f>
        <v>233</v>
      </c>
      <c r="BE71" s="15">
        <f>'районы КП, СП'!BI75</f>
        <v>0</v>
      </c>
      <c r="BF71" s="15">
        <f>'районы КП, СП'!BJ75</f>
        <v>0</v>
      </c>
      <c r="BG71" s="15">
        <f>'районы НП, ЧП'!K75</f>
        <v>480</v>
      </c>
      <c r="BH71" s="15">
        <f>'районы НП, ЧП'!L75</f>
        <v>480</v>
      </c>
      <c r="BI71" s="15">
        <f>'районы НП, ЧП'!M75</f>
        <v>36</v>
      </c>
      <c r="BJ71" s="15">
        <f>'районы НП, ЧП'!N75</f>
        <v>7.5</v>
      </c>
      <c r="BK71" s="15">
        <f>'районы НП, ЧП'!AA75</f>
        <v>212</v>
      </c>
      <c r="BL71" s="15">
        <f>'районы НП, ЧП'!AB75</f>
        <v>212</v>
      </c>
      <c r="BM71" s="15">
        <f>'районы НП, ЧП'!AC75</f>
        <v>237</v>
      </c>
      <c r="BN71" s="15">
        <f>'районы НП, ЧП'!AD75</f>
        <v>111.79245283018868</v>
      </c>
      <c r="BO71" s="15">
        <f>'районы НП, ЧП'!AE75</f>
        <v>145</v>
      </c>
      <c r="BP71" s="15">
        <f>'районы НП, ЧП'!AF75</f>
        <v>145</v>
      </c>
      <c r="BQ71" s="15">
        <f>'районы НП, ЧП'!AG75</f>
        <v>184</v>
      </c>
      <c r="BR71" s="15">
        <f>'районы НП, ЧП'!AH75</f>
        <v>126.89655172413794</v>
      </c>
      <c r="BS71" s="15">
        <f>'районы НП, ЧП'!AI75</f>
        <v>30</v>
      </c>
      <c r="BT71" s="15">
        <f>'районы НП, ЧП'!AJ75</f>
        <v>30</v>
      </c>
      <c r="BU71" s="15">
        <f>'районы НП, ЧП'!AK75</f>
        <v>30</v>
      </c>
      <c r="BV71" s="15">
        <f>'районы НП, ЧП'!AL75</f>
        <v>100</v>
      </c>
      <c r="BW71" s="15">
        <f>'районы НП, ЧП'!AM75</f>
        <v>181</v>
      </c>
      <c r="BX71" s="15">
        <f>'районы НП, ЧП'!AN75</f>
        <v>181</v>
      </c>
      <c r="BY71" s="15">
        <f>'районы НП, ЧП'!AO75</f>
        <v>240</v>
      </c>
      <c r="BZ71" s="15">
        <f>'районы НП, ЧП'!AP75</f>
        <v>132.59668508287291</v>
      </c>
      <c r="CA71" s="15">
        <f>'районы НП, ЧП'!AU75</f>
        <v>47</v>
      </c>
      <c r="CB71" s="15">
        <f>'районы НП, ЧП'!AV75</f>
        <v>47</v>
      </c>
      <c r="CC71" s="15">
        <f>'районы НП, ЧП'!AW75</f>
        <v>0</v>
      </c>
      <c r="CD71" s="15">
        <f>'районы НП, ЧП'!AX75</f>
        <v>0</v>
      </c>
      <c r="CE71" s="292">
        <f t="shared" si="1"/>
        <v>9757</v>
      </c>
      <c r="CF71" s="292">
        <f t="shared" si="2"/>
        <v>9757</v>
      </c>
      <c r="CG71" s="292">
        <f t="shared" si="2"/>
        <v>9928</v>
      </c>
      <c r="CH71" s="293">
        <f t="shared" si="3"/>
        <v>101.75258788562058</v>
      </c>
    </row>
    <row r="72" spans="1:87" ht="47.25" x14ac:dyDescent="0.2">
      <c r="A72" s="32" t="s">
        <v>176</v>
      </c>
      <c r="B72" s="60" t="s">
        <v>339</v>
      </c>
      <c r="C72" s="15">
        <f>КЛПУ!BS76</f>
        <v>0</v>
      </c>
      <c r="D72" s="15">
        <f>КЛПУ!BT76</f>
        <v>0</v>
      </c>
      <c r="E72" s="15">
        <f>КЛПУ!BU76</f>
        <v>0</v>
      </c>
      <c r="F72" s="15">
        <f>КЛПУ!BV76</f>
        <v>0</v>
      </c>
      <c r="G72" s="15">
        <f>Хабаровск!EY76</f>
        <v>7897</v>
      </c>
      <c r="H72" s="15">
        <f>Хабаровск!EZ76</f>
        <v>7897</v>
      </c>
      <c r="I72" s="15">
        <f>Хабаровск!FA76</f>
        <v>6331</v>
      </c>
      <c r="J72" s="15">
        <f>Хабаровск!FB76</f>
        <v>80.169684690388749</v>
      </c>
      <c r="K72" s="15">
        <f>'Хаб.р-ны'!K76</f>
        <v>545</v>
      </c>
      <c r="L72" s="15">
        <f>'Хаб.р-ны'!L76</f>
        <v>545</v>
      </c>
      <c r="M72" s="15">
        <f>'Хаб.р-ны'!M76</f>
        <v>30</v>
      </c>
      <c r="N72" s="15">
        <f>'Хаб.р-ны'!N76</f>
        <v>5.5045871559633035</v>
      </c>
      <c r="O72" s="15">
        <f>'Хаб.р-ны'!AA76</f>
        <v>151</v>
      </c>
      <c r="P72" s="15">
        <f>'Хаб.р-ны'!AB76</f>
        <v>151</v>
      </c>
      <c r="Q72" s="15">
        <f>'Хаб.р-ны'!AC76</f>
        <v>125</v>
      </c>
      <c r="R72" s="15">
        <f>'Хаб.р-ны'!AD76</f>
        <v>82.78145695364239</v>
      </c>
      <c r="S72" s="15">
        <f>'Хаб.р-ны'!AU76</f>
        <v>22</v>
      </c>
      <c r="T72" s="15">
        <f>'Хаб.р-ны'!AV76</f>
        <v>22</v>
      </c>
      <c r="U72" s="15">
        <f>'Хаб.р-ны'!AW76</f>
        <v>1942</v>
      </c>
      <c r="V72" s="15">
        <f>'Хаб.р-ны'!AX76</f>
        <v>8827.2727272727261</v>
      </c>
      <c r="W72" s="15">
        <f>'Хаб.р-ны'!AY76</f>
        <v>455</v>
      </c>
      <c r="X72" s="15">
        <f>'Хаб.р-ны'!AZ76</f>
        <v>455</v>
      </c>
      <c r="Y72" s="15">
        <f>'Хаб.р-ны'!BA76</f>
        <v>489</v>
      </c>
      <c r="Z72" s="15">
        <f>'Хаб.р-ны'!BB76</f>
        <v>107.47252747252747</v>
      </c>
      <c r="AA72" s="15">
        <f>'Хаб.р-ны'!BK76</f>
        <v>305</v>
      </c>
      <c r="AB72" s="15">
        <f>'Хаб.р-ны'!BL76</f>
        <v>305</v>
      </c>
      <c r="AC72" s="15">
        <f>'Хаб.р-ны'!BM76</f>
        <v>117</v>
      </c>
      <c r="AD72" s="15">
        <f>'Хаб.р-ны'!BN76</f>
        <v>38.360655737704917</v>
      </c>
      <c r="AE72" s="15">
        <f>Комсомольск!BO76</f>
        <v>6107</v>
      </c>
      <c r="AF72" s="15">
        <f>Комсомольск!BP76</f>
        <v>6107</v>
      </c>
      <c r="AG72" s="15">
        <f>Комсомольск!BQ76</f>
        <v>3351</v>
      </c>
      <c r="AH72" s="15">
        <f>Комсомольск!BR76</f>
        <v>54.871458981496644</v>
      </c>
      <c r="AI72" s="15">
        <f>'районы КП, СП'!K76</f>
        <v>1715</v>
      </c>
      <c r="AJ72" s="15">
        <f>'районы КП, СП'!L76</f>
        <v>1715</v>
      </c>
      <c r="AK72" s="15">
        <f>'районы КП, СП'!M76</f>
        <v>236</v>
      </c>
      <c r="AL72" s="15">
        <f>'районы КП, СП'!N76</f>
        <v>13.760932944606413</v>
      </c>
      <c r="AM72" s="15">
        <f>'районы КП, СП'!W76</f>
        <v>160</v>
      </c>
      <c r="AN72" s="15">
        <f>'районы КП, СП'!X76</f>
        <v>160</v>
      </c>
      <c r="AO72" s="15">
        <f>'районы КП, СП'!Y76</f>
        <v>85</v>
      </c>
      <c r="AP72" s="15">
        <f>'районы КП, СП'!Z76</f>
        <v>53.125</v>
      </c>
      <c r="AQ72" s="15">
        <f>'районы КП, СП'!AA76</f>
        <v>35</v>
      </c>
      <c r="AR72" s="15">
        <f>'районы КП, СП'!AB76</f>
        <v>35</v>
      </c>
      <c r="AS72" s="15">
        <f>'районы КП, СП'!AC76</f>
        <v>1070</v>
      </c>
      <c r="AT72" s="15">
        <f>'районы КП, СП'!AD76</f>
        <v>3057.1428571428573</v>
      </c>
      <c r="AU72" s="15">
        <f>'районы КП, СП'!AM76</f>
        <v>750</v>
      </c>
      <c r="AV72" s="15">
        <f>'районы КП, СП'!AN76</f>
        <v>750</v>
      </c>
      <c r="AW72" s="15">
        <f>'районы КП, СП'!AO76</f>
        <v>796</v>
      </c>
      <c r="AX72" s="15">
        <f>'районы КП, СП'!AP76</f>
        <v>106.13333333333333</v>
      </c>
      <c r="AY72" s="15">
        <f>'районы КП, СП'!BC76</f>
        <v>84</v>
      </c>
      <c r="AZ72" s="15">
        <f>'районы КП, СП'!BD76</f>
        <v>84</v>
      </c>
      <c r="BA72" s="15">
        <f>'районы КП, СП'!BE76</f>
        <v>274</v>
      </c>
      <c r="BB72" s="15">
        <f>'районы КП, СП'!BF76</f>
        <v>326.1904761904762</v>
      </c>
      <c r="BC72" s="15">
        <f>'районы КП, СП'!BG76</f>
        <v>554</v>
      </c>
      <c r="BD72" s="15">
        <f>'районы КП, СП'!BH76</f>
        <v>554</v>
      </c>
      <c r="BE72" s="15">
        <f>'районы КП, СП'!BI76</f>
        <v>0</v>
      </c>
      <c r="BF72" s="15">
        <f>'районы КП, СП'!BJ76</f>
        <v>0</v>
      </c>
      <c r="BG72" s="15">
        <f>'районы НП, ЧП'!K76</f>
        <v>0</v>
      </c>
      <c r="BH72" s="15">
        <f>'районы НП, ЧП'!L76</f>
        <v>0</v>
      </c>
      <c r="BI72" s="15">
        <f>'районы НП, ЧП'!M76</f>
        <v>487</v>
      </c>
      <c r="BJ72" s="15">
        <f>'районы НП, ЧП'!N76</f>
        <v>0</v>
      </c>
      <c r="BK72" s="15">
        <f>'районы НП, ЧП'!AA76</f>
        <v>415</v>
      </c>
      <c r="BL72" s="15">
        <f>'районы НП, ЧП'!AB76</f>
        <v>415</v>
      </c>
      <c r="BM72" s="15">
        <f>'районы НП, ЧП'!AC76</f>
        <v>667</v>
      </c>
      <c r="BN72" s="15">
        <f>'районы НП, ЧП'!AD76</f>
        <v>160.72289156626508</v>
      </c>
      <c r="BO72" s="15">
        <f>'районы НП, ЧП'!AE76</f>
        <v>300</v>
      </c>
      <c r="BP72" s="15">
        <f>'районы НП, ЧП'!AF76</f>
        <v>300</v>
      </c>
      <c r="BQ72" s="15">
        <f>'районы НП, ЧП'!AG76</f>
        <v>276</v>
      </c>
      <c r="BR72" s="15">
        <f>'районы НП, ЧП'!AH76</f>
        <v>92</v>
      </c>
      <c r="BS72" s="15">
        <f>'районы НП, ЧП'!AI76</f>
        <v>34</v>
      </c>
      <c r="BT72" s="15">
        <f>'районы НП, ЧП'!AJ76</f>
        <v>34</v>
      </c>
      <c r="BU72" s="15">
        <f>'районы НП, ЧП'!AK76</f>
        <v>27</v>
      </c>
      <c r="BV72" s="15">
        <f>'районы НП, ЧП'!AL76</f>
        <v>79.411764705882348</v>
      </c>
      <c r="BW72" s="15">
        <f>'районы НП, ЧП'!AM76</f>
        <v>477</v>
      </c>
      <c r="BX72" s="15">
        <f>'районы НП, ЧП'!AN76</f>
        <v>477</v>
      </c>
      <c r="BY72" s="15">
        <f>'районы НП, ЧП'!AO76</f>
        <v>298</v>
      </c>
      <c r="BZ72" s="15">
        <f>'районы НП, ЧП'!AP76</f>
        <v>62.473794549266245</v>
      </c>
      <c r="CA72" s="15">
        <f>'районы НП, ЧП'!AU76</f>
        <v>60</v>
      </c>
      <c r="CB72" s="15">
        <f>'районы НП, ЧП'!AV76</f>
        <v>60</v>
      </c>
      <c r="CC72" s="15">
        <f>'районы НП, ЧП'!AW76</f>
        <v>0</v>
      </c>
      <c r="CD72" s="15">
        <f>'районы НП, ЧП'!AX76</f>
        <v>0</v>
      </c>
      <c r="CE72" s="292">
        <f t="shared" si="1"/>
        <v>20066</v>
      </c>
      <c r="CF72" s="292">
        <f t="shared" si="2"/>
        <v>20066</v>
      </c>
      <c r="CG72" s="292">
        <f t="shared" si="2"/>
        <v>16601</v>
      </c>
      <c r="CH72" s="293">
        <f t="shared" si="3"/>
        <v>82.731984451310666</v>
      </c>
    </row>
    <row r="73" spans="1:87" ht="94.5" x14ac:dyDescent="0.2">
      <c r="A73" s="32" t="s">
        <v>177</v>
      </c>
      <c r="B73" s="60" t="s">
        <v>339</v>
      </c>
      <c r="C73" s="15">
        <f>КЛПУ!BS77</f>
        <v>0</v>
      </c>
      <c r="D73" s="15">
        <f>КЛПУ!BT77</f>
        <v>0</v>
      </c>
      <c r="E73" s="15">
        <f>КЛПУ!BU77</f>
        <v>0</v>
      </c>
      <c r="F73" s="15">
        <f>КЛПУ!BV77</f>
        <v>0</v>
      </c>
      <c r="G73" s="15">
        <f>Хабаровск!EY77</f>
        <v>994</v>
      </c>
      <c r="H73" s="15">
        <f>Хабаровск!EZ77</f>
        <v>994</v>
      </c>
      <c r="I73" s="15">
        <f>Хабаровск!FA77</f>
        <v>85</v>
      </c>
      <c r="J73" s="15">
        <f>Хабаровск!FB77</f>
        <v>8.5513078470824961</v>
      </c>
      <c r="K73" s="15">
        <f>'Хаб.р-ны'!K77</f>
        <v>0</v>
      </c>
      <c r="L73" s="15">
        <f>'Хаб.р-ны'!L77</f>
        <v>0</v>
      </c>
      <c r="M73" s="15">
        <f>'Хаб.р-ны'!M77</f>
        <v>0</v>
      </c>
      <c r="N73" s="15">
        <f>'Хаб.р-ны'!N77</f>
        <v>0</v>
      </c>
      <c r="O73" s="15">
        <f>'Хаб.р-ны'!AA77</f>
        <v>25</v>
      </c>
      <c r="P73" s="15">
        <f>'Хаб.р-ны'!AB77</f>
        <v>25</v>
      </c>
      <c r="Q73" s="15">
        <f>'Хаб.р-ны'!AC77</f>
        <v>0</v>
      </c>
      <c r="R73" s="15">
        <f>'Хаб.р-ны'!AD77</f>
        <v>0</v>
      </c>
      <c r="S73" s="15">
        <f>'Хаб.р-ны'!AU77</f>
        <v>21</v>
      </c>
      <c r="T73" s="15">
        <f>'Хаб.р-ны'!AV77</f>
        <v>21</v>
      </c>
      <c r="U73" s="15">
        <f>'Хаб.р-ны'!AW77</f>
        <v>2</v>
      </c>
      <c r="V73" s="15">
        <f>'Хаб.р-ны'!AX77</f>
        <v>9.5238095238095237</v>
      </c>
      <c r="W73" s="15">
        <f>'Хаб.р-ны'!AY77</f>
        <v>0</v>
      </c>
      <c r="X73" s="15">
        <f>'Хаб.р-ны'!AZ77</f>
        <v>0</v>
      </c>
      <c r="Y73" s="15">
        <f>'Хаб.р-ны'!BA77</f>
        <v>15</v>
      </c>
      <c r="Z73" s="15">
        <f>'Хаб.р-ны'!BB77</f>
        <v>0</v>
      </c>
      <c r="AA73" s="15">
        <f>'Хаб.р-ны'!BK77</f>
        <v>0</v>
      </c>
      <c r="AB73" s="15">
        <f>'Хаб.р-ны'!BL77</f>
        <v>0</v>
      </c>
      <c r="AC73" s="15">
        <f>'Хаб.р-ны'!BM77</f>
        <v>0</v>
      </c>
      <c r="AD73" s="15">
        <f>'Хаб.р-ны'!BN77</f>
        <v>0</v>
      </c>
      <c r="AE73" s="15">
        <f>Комсомольск!BO77</f>
        <v>0</v>
      </c>
      <c r="AF73" s="15">
        <f>Комсомольск!BP77</f>
        <v>0</v>
      </c>
      <c r="AG73" s="15">
        <f>Комсомольск!BQ77</f>
        <v>93</v>
      </c>
      <c r="AH73" s="15">
        <f>Комсомольск!BR77</f>
        <v>0</v>
      </c>
      <c r="AI73" s="15">
        <f>'районы КП, СП'!K77</f>
        <v>0</v>
      </c>
      <c r="AJ73" s="15">
        <f>'районы КП, СП'!L77</f>
        <v>0</v>
      </c>
      <c r="AK73" s="15">
        <f>'районы КП, СП'!M77</f>
        <v>0</v>
      </c>
      <c r="AL73" s="15">
        <f>'районы КП, СП'!N77</f>
        <v>0</v>
      </c>
      <c r="AM73" s="15">
        <f>'районы КП, СП'!W77</f>
        <v>63</v>
      </c>
      <c r="AN73" s="15">
        <f>'районы КП, СП'!X77</f>
        <v>63</v>
      </c>
      <c r="AO73" s="15">
        <f>'районы КП, СП'!Y77</f>
        <v>0</v>
      </c>
      <c r="AP73" s="15">
        <f>'районы КП, СП'!Z77</f>
        <v>0</v>
      </c>
      <c r="AQ73" s="15">
        <f>'районы КП, СП'!AA77</f>
        <v>10</v>
      </c>
      <c r="AR73" s="15">
        <f>'районы КП, СП'!AB77</f>
        <v>10</v>
      </c>
      <c r="AS73" s="15">
        <f>'районы КП, СП'!AC77</f>
        <v>75</v>
      </c>
      <c r="AT73" s="15">
        <f>'районы КП, СП'!AD77</f>
        <v>750</v>
      </c>
      <c r="AU73" s="15">
        <f>'районы КП, СП'!AM77</f>
        <v>0</v>
      </c>
      <c r="AV73" s="15">
        <f>'районы КП, СП'!AN77</f>
        <v>0</v>
      </c>
      <c r="AW73" s="15">
        <f>'районы КП, СП'!AO77</f>
        <v>0</v>
      </c>
      <c r="AX73" s="15">
        <f>'районы КП, СП'!AP77</f>
        <v>0</v>
      </c>
      <c r="AY73" s="15">
        <f>'районы КП, СП'!BC77</f>
        <v>52</v>
      </c>
      <c r="AZ73" s="15">
        <f>'районы КП, СП'!BD77</f>
        <v>52</v>
      </c>
      <c r="BA73" s="15">
        <f>'районы КП, СП'!BE77</f>
        <v>2</v>
      </c>
      <c r="BB73" s="15">
        <f>'районы КП, СП'!BF77</f>
        <v>3.8461538461538463</v>
      </c>
      <c r="BC73" s="15">
        <f>'районы КП, СП'!BG77</f>
        <v>0</v>
      </c>
      <c r="BD73" s="15">
        <f>'районы КП, СП'!BH77</f>
        <v>0</v>
      </c>
      <c r="BE73" s="15">
        <f>'районы КП, СП'!BI77</f>
        <v>0</v>
      </c>
      <c r="BF73" s="15">
        <f>'районы КП, СП'!BJ77</f>
        <v>0</v>
      </c>
      <c r="BG73" s="15">
        <f>'районы НП, ЧП'!K77</f>
        <v>0</v>
      </c>
      <c r="BH73" s="15">
        <f>'районы НП, ЧП'!L77</f>
        <v>0</v>
      </c>
      <c r="BI73" s="15">
        <f>'районы НП, ЧП'!M77</f>
        <v>0</v>
      </c>
      <c r="BJ73" s="15">
        <f>'районы НП, ЧП'!N77</f>
        <v>0</v>
      </c>
      <c r="BK73" s="15">
        <f>'районы НП, ЧП'!AA77</f>
        <v>70</v>
      </c>
      <c r="BL73" s="15">
        <f>'районы НП, ЧП'!AB77</f>
        <v>70</v>
      </c>
      <c r="BM73" s="15">
        <f>'районы НП, ЧП'!AC77</f>
        <v>0</v>
      </c>
      <c r="BN73" s="15">
        <f>'районы НП, ЧП'!AD77</f>
        <v>0</v>
      </c>
      <c r="BO73" s="15">
        <f>'районы НП, ЧП'!AE77</f>
        <v>0</v>
      </c>
      <c r="BP73" s="15">
        <f>'районы НП, ЧП'!AF77</f>
        <v>0</v>
      </c>
      <c r="BQ73" s="15">
        <f>'районы НП, ЧП'!AG77</f>
        <v>2</v>
      </c>
      <c r="BR73" s="15">
        <f>'районы НП, ЧП'!AH77</f>
        <v>0</v>
      </c>
      <c r="BS73" s="15">
        <f>'районы НП, ЧП'!AI77</f>
        <v>20</v>
      </c>
      <c r="BT73" s="15">
        <f>'районы НП, ЧП'!AJ77</f>
        <v>20</v>
      </c>
      <c r="BU73" s="15">
        <f>'районы НП, ЧП'!AK77</f>
        <v>20</v>
      </c>
      <c r="BV73" s="15">
        <f>'районы НП, ЧП'!AL77</f>
        <v>100</v>
      </c>
      <c r="BW73" s="15">
        <f>'районы НП, ЧП'!AM77</f>
        <v>0</v>
      </c>
      <c r="BX73" s="15">
        <f>'районы НП, ЧП'!AN77</f>
        <v>0</v>
      </c>
      <c r="BY73" s="15">
        <f>'районы НП, ЧП'!AO77</f>
        <v>0</v>
      </c>
      <c r="BZ73" s="15">
        <f>'районы НП, ЧП'!AP77</f>
        <v>0</v>
      </c>
      <c r="CA73" s="15">
        <f>'районы НП, ЧП'!AU77</f>
        <v>8</v>
      </c>
      <c r="CB73" s="15">
        <f>'районы НП, ЧП'!AV77</f>
        <v>8</v>
      </c>
      <c r="CC73" s="15">
        <f>'районы НП, ЧП'!AW77</f>
        <v>0</v>
      </c>
      <c r="CD73" s="15">
        <f>'районы НП, ЧП'!AX77</f>
        <v>0</v>
      </c>
      <c r="CE73" s="292">
        <f t="shared" si="1"/>
        <v>1263</v>
      </c>
      <c r="CF73" s="292">
        <f t="shared" si="2"/>
        <v>1263</v>
      </c>
      <c r="CG73" s="292">
        <f t="shared" si="2"/>
        <v>294</v>
      </c>
      <c r="CH73" s="293">
        <f t="shared" si="3"/>
        <v>23.277909738717341</v>
      </c>
    </row>
    <row r="74" spans="1:87" ht="15.75" x14ac:dyDescent="0.25">
      <c r="A74" s="30" t="s">
        <v>178</v>
      </c>
      <c r="B74" s="60" t="s">
        <v>339</v>
      </c>
      <c r="C74" s="15">
        <f>КЛПУ!BS78</f>
        <v>514112</v>
      </c>
      <c r="D74" s="15">
        <f>КЛПУ!BT78</f>
        <v>514112</v>
      </c>
      <c r="E74" s="15">
        <f>КЛПУ!BU78</f>
        <v>486445</v>
      </c>
      <c r="F74" s="15">
        <f>КЛПУ!BV78</f>
        <v>94.618487800323663</v>
      </c>
      <c r="G74" s="15">
        <f>Хабаровск!EY78</f>
        <v>115682</v>
      </c>
      <c r="H74" s="15">
        <f>Хабаровск!EZ78</f>
        <v>115682</v>
      </c>
      <c r="I74" s="15">
        <f>Хабаровск!FA78</f>
        <v>120665</v>
      </c>
      <c r="J74" s="15">
        <f>Хабаровск!FB78</f>
        <v>104.30749814145675</v>
      </c>
      <c r="K74" s="15">
        <f>'Хаб.р-ны'!K78</f>
        <v>0</v>
      </c>
      <c r="L74" s="15">
        <f>'Хаб.р-ны'!L78</f>
        <v>0</v>
      </c>
      <c r="M74" s="15">
        <f>'Хаб.р-ны'!M78</f>
        <v>0</v>
      </c>
      <c r="N74" s="15">
        <f>'Хаб.р-ны'!N78</f>
        <v>0</v>
      </c>
      <c r="O74" s="15">
        <f>'Хаб.р-ны'!AA78</f>
        <v>0</v>
      </c>
      <c r="P74" s="15">
        <f>'Хаб.р-ны'!AB78</f>
        <v>0</v>
      </c>
      <c r="Q74" s="15">
        <f>'Хаб.р-ны'!AC78</f>
        <v>0</v>
      </c>
      <c r="R74" s="15">
        <f>'Хаб.р-ны'!AD78</f>
        <v>0</v>
      </c>
      <c r="S74" s="15">
        <f>'Хаб.р-ны'!AU78</f>
        <v>0</v>
      </c>
      <c r="T74" s="15">
        <f>'Хаб.р-ны'!AV78</f>
        <v>0</v>
      </c>
      <c r="U74" s="15">
        <f>'Хаб.р-ны'!AW78</f>
        <v>0</v>
      </c>
      <c r="V74" s="15">
        <f>'Хаб.р-ны'!AX78</f>
        <v>0</v>
      </c>
      <c r="W74" s="15">
        <f>'Хаб.р-ны'!AY78</f>
        <v>0</v>
      </c>
      <c r="X74" s="15">
        <f>'Хаб.р-ны'!AZ78</f>
        <v>0</v>
      </c>
      <c r="Y74" s="15">
        <f>'Хаб.р-ны'!BA78</f>
        <v>0</v>
      </c>
      <c r="Z74" s="15">
        <f>'Хаб.р-ны'!BB78</f>
        <v>0</v>
      </c>
      <c r="AA74" s="15">
        <f>'Хаб.р-ны'!BK78</f>
        <v>0</v>
      </c>
      <c r="AB74" s="15">
        <f>'Хаб.р-ны'!BL78</f>
        <v>0</v>
      </c>
      <c r="AC74" s="15">
        <f>'Хаб.р-ны'!BM78</f>
        <v>0</v>
      </c>
      <c r="AD74" s="15">
        <f>'Хаб.р-ны'!BN78</f>
        <v>0</v>
      </c>
      <c r="AE74" s="15">
        <f>Комсомольск!BO78</f>
        <v>187412</v>
      </c>
      <c r="AF74" s="15">
        <f>Комсомольск!BP78</f>
        <v>187412</v>
      </c>
      <c r="AG74" s="15">
        <f>Комсомольск!BQ78</f>
        <v>189352</v>
      </c>
      <c r="AH74" s="15">
        <f>Комсомольск!BR78</f>
        <v>101.03515249823917</v>
      </c>
      <c r="AI74" s="15">
        <f>'районы КП, СП'!K78</f>
        <v>0</v>
      </c>
      <c r="AJ74" s="15">
        <f>'районы КП, СП'!L78</f>
        <v>0</v>
      </c>
      <c r="AK74" s="15">
        <f>'районы КП, СП'!M78</f>
        <v>0</v>
      </c>
      <c r="AL74" s="15">
        <f>'районы КП, СП'!N78</f>
        <v>0</v>
      </c>
      <c r="AM74" s="15">
        <f>'районы КП, СП'!W78</f>
        <v>0</v>
      </c>
      <c r="AN74" s="15">
        <f>'районы КП, СП'!X78</f>
        <v>0</v>
      </c>
      <c r="AO74" s="15">
        <f>'районы КП, СП'!Y78</f>
        <v>0</v>
      </c>
      <c r="AP74" s="15">
        <f>'районы КП, СП'!Z78</f>
        <v>0</v>
      </c>
      <c r="AQ74" s="15">
        <f>'районы КП, СП'!AA78</f>
        <v>0</v>
      </c>
      <c r="AR74" s="15">
        <f>'районы КП, СП'!AB78</f>
        <v>0</v>
      </c>
      <c r="AS74" s="15">
        <f>'районы КП, СП'!AC78</f>
        <v>0</v>
      </c>
      <c r="AT74" s="15">
        <f>'районы КП, СП'!AD78</f>
        <v>0</v>
      </c>
      <c r="AU74" s="15">
        <f>'районы КП, СП'!AM78</f>
        <v>6000</v>
      </c>
      <c r="AV74" s="15">
        <f>'районы КП, СП'!AN78</f>
        <v>6000</v>
      </c>
      <c r="AW74" s="15">
        <f>'районы КП, СП'!AO78</f>
        <v>7355</v>
      </c>
      <c r="AX74" s="15">
        <f>'районы КП, СП'!AP78</f>
        <v>122.58333333333333</v>
      </c>
      <c r="AY74" s="15">
        <f>'районы КП, СП'!BC78</f>
        <v>0</v>
      </c>
      <c r="AZ74" s="15">
        <f>'районы КП, СП'!BD78</f>
        <v>0</v>
      </c>
      <c r="BA74" s="15">
        <f>'районы КП, СП'!BE78</f>
        <v>0</v>
      </c>
      <c r="BB74" s="15">
        <f>'районы КП, СП'!BF78</f>
        <v>0</v>
      </c>
      <c r="BC74" s="15">
        <f>'районы КП, СП'!BG78</f>
        <v>0</v>
      </c>
      <c r="BD74" s="15">
        <f>'районы КП, СП'!BH78</f>
        <v>0</v>
      </c>
      <c r="BE74" s="15">
        <f>'районы КП, СП'!BI78</f>
        <v>0</v>
      </c>
      <c r="BF74" s="15">
        <f>'районы КП, СП'!BJ78</f>
        <v>0</v>
      </c>
      <c r="BG74" s="15">
        <f>'районы НП, ЧП'!K78</f>
        <v>0</v>
      </c>
      <c r="BH74" s="15">
        <f>'районы НП, ЧП'!L78</f>
        <v>0</v>
      </c>
      <c r="BI74" s="15">
        <f>'районы НП, ЧП'!M78</f>
        <v>0</v>
      </c>
      <c r="BJ74" s="15">
        <f>'районы НП, ЧП'!N78</f>
        <v>0</v>
      </c>
      <c r="BK74" s="15">
        <f>'районы НП, ЧП'!AA78</f>
        <v>400</v>
      </c>
      <c r="BL74" s="15">
        <f>'районы НП, ЧП'!AB78</f>
        <v>400</v>
      </c>
      <c r="BM74" s="15">
        <f>'районы НП, ЧП'!AC78</f>
        <v>20</v>
      </c>
      <c r="BN74" s="15">
        <f>'районы НП, ЧП'!AD78</f>
        <v>5</v>
      </c>
      <c r="BO74" s="15">
        <f>'районы НП, ЧП'!AE78</f>
        <v>0</v>
      </c>
      <c r="BP74" s="15">
        <f>'районы НП, ЧП'!AF78</f>
        <v>0</v>
      </c>
      <c r="BQ74" s="15">
        <f>'районы НП, ЧП'!AG78</f>
        <v>0</v>
      </c>
      <c r="BR74" s="15">
        <f>'районы НП, ЧП'!AH78</f>
        <v>0</v>
      </c>
      <c r="BS74" s="15">
        <f>'районы НП, ЧП'!AI78</f>
        <v>0</v>
      </c>
      <c r="BT74" s="15">
        <f>'районы НП, ЧП'!AJ78</f>
        <v>0</v>
      </c>
      <c r="BU74" s="15">
        <f>'районы НП, ЧП'!AK78</f>
        <v>0</v>
      </c>
      <c r="BV74" s="15">
        <f>'районы НП, ЧП'!AL78</f>
        <v>0</v>
      </c>
      <c r="BW74" s="15">
        <f>'районы НП, ЧП'!AM78</f>
        <v>0</v>
      </c>
      <c r="BX74" s="15">
        <f>'районы НП, ЧП'!AN78</f>
        <v>0</v>
      </c>
      <c r="BY74" s="15">
        <f>'районы НП, ЧП'!AO78</f>
        <v>0</v>
      </c>
      <c r="BZ74" s="15">
        <f>'районы НП, ЧП'!AP78</f>
        <v>0</v>
      </c>
      <c r="CA74" s="15">
        <f>'районы НП, ЧП'!AU78</f>
        <v>0</v>
      </c>
      <c r="CB74" s="15">
        <f>'районы НП, ЧП'!AV78</f>
        <v>0</v>
      </c>
      <c r="CC74" s="15">
        <f>'районы НП, ЧП'!AW78</f>
        <v>0</v>
      </c>
      <c r="CD74" s="15">
        <f>'районы НП, ЧП'!AX78</f>
        <v>0</v>
      </c>
      <c r="CE74" s="292">
        <f t="shared" si="1"/>
        <v>823606</v>
      </c>
      <c r="CF74" s="292">
        <f t="shared" si="2"/>
        <v>823606</v>
      </c>
      <c r="CG74" s="333">
        <f t="shared" si="2"/>
        <v>803837</v>
      </c>
      <c r="CH74" s="293">
        <f t="shared" si="3"/>
        <v>97.599701799161252</v>
      </c>
    </row>
    <row r="75" spans="1:87" ht="15.75" x14ac:dyDescent="0.25">
      <c r="A75" s="38" t="s">
        <v>131</v>
      </c>
      <c r="B75" s="70"/>
      <c r="C75" s="15">
        <f>КЛПУ!BS79</f>
        <v>82612</v>
      </c>
      <c r="D75" s="15">
        <f>КЛПУ!BT79</f>
        <v>82612</v>
      </c>
      <c r="E75" s="15">
        <f>КЛПУ!BU79</f>
        <v>80370</v>
      </c>
      <c r="F75" s="15">
        <f>КЛПУ!BV79</f>
        <v>97.286108555657762</v>
      </c>
      <c r="G75" s="15">
        <f>Хабаровск!EY79</f>
        <v>54669.984375</v>
      </c>
      <c r="H75" s="15">
        <f>Хабаровск!EZ79</f>
        <v>54669.984375</v>
      </c>
      <c r="I75" s="15">
        <f>Хабаровск!FA79</f>
        <v>56393</v>
      </c>
      <c r="J75" s="15">
        <f>Хабаровск!FB79</f>
        <v>103.15166657663784</v>
      </c>
      <c r="K75" s="15">
        <f>'Хаб.р-ны'!K79</f>
        <v>0</v>
      </c>
      <c r="L75" s="15">
        <f>'Хаб.р-ны'!L79</f>
        <v>0</v>
      </c>
      <c r="M75" s="15">
        <f>'Хаб.р-ны'!M79</f>
        <v>0</v>
      </c>
      <c r="N75" s="15">
        <f>'Хаб.р-ны'!N79</f>
        <v>0</v>
      </c>
      <c r="O75" s="15">
        <f>'Хаб.р-ны'!AA79</f>
        <v>0</v>
      </c>
      <c r="P75" s="15">
        <f>'Хаб.р-ны'!AB79</f>
        <v>0</v>
      </c>
      <c r="Q75" s="15">
        <f>'Хаб.р-ны'!AC79</f>
        <v>0</v>
      </c>
      <c r="R75" s="15">
        <f>'Хаб.р-ны'!AD79</f>
        <v>0</v>
      </c>
      <c r="S75" s="15">
        <f>'Хаб.р-ны'!AU79</f>
        <v>0</v>
      </c>
      <c r="T75" s="15">
        <f>'Хаб.р-ны'!AV79</f>
        <v>0</v>
      </c>
      <c r="U75" s="15">
        <f>'Хаб.р-ны'!AW79</f>
        <v>0</v>
      </c>
      <c r="V75" s="15">
        <f>'Хаб.р-ны'!AX79</f>
        <v>0</v>
      </c>
      <c r="W75" s="15">
        <f>'Хаб.р-ны'!AY79</f>
        <v>0</v>
      </c>
      <c r="X75" s="15">
        <f>'Хаб.р-ны'!AZ79</f>
        <v>0</v>
      </c>
      <c r="Y75" s="15">
        <f>'Хаб.р-ны'!BA79</f>
        <v>0</v>
      </c>
      <c r="Z75" s="15">
        <f>'Хаб.р-ны'!BB79</f>
        <v>0</v>
      </c>
      <c r="AA75" s="15">
        <f>'Хаб.р-ны'!BK79</f>
        <v>0</v>
      </c>
      <c r="AB75" s="15">
        <f>'Хаб.р-ны'!BL79</f>
        <v>0</v>
      </c>
      <c r="AC75" s="15">
        <f>'Хаб.р-ны'!BM79</f>
        <v>0</v>
      </c>
      <c r="AD75" s="15">
        <f>'Хаб.р-ны'!BN79</f>
        <v>0</v>
      </c>
      <c r="AE75" s="15">
        <f>Комсомольск!BO79</f>
        <v>41188</v>
      </c>
      <c r="AF75" s="15">
        <f>Комсомольск!BP79</f>
        <v>41188</v>
      </c>
      <c r="AG75" s="15">
        <f>Комсомольск!BQ79</f>
        <v>36794</v>
      </c>
      <c r="AH75" s="15">
        <f>Комсомольск!BR79</f>
        <v>89.331844226473734</v>
      </c>
      <c r="AI75" s="15">
        <f>'районы КП, СП'!K79</f>
        <v>0</v>
      </c>
      <c r="AJ75" s="15">
        <f>'районы КП, СП'!L79</f>
        <v>0</v>
      </c>
      <c r="AK75" s="15">
        <f>'районы КП, СП'!M79</f>
        <v>0</v>
      </c>
      <c r="AL75" s="15">
        <f>'районы КП, СП'!N79</f>
        <v>0</v>
      </c>
      <c r="AM75" s="15">
        <f>'районы КП, СП'!W79</f>
        <v>0</v>
      </c>
      <c r="AN75" s="15">
        <f>'районы КП, СП'!X79</f>
        <v>0</v>
      </c>
      <c r="AO75" s="15">
        <f>'районы КП, СП'!Y79</f>
        <v>0</v>
      </c>
      <c r="AP75" s="15">
        <f>'районы КП, СП'!Z79</f>
        <v>0</v>
      </c>
      <c r="AQ75" s="15">
        <f>'районы КП, СП'!AA79</f>
        <v>0</v>
      </c>
      <c r="AR75" s="15">
        <f>'районы КП, СП'!AB79</f>
        <v>0</v>
      </c>
      <c r="AS75" s="15">
        <f>'районы КП, СП'!AC79</f>
        <v>0</v>
      </c>
      <c r="AT75" s="15">
        <f>'районы КП, СП'!AD79</f>
        <v>0</v>
      </c>
      <c r="AU75" s="15">
        <f>'районы КП, СП'!AM79</f>
        <v>0</v>
      </c>
      <c r="AV75" s="15">
        <f>'районы КП, СП'!AN79</f>
        <v>0</v>
      </c>
      <c r="AW75" s="15">
        <f>'районы КП, СП'!AO79</f>
        <v>0</v>
      </c>
      <c r="AX75" s="15">
        <f>'районы КП, СП'!AP79</f>
        <v>0</v>
      </c>
      <c r="AY75" s="15">
        <f>'районы КП, СП'!BC79</f>
        <v>0</v>
      </c>
      <c r="AZ75" s="15">
        <f>'районы КП, СП'!BD79</f>
        <v>0</v>
      </c>
      <c r="BA75" s="15">
        <f>'районы КП, СП'!BE79</f>
        <v>0</v>
      </c>
      <c r="BB75" s="15">
        <f>'районы КП, СП'!BF79</f>
        <v>0</v>
      </c>
      <c r="BC75" s="15">
        <f>'районы КП, СП'!BG79</f>
        <v>0</v>
      </c>
      <c r="BD75" s="15">
        <f>'районы КП, СП'!BH79</f>
        <v>0</v>
      </c>
      <c r="BE75" s="15">
        <f>'районы КП, СП'!BI79</f>
        <v>0</v>
      </c>
      <c r="BF75" s="15">
        <f>'районы КП, СП'!BJ79</f>
        <v>0</v>
      </c>
      <c r="BG75" s="15">
        <f>'районы НП, ЧП'!K79</f>
        <v>0</v>
      </c>
      <c r="BH75" s="15">
        <f>'районы НП, ЧП'!L79</f>
        <v>0</v>
      </c>
      <c r="BI75" s="15">
        <f>'районы НП, ЧП'!M79</f>
        <v>0</v>
      </c>
      <c r="BJ75" s="15">
        <f>'районы НП, ЧП'!N79</f>
        <v>0</v>
      </c>
      <c r="BK75" s="15">
        <f>'районы НП, ЧП'!AA79</f>
        <v>0</v>
      </c>
      <c r="BL75" s="15">
        <f>'районы НП, ЧП'!AB79</f>
        <v>0</v>
      </c>
      <c r="BM75" s="15">
        <f>'районы НП, ЧП'!AC79</f>
        <v>0</v>
      </c>
      <c r="BN75" s="15">
        <f>'районы НП, ЧП'!AD79</f>
        <v>0</v>
      </c>
      <c r="BO75" s="15">
        <f>'районы НП, ЧП'!AE79</f>
        <v>0</v>
      </c>
      <c r="BP75" s="15">
        <f>'районы НП, ЧП'!AF79</f>
        <v>0</v>
      </c>
      <c r="BQ75" s="15">
        <f>'районы НП, ЧП'!AG79</f>
        <v>0</v>
      </c>
      <c r="BR75" s="15">
        <f>'районы НП, ЧП'!AH79</f>
        <v>0</v>
      </c>
      <c r="BS75" s="15">
        <f>'районы НП, ЧП'!AI79</f>
        <v>0</v>
      </c>
      <c r="BT75" s="15">
        <f>'районы НП, ЧП'!AJ79</f>
        <v>0</v>
      </c>
      <c r="BU75" s="15">
        <f>'районы НП, ЧП'!AK79</f>
        <v>0</v>
      </c>
      <c r="BV75" s="15">
        <f>'районы НП, ЧП'!AL79</f>
        <v>0</v>
      </c>
      <c r="BW75" s="15">
        <f>'районы НП, ЧП'!AM79</f>
        <v>0</v>
      </c>
      <c r="BX75" s="15">
        <f>'районы НП, ЧП'!AN79</f>
        <v>0</v>
      </c>
      <c r="BY75" s="15">
        <f>'районы НП, ЧП'!AO79</f>
        <v>0</v>
      </c>
      <c r="BZ75" s="15">
        <f>'районы НП, ЧП'!AP79</f>
        <v>0</v>
      </c>
      <c r="CA75" s="15">
        <f>'районы НП, ЧП'!AU79</f>
        <v>0</v>
      </c>
      <c r="CB75" s="15">
        <f>'районы НП, ЧП'!AV79</f>
        <v>0</v>
      </c>
      <c r="CC75" s="15">
        <f>'районы НП, ЧП'!AW79</f>
        <v>0</v>
      </c>
      <c r="CD75" s="15">
        <f>'районы НП, ЧП'!AX79</f>
        <v>0</v>
      </c>
      <c r="CE75" s="292">
        <f t="shared" ref="CE75:CE85" si="10">SUM(CA75,BW75,BS75,BO75,BK75,BG75,BC75,AY75,AU75,AQ75,AM75,AI75,AE75,AA75,W75,S75,O75,K75,G75,C75)</f>
        <v>178469.984375</v>
      </c>
      <c r="CF75" s="292">
        <f t="shared" ref="CF75:CG85" si="11">SUM(CB75,BX75,BT75,BP75,BL75,BH75,BD75,AZ75,AV75,AR75,AN75,AJ75,AF75,AB75,X75,T75,P75,L75,H75,D75)</f>
        <v>178469.984375</v>
      </c>
      <c r="CG75" s="333">
        <f t="shared" si="11"/>
        <v>173557</v>
      </c>
      <c r="CH75" s="293">
        <f t="shared" ref="CH75:CH85" si="12">CG75/CF75*100</f>
        <v>97.247164898789435</v>
      </c>
    </row>
    <row r="76" spans="1:87" ht="31.5" x14ac:dyDescent="0.25">
      <c r="A76" s="38" t="s">
        <v>134</v>
      </c>
      <c r="B76" s="59" t="s">
        <v>3</v>
      </c>
      <c r="C76" s="15">
        <f>КЛПУ!BS80</f>
        <v>83674</v>
      </c>
      <c r="D76" s="15">
        <f>КЛПУ!BT80</f>
        <v>83674</v>
      </c>
      <c r="E76" s="15">
        <f>КЛПУ!BU80</f>
        <v>96637</v>
      </c>
      <c r="F76" s="15">
        <f>КЛПУ!BV80</f>
        <v>115.49226761001027</v>
      </c>
      <c r="G76" s="15">
        <f>Хабаровск!EY80</f>
        <v>100</v>
      </c>
      <c r="H76" s="15">
        <f>Хабаровск!EZ80</f>
        <v>100</v>
      </c>
      <c r="I76" s="15">
        <f>Хабаровск!FA80</f>
        <v>0</v>
      </c>
      <c r="J76" s="15">
        <f>Хабаровск!FB80</f>
        <v>0</v>
      </c>
      <c r="K76" s="15">
        <f>'Хаб.р-ны'!K80</f>
        <v>0</v>
      </c>
      <c r="L76" s="15">
        <f>'Хаб.р-ны'!L80</f>
        <v>0</v>
      </c>
      <c r="M76" s="15">
        <f>'Хаб.р-ны'!M80</f>
        <v>0</v>
      </c>
      <c r="N76" s="15">
        <f>'Хаб.р-ны'!N80</f>
        <v>0</v>
      </c>
      <c r="O76" s="15">
        <f>'Хаб.р-ны'!AA80</f>
        <v>0</v>
      </c>
      <c r="P76" s="15">
        <f>'Хаб.р-ны'!AB80</f>
        <v>0</v>
      </c>
      <c r="Q76" s="15">
        <f>'Хаб.р-ны'!AC80</f>
        <v>0</v>
      </c>
      <c r="R76" s="15">
        <f>'Хаб.р-ны'!AD80</f>
        <v>0</v>
      </c>
      <c r="S76" s="15">
        <f>'Хаб.р-ны'!AU80</f>
        <v>0</v>
      </c>
      <c r="T76" s="15">
        <f>'Хаб.р-ны'!AV80</f>
        <v>0</v>
      </c>
      <c r="U76" s="15">
        <f>'Хаб.р-ны'!AW80</f>
        <v>0</v>
      </c>
      <c r="V76" s="15">
        <f>'Хаб.р-ны'!AX80</f>
        <v>0</v>
      </c>
      <c r="W76" s="15">
        <f>'Хаб.р-ны'!AY80</f>
        <v>0</v>
      </c>
      <c r="X76" s="15">
        <f>'Хаб.р-ны'!AZ80</f>
        <v>0</v>
      </c>
      <c r="Y76" s="15">
        <f>'Хаб.р-ны'!BA80</f>
        <v>0</v>
      </c>
      <c r="Z76" s="15">
        <f>'Хаб.р-ны'!BB80</f>
        <v>0</v>
      </c>
      <c r="AA76" s="15">
        <f>'Хаб.р-ны'!BK80</f>
        <v>0</v>
      </c>
      <c r="AB76" s="15">
        <f>'Хаб.р-ны'!BL80</f>
        <v>0</v>
      </c>
      <c r="AC76" s="15">
        <f>'Хаб.р-ны'!BM80</f>
        <v>0</v>
      </c>
      <c r="AD76" s="15">
        <f>'Хаб.р-ны'!BN80</f>
        <v>0</v>
      </c>
      <c r="AE76" s="15">
        <f>Комсомольск!BO80</f>
        <v>0</v>
      </c>
      <c r="AF76" s="15">
        <f>Комсомольск!BP80</f>
        <v>0</v>
      </c>
      <c r="AG76" s="15">
        <f>Комсомольск!BQ80</f>
        <v>0</v>
      </c>
      <c r="AH76" s="15">
        <f>Комсомольск!BR80</f>
        <v>0</v>
      </c>
      <c r="AI76" s="15">
        <f>'районы КП, СП'!K80</f>
        <v>0</v>
      </c>
      <c r="AJ76" s="15">
        <f>'районы КП, СП'!L80</f>
        <v>0</v>
      </c>
      <c r="AK76" s="15">
        <f>'районы КП, СП'!M80</f>
        <v>0</v>
      </c>
      <c r="AL76" s="15">
        <f>'районы КП, СП'!N80</f>
        <v>0</v>
      </c>
      <c r="AM76" s="15">
        <f>'районы КП, СП'!W80</f>
        <v>0</v>
      </c>
      <c r="AN76" s="15">
        <f>'районы КП, СП'!X80</f>
        <v>0</v>
      </c>
      <c r="AO76" s="15">
        <f>'районы КП, СП'!Y80</f>
        <v>0</v>
      </c>
      <c r="AP76" s="15">
        <f>'районы КП, СП'!Z80</f>
        <v>0</v>
      </c>
      <c r="AQ76" s="15">
        <f>'районы КП, СП'!AA80</f>
        <v>0</v>
      </c>
      <c r="AR76" s="15">
        <f>'районы КП, СП'!AB80</f>
        <v>0</v>
      </c>
      <c r="AS76" s="15">
        <f>'районы КП, СП'!AC80</f>
        <v>0</v>
      </c>
      <c r="AT76" s="15">
        <f>'районы КП, СП'!AD80</f>
        <v>0</v>
      </c>
      <c r="AU76" s="15">
        <f>'районы КП, СП'!AM80</f>
        <v>1000</v>
      </c>
      <c r="AV76" s="15">
        <f>'районы КП, СП'!AN80</f>
        <v>1000</v>
      </c>
      <c r="AW76" s="15">
        <f>'районы КП, СП'!AO80</f>
        <v>154</v>
      </c>
      <c r="AX76" s="15">
        <f>'районы КП, СП'!AP80</f>
        <v>15.4</v>
      </c>
      <c r="AY76" s="15">
        <f>'районы КП, СП'!BC80</f>
        <v>0</v>
      </c>
      <c r="AZ76" s="15">
        <f>'районы КП, СП'!BD80</f>
        <v>0</v>
      </c>
      <c r="BA76" s="15">
        <f>'районы КП, СП'!BE80</f>
        <v>0</v>
      </c>
      <c r="BB76" s="15">
        <f>'районы КП, СП'!BF80</f>
        <v>0</v>
      </c>
      <c r="BC76" s="15">
        <f>'районы КП, СП'!BG80</f>
        <v>0</v>
      </c>
      <c r="BD76" s="15">
        <f>'районы КП, СП'!BH80</f>
        <v>0</v>
      </c>
      <c r="BE76" s="15">
        <f>'районы КП, СП'!BI80</f>
        <v>0</v>
      </c>
      <c r="BF76" s="15">
        <f>'районы КП, СП'!BJ80</f>
        <v>0</v>
      </c>
      <c r="BG76" s="15">
        <f>'районы НП, ЧП'!K80</f>
        <v>0</v>
      </c>
      <c r="BH76" s="15">
        <f>'районы НП, ЧП'!L80</f>
        <v>0</v>
      </c>
      <c r="BI76" s="15">
        <f>'районы НП, ЧП'!M80</f>
        <v>0</v>
      </c>
      <c r="BJ76" s="15">
        <f>'районы НП, ЧП'!N80</f>
        <v>0</v>
      </c>
      <c r="BK76" s="15">
        <f>'районы НП, ЧП'!AA80</f>
        <v>0</v>
      </c>
      <c r="BL76" s="15">
        <f>'районы НП, ЧП'!AB80</f>
        <v>0</v>
      </c>
      <c r="BM76" s="15">
        <f>'районы НП, ЧП'!AC80</f>
        <v>0</v>
      </c>
      <c r="BN76" s="15">
        <f>'районы НП, ЧП'!AD80</f>
        <v>0</v>
      </c>
      <c r="BO76" s="15">
        <f>'районы НП, ЧП'!AE80</f>
        <v>0</v>
      </c>
      <c r="BP76" s="15">
        <f>'районы НП, ЧП'!AF80</f>
        <v>0</v>
      </c>
      <c r="BQ76" s="15">
        <f>'районы НП, ЧП'!AG80</f>
        <v>0</v>
      </c>
      <c r="BR76" s="15">
        <f>'районы НП, ЧП'!AH80</f>
        <v>0</v>
      </c>
      <c r="BS76" s="15">
        <f>'районы НП, ЧП'!AI80</f>
        <v>0</v>
      </c>
      <c r="BT76" s="15">
        <f>'районы НП, ЧП'!AJ80</f>
        <v>0</v>
      </c>
      <c r="BU76" s="15">
        <f>'районы НП, ЧП'!AK80</f>
        <v>0</v>
      </c>
      <c r="BV76" s="15">
        <f>'районы НП, ЧП'!AL80</f>
        <v>0</v>
      </c>
      <c r="BW76" s="15">
        <f>'районы НП, ЧП'!AM80</f>
        <v>0</v>
      </c>
      <c r="BX76" s="15">
        <f>'районы НП, ЧП'!AN80</f>
        <v>0</v>
      </c>
      <c r="BY76" s="15">
        <f>'районы НП, ЧП'!AO80</f>
        <v>0</v>
      </c>
      <c r="BZ76" s="15">
        <f>'районы НП, ЧП'!AP80</f>
        <v>0</v>
      </c>
      <c r="CA76" s="15">
        <f>'районы НП, ЧП'!AU80</f>
        <v>0</v>
      </c>
      <c r="CB76" s="15">
        <f>'районы НП, ЧП'!AV80</f>
        <v>0</v>
      </c>
      <c r="CC76" s="15">
        <f>'районы НП, ЧП'!AW80</f>
        <v>0</v>
      </c>
      <c r="CD76" s="15">
        <f>'районы НП, ЧП'!AX80</f>
        <v>0</v>
      </c>
      <c r="CE76" s="292">
        <f t="shared" si="10"/>
        <v>84774</v>
      </c>
      <c r="CF76" s="292">
        <f t="shared" si="11"/>
        <v>84774</v>
      </c>
      <c r="CG76" s="333">
        <f t="shared" si="11"/>
        <v>96791</v>
      </c>
      <c r="CH76" s="293">
        <f t="shared" si="12"/>
        <v>114.17533677778565</v>
      </c>
    </row>
    <row r="77" spans="1:87" ht="15.75" x14ac:dyDescent="0.25">
      <c r="A77" s="33" t="s">
        <v>200</v>
      </c>
      <c r="B77" s="71"/>
      <c r="C77" s="15">
        <f>КЛПУ!BS81</f>
        <v>47150</v>
      </c>
      <c r="D77" s="15">
        <f>КЛПУ!BT81</f>
        <v>47150</v>
      </c>
      <c r="E77" s="15">
        <f>КЛПУ!BU81</f>
        <v>63778</v>
      </c>
      <c r="F77" s="15">
        <f>КЛПУ!BV81</f>
        <v>135.2661717921527</v>
      </c>
      <c r="G77" s="15">
        <f>Хабаровск!EY81</f>
        <v>0</v>
      </c>
      <c r="H77" s="15">
        <f>Хабаровск!EZ81</f>
        <v>0</v>
      </c>
      <c r="I77" s="15">
        <f>Хабаровск!FA81</f>
        <v>0</v>
      </c>
      <c r="J77" s="15">
        <f>Хабаровск!FB81</f>
        <v>0</v>
      </c>
      <c r="K77" s="15">
        <f>'Хаб.р-ны'!K81</f>
        <v>0</v>
      </c>
      <c r="L77" s="15">
        <f>'Хаб.р-ны'!L81</f>
        <v>0</v>
      </c>
      <c r="M77" s="15">
        <f>'Хаб.р-ны'!M81</f>
        <v>0</v>
      </c>
      <c r="N77" s="15">
        <f>'Хаб.р-ны'!N81</f>
        <v>0</v>
      </c>
      <c r="O77" s="15">
        <f>'Хаб.р-ны'!AA81</f>
        <v>0</v>
      </c>
      <c r="P77" s="15">
        <f>'Хаб.р-ны'!AB81</f>
        <v>0</v>
      </c>
      <c r="Q77" s="15">
        <f>'Хаб.р-ны'!AC81</f>
        <v>0</v>
      </c>
      <c r="R77" s="15">
        <f>'Хаб.р-ны'!AD81</f>
        <v>0</v>
      </c>
      <c r="S77" s="15">
        <f>'Хаб.р-ны'!AU81</f>
        <v>0</v>
      </c>
      <c r="T77" s="15">
        <f>'Хаб.р-ны'!AV81</f>
        <v>0</v>
      </c>
      <c r="U77" s="15">
        <f>'Хаб.р-ны'!AW81</f>
        <v>0</v>
      </c>
      <c r="V77" s="15">
        <f>'Хаб.р-ны'!AX81</f>
        <v>0</v>
      </c>
      <c r="W77" s="15">
        <f>'Хаб.р-ны'!AY81</f>
        <v>0</v>
      </c>
      <c r="X77" s="15">
        <f>'Хаб.р-ны'!AZ81</f>
        <v>0</v>
      </c>
      <c r="Y77" s="15">
        <f>'Хаб.р-ны'!BA81</f>
        <v>0</v>
      </c>
      <c r="Z77" s="15">
        <f>'Хаб.р-ны'!BB81</f>
        <v>0</v>
      </c>
      <c r="AA77" s="15">
        <f>'Хаб.р-ны'!BK81</f>
        <v>0</v>
      </c>
      <c r="AB77" s="15">
        <f>'Хаб.р-ны'!BL81</f>
        <v>0</v>
      </c>
      <c r="AC77" s="15">
        <f>'Хаб.р-ны'!BM81</f>
        <v>0</v>
      </c>
      <c r="AD77" s="15">
        <f>'Хаб.р-ны'!BN81</f>
        <v>0</v>
      </c>
      <c r="AE77" s="15">
        <f>Комсомольск!BO81</f>
        <v>0</v>
      </c>
      <c r="AF77" s="15">
        <f>Комсомольск!BP81</f>
        <v>0</v>
      </c>
      <c r="AG77" s="15">
        <f>Комсомольск!BQ81</f>
        <v>0</v>
      </c>
      <c r="AH77" s="15">
        <f>Комсомольск!BR81</f>
        <v>0</v>
      </c>
      <c r="AI77" s="15">
        <f>'районы КП, СП'!K81</f>
        <v>0</v>
      </c>
      <c r="AJ77" s="15">
        <f>'районы КП, СП'!L81</f>
        <v>0</v>
      </c>
      <c r="AK77" s="15">
        <f>'районы КП, СП'!M81</f>
        <v>0</v>
      </c>
      <c r="AL77" s="15">
        <f>'районы КП, СП'!N81</f>
        <v>0</v>
      </c>
      <c r="AM77" s="15">
        <f>'районы КП, СП'!W81</f>
        <v>0</v>
      </c>
      <c r="AN77" s="15">
        <f>'районы КП, СП'!X81</f>
        <v>0</v>
      </c>
      <c r="AO77" s="15">
        <f>'районы КП, СП'!Y81</f>
        <v>0</v>
      </c>
      <c r="AP77" s="15">
        <f>'районы КП, СП'!Z81</f>
        <v>0</v>
      </c>
      <c r="AQ77" s="15">
        <f>'районы КП, СП'!AA81</f>
        <v>0</v>
      </c>
      <c r="AR77" s="15">
        <f>'районы КП, СП'!AB81</f>
        <v>0</v>
      </c>
      <c r="AS77" s="15">
        <f>'районы КП, СП'!AC81</f>
        <v>0</v>
      </c>
      <c r="AT77" s="15">
        <f>'районы КП, СП'!AD81</f>
        <v>0</v>
      </c>
      <c r="AU77" s="15">
        <f>'районы КП, СП'!AM81</f>
        <v>0</v>
      </c>
      <c r="AV77" s="15">
        <f>'районы КП, СП'!AN81</f>
        <v>0</v>
      </c>
      <c r="AW77" s="15">
        <f>'районы КП, СП'!AO81</f>
        <v>0</v>
      </c>
      <c r="AX77" s="15">
        <f>'районы КП, СП'!AP81</f>
        <v>0</v>
      </c>
      <c r="AY77" s="15">
        <f>'районы КП, СП'!BC81</f>
        <v>0</v>
      </c>
      <c r="AZ77" s="15">
        <f>'районы КП, СП'!BD81</f>
        <v>0</v>
      </c>
      <c r="BA77" s="15">
        <f>'районы КП, СП'!BE81</f>
        <v>0</v>
      </c>
      <c r="BB77" s="15">
        <f>'районы КП, СП'!BF81</f>
        <v>0</v>
      </c>
      <c r="BC77" s="15">
        <f>'районы КП, СП'!BG81</f>
        <v>0</v>
      </c>
      <c r="BD77" s="15">
        <f>'районы КП, СП'!BH81</f>
        <v>0</v>
      </c>
      <c r="BE77" s="15">
        <f>'районы КП, СП'!BI81</f>
        <v>0</v>
      </c>
      <c r="BF77" s="15">
        <f>'районы КП, СП'!BJ81</f>
        <v>0</v>
      </c>
      <c r="BG77" s="15">
        <f>'районы НП, ЧП'!K81</f>
        <v>0</v>
      </c>
      <c r="BH77" s="15">
        <f>'районы НП, ЧП'!L81</f>
        <v>0</v>
      </c>
      <c r="BI77" s="15">
        <f>'районы НП, ЧП'!M81</f>
        <v>0</v>
      </c>
      <c r="BJ77" s="15">
        <f>'районы НП, ЧП'!N81</f>
        <v>0</v>
      </c>
      <c r="BK77" s="15">
        <f>'районы НП, ЧП'!AA81</f>
        <v>0</v>
      </c>
      <c r="BL77" s="15">
        <f>'районы НП, ЧП'!AB81</f>
        <v>0</v>
      </c>
      <c r="BM77" s="15">
        <f>'районы НП, ЧП'!AC81</f>
        <v>0</v>
      </c>
      <c r="BN77" s="15">
        <f>'районы НП, ЧП'!AD81</f>
        <v>0</v>
      </c>
      <c r="BO77" s="15">
        <f>'районы НП, ЧП'!AE81</f>
        <v>0</v>
      </c>
      <c r="BP77" s="15">
        <f>'районы НП, ЧП'!AF81</f>
        <v>0</v>
      </c>
      <c r="BQ77" s="15">
        <f>'районы НП, ЧП'!AG81</f>
        <v>0</v>
      </c>
      <c r="BR77" s="15">
        <f>'районы НП, ЧП'!AH81</f>
        <v>0</v>
      </c>
      <c r="BS77" s="15">
        <f>'районы НП, ЧП'!AI81</f>
        <v>0</v>
      </c>
      <c r="BT77" s="15">
        <f>'районы НП, ЧП'!AJ81</f>
        <v>0</v>
      </c>
      <c r="BU77" s="15">
        <f>'районы НП, ЧП'!AK81</f>
        <v>0</v>
      </c>
      <c r="BV77" s="15">
        <f>'районы НП, ЧП'!AL81</f>
        <v>0</v>
      </c>
      <c r="BW77" s="15">
        <f>'районы НП, ЧП'!AM81</f>
        <v>0</v>
      </c>
      <c r="BX77" s="15">
        <f>'районы НП, ЧП'!AN81</f>
        <v>0</v>
      </c>
      <c r="BY77" s="15">
        <f>'районы НП, ЧП'!AO81</f>
        <v>0</v>
      </c>
      <c r="BZ77" s="15">
        <f>'районы НП, ЧП'!AP81</f>
        <v>0</v>
      </c>
      <c r="CA77" s="15">
        <f>'районы НП, ЧП'!AU81</f>
        <v>0</v>
      </c>
      <c r="CB77" s="15">
        <f>'районы НП, ЧП'!AV81</f>
        <v>0</v>
      </c>
      <c r="CC77" s="15">
        <f>'районы НП, ЧП'!AW81</f>
        <v>0</v>
      </c>
      <c r="CD77" s="15">
        <f>'районы НП, ЧП'!AX81</f>
        <v>0</v>
      </c>
      <c r="CE77" s="292">
        <f t="shared" si="10"/>
        <v>47150</v>
      </c>
      <c r="CF77" s="292">
        <f t="shared" si="11"/>
        <v>47150</v>
      </c>
      <c r="CG77" s="333">
        <f t="shared" si="11"/>
        <v>63778</v>
      </c>
      <c r="CH77" s="293">
        <f t="shared" si="12"/>
        <v>135.2661717921527</v>
      </c>
    </row>
    <row r="78" spans="1:87" ht="31.5" x14ac:dyDescent="0.25">
      <c r="A78" s="125" t="s">
        <v>201</v>
      </c>
      <c r="B78" s="71"/>
      <c r="C78" s="15">
        <f>КЛПУ!BS82</f>
        <v>500</v>
      </c>
      <c r="D78" s="15">
        <f>КЛПУ!BT82</f>
        <v>500</v>
      </c>
      <c r="E78" s="15">
        <f>КЛПУ!BU82</f>
        <v>566</v>
      </c>
      <c r="F78" s="15">
        <f>КЛПУ!BV82</f>
        <v>113.19999999999999</v>
      </c>
      <c r="G78" s="15">
        <f>Хабаровск!EY82</f>
        <v>0</v>
      </c>
      <c r="H78" s="15">
        <f>Хабаровск!EZ82</f>
        <v>0</v>
      </c>
      <c r="I78" s="15">
        <f>Хабаровск!FA82</f>
        <v>0</v>
      </c>
      <c r="J78" s="15">
        <f>Хабаровск!FB82</f>
        <v>0</v>
      </c>
      <c r="K78" s="15">
        <f>'Хаб.р-ны'!K82</f>
        <v>0</v>
      </c>
      <c r="L78" s="15">
        <f>'Хаб.р-ны'!L82</f>
        <v>0</v>
      </c>
      <c r="M78" s="15">
        <f>'Хаб.р-ны'!M82</f>
        <v>0</v>
      </c>
      <c r="N78" s="15">
        <f>'Хаб.р-ны'!N82</f>
        <v>0</v>
      </c>
      <c r="O78" s="15">
        <f>'Хаб.р-ны'!AA82</f>
        <v>0</v>
      </c>
      <c r="P78" s="15">
        <f>'Хаб.р-ны'!AB82</f>
        <v>0</v>
      </c>
      <c r="Q78" s="15">
        <f>'Хаб.р-ны'!AC82</f>
        <v>0</v>
      </c>
      <c r="R78" s="15">
        <f>'Хаб.р-ны'!AD82</f>
        <v>0</v>
      </c>
      <c r="S78" s="15">
        <f>'Хаб.р-ны'!AU82</f>
        <v>0</v>
      </c>
      <c r="T78" s="15">
        <f>'Хаб.р-ны'!AV82</f>
        <v>0</v>
      </c>
      <c r="U78" s="15">
        <f>'Хаб.р-ны'!AW82</f>
        <v>0</v>
      </c>
      <c r="V78" s="15">
        <f>'Хаб.р-ны'!AX82</f>
        <v>0</v>
      </c>
      <c r="W78" s="15">
        <f>'Хаб.р-ны'!AY82</f>
        <v>0</v>
      </c>
      <c r="X78" s="15">
        <f>'Хаб.р-ны'!AZ82</f>
        <v>0</v>
      </c>
      <c r="Y78" s="15">
        <f>'Хаб.р-ны'!BA82</f>
        <v>0</v>
      </c>
      <c r="Z78" s="15">
        <f>'Хаб.р-ны'!BB82</f>
        <v>0</v>
      </c>
      <c r="AA78" s="15">
        <f>'Хаб.р-ны'!BK82</f>
        <v>0</v>
      </c>
      <c r="AB78" s="15">
        <f>'Хаб.р-ны'!BL82</f>
        <v>0</v>
      </c>
      <c r="AC78" s="15">
        <f>'Хаб.р-ны'!BM82</f>
        <v>0</v>
      </c>
      <c r="AD78" s="15">
        <f>'Хаб.р-ны'!BN82</f>
        <v>0</v>
      </c>
      <c r="AE78" s="15">
        <f>Комсомольск!BO82</f>
        <v>0</v>
      </c>
      <c r="AF78" s="15">
        <f>Комсомольск!BP82</f>
        <v>0</v>
      </c>
      <c r="AG78" s="15">
        <f>Комсомольск!BQ82</f>
        <v>0</v>
      </c>
      <c r="AH78" s="15">
        <f>Комсомольск!BR82</f>
        <v>0</v>
      </c>
      <c r="AI78" s="15">
        <f>'районы КП, СП'!K82</f>
        <v>0</v>
      </c>
      <c r="AJ78" s="15">
        <f>'районы КП, СП'!L82</f>
        <v>0</v>
      </c>
      <c r="AK78" s="15">
        <f>'районы КП, СП'!M82</f>
        <v>0</v>
      </c>
      <c r="AL78" s="15">
        <f>'районы КП, СП'!N82</f>
        <v>0</v>
      </c>
      <c r="AM78" s="15">
        <f>'районы КП, СП'!W82</f>
        <v>0</v>
      </c>
      <c r="AN78" s="15">
        <f>'районы КП, СП'!X82</f>
        <v>0</v>
      </c>
      <c r="AO78" s="15">
        <f>'районы КП, СП'!Y82</f>
        <v>0</v>
      </c>
      <c r="AP78" s="15">
        <f>'районы КП, СП'!Z82</f>
        <v>0</v>
      </c>
      <c r="AQ78" s="15">
        <f>'районы КП, СП'!AA82</f>
        <v>0</v>
      </c>
      <c r="AR78" s="15">
        <f>'районы КП, СП'!AB82</f>
        <v>0</v>
      </c>
      <c r="AS78" s="15">
        <f>'районы КП, СП'!AC82</f>
        <v>0</v>
      </c>
      <c r="AT78" s="15">
        <f>'районы КП, СП'!AD82</f>
        <v>0</v>
      </c>
      <c r="AU78" s="15">
        <f>'районы КП, СП'!AM82</f>
        <v>0</v>
      </c>
      <c r="AV78" s="15">
        <f>'районы КП, СП'!AN82</f>
        <v>0</v>
      </c>
      <c r="AW78" s="15">
        <f>'районы КП, СП'!AO82</f>
        <v>0</v>
      </c>
      <c r="AX78" s="15">
        <f>'районы КП, СП'!AP82</f>
        <v>0</v>
      </c>
      <c r="AY78" s="15">
        <f>'районы КП, СП'!BC82</f>
        <v>0</v>
      </c>
      <c r="AZ78" s="15">
        <f>'районы КП, СП'!BD82</f>
        <v>0</v>
      </c>
      <c r="BA78" s="15">
        <f>'районы КП, СП'!BE82</f>
        <v>0</v>
      </c>
      <c r="BB78" s="15">
        <f>'районы КП, СП'!BF82</f>
        <v>0</v>
      </c>
      <c r="BC78" s="15">
        <f>'районы КП, СП'!BG82</f>
        <v>0</v>
      </c>
      <c r="BD78" s="15">
        <f>'районы КП, СП'!BH82</f>
        <v>0</v>
      </c>
      <c r="BE78" s="15">
        <f>'районы КП, СП'!BI82</f>
        <v>0</v>
      </c>
      <c r="BF78" s="15">
        <f>'районы КП, СП'!BJ82</f>
        <v>0</v>
      </c>
      <c r="BG78" s="15">
        <f>'районы НП, ЧП'!K82</f>
        <v>0</v>
      </c>
      <c r="BH78" s="15">
        <f>'районы НП, ЧП'!L82</f>
        <v>0</v>
      </c>
      <c r="BI78" s="15">
        <f>'районы НП, ЧП'!M82</f>
        <v>0</v>
      </c>
      <c r="BJ78" s="15">
        <f>'районы НП, ЧП'!N82</f>
        <v>0</v>
      </c>
      <c r="BK78" s="15">
        <f>'районы НП, ЧП'!AA82</f>
        <v>0</v>
      </c>
      <c r="BL78" s="15">
        <f>'районы НП, ЧП'!AB82</f>
        <v>0</v>
      </c>
      <c r="BM78" s="15">
        <f>'районы НП, ЧП'!AC82</f>
        <v>0</v>
      </c>
      <c r="BN78" s="15">
        <f>'районы НП, ЧП'!AD82</f>
        <v>0</v>
      </c>
      <c r="BO78" s="15">
        <f>'районы НП, ЧП'!AE82</f>
        <v>0</v>
      </c>
      <c r="BP78" s="15">
        <f>'районы НП, ЧП'!AF82</f>
        <v>0</v>
      </c>
      <c r="BQ78" s="15">
        <f>'районы НП, ЧП'!AG82</f>
        <v>0</v>
      </c>
      <c r="BR78" s="15">
        <f>'районы НП, ЧП'!AH82</f>
        <v>0</v>
      </c>
      <c r="BS78" s="15">
        <f>'районы НП, ЧП'!AI82</f>
        <v>0</v>
      </c>
      <c r="BT78" s="15">
        <f>'районы НП, ЧП'!AJ82</f>
        <v>0</v>
      </c>
      <c r="BU78" s="15">
        <f>'районы НП, ЧП'!AK82</f>
        <v>0</v>
      </c>
      <c r="BV78" s="15">
        <f>'районы НП, ЧП'!AL82</f>
        <v>0</v>
      </c>
      <c r="BW78" s="15">
        <f>'районы НП, ЧП'!AM82</f>
        <v>0</v>
      </c>
      <c r="BX78" s="15">
        <f>'районы НП, ЧП'!AN82</f>
        <v>0</v>
      </c>
      <c r="BY78" s="15">
        <f>'районы НП, ЧП'!AO82</f>
        <v>0</v>
      </c>
      <c r="BZ78" s="15">
        <f>'районы НП, ЧП'!AP82</f>
        <v>0</v>
      </c>
      <c r="CA78" s="15">
        <f>'районы НП, ЧП'!AU82</f>
        <v>0</v>
      </c>
      <c r="CB78" s="15">
        <f>'районы НП, ЧП'!AV82</f>
        <v>0</v>
      </c>
      <c r="CC78" s="15">
        <f>'районы НП, ЧП'!AW82</f>
        <v>0</v>
      </c>
      <c r="CD78" s="15">
        <f>'районы НП, ЧП'!AX82</f>
        <v>0</v>
      </c>
      <c r="CE78" s="292">
        <f t="shared" si="10"/>
        <v>500</v>
      </c>
      <c r="CF78" s="292">
        <f t="shared" si="11"/>
        <v>500</v>
      </c>
      <c r="CG78" s="333">
        <f t="shared" si="11"/>
        <v>566</v>
      </c>
      <c r="CH78" s="293">
        <f t="shared" si="12"/>
        <v>113.19999999999999</v>
      </c>
    </row>
    <row r="79" spans="1:87" s="7" customFormat="1" ht="15.75" x14ac:dyDescent="0.25">
      <c r="A79" s="94" t="s">
        <v>187</v>
      </c>
      <c r="B79" s="101"/>
      <c r="C79" s="299">
        <f>КЛПУ!BS83</f>
        <v>935268.39999999991</v>
      </c>
      <c r="D79" s="299">
        <f>КЛПУ!BT83</f>
        <v>935268.39999999991</v>
      </c>
      <c r="E79" s="299">
        <f>КЛПУ!BU83</f>
        <v>912174</v>
      </c>
      <c r="F79" s="299">
        <f>КЛПУ!BV83</f>
        <v>97.530719523935588</v>
      </c>
      <c r="G79" s="299">
        <f>Хабаровск!EY83</f>
        <v>778227.40249999997</v>
      </c>
      <c r="H79" s="299">
        <f>Хабаровск!EZ83</f>
        <v>778227.40249999997</v>
      </c>
      <c r="I79" s="299">
        <f>Хабаровск!FA83</f>
        <v>870785.60000000009</v>
      </c>
      <c r="J79" s="299">
        <f>Хабаровск!FB83</f>
        <v>111.89346419859586</v>
      </c>
      <c r="K79" s="299">
        <f>'Хаб.р-ны'!K83</f>
        <v>15923</v>
      </c>
      <c r="L79" s="299">
        <f>'Хаб.р-ны'!L83</f>
        <v>15923</v>
      </c>
      <c r="M79" s="299">
        <f>'Хаб.р-ны'!M83</f>
        <v>7813</v>
      </c>
      <c r="N79" s="299">
        <f>'Хаб.р-ны'!N83</f>
        <v>49.067386798970041</v>
      </c>
      <c r="O79" s="299">
        <f>'Хаб.р-ны'!AA83</f>
        <v>12745</v>
      </c>
      <c r="P79" s="299">
        <f>'Хаб.р-ны'!AB83</f>
        <v>12745</v>
      </c>
      <c r="Q79" s="299">
        <f>'Хаб.р-ны'!AC83</f>
        <v>14059</v>
      </c>
      <c r="R79" s="299">
        <f>'Хаб.р-ны'!AD83</f>
        <v>110.30992546096508</v>
      </c>
      <c r="S79" s="299">
        <f>'Хаб.р-ны'!AU83</f>
        <v>57907</v>
      </c>
      <c r="T79" s="299">
        <f>'Хаб.р-ны'!AV83</f>
        <v>57907</v>
      </c>
      <c r="U79" s="299">
        <f>'Хаб.р-ны'!AW83</f>
        <v>32968</v>
      </c>
      <c r="V79" s="299">
        <f>'Хаб.р-ны'!AX83</f>
        <v>56.932667898526944</v>
      </c>
      <c r="W79" s="299">
        <f>'Хаб.р-ны'!AY83</f>
        <v>21421.97</v>
      </c>
      <c r="X79" s="299">
        <f>'Хаб.р-ны'!AZ83</f>
        <v>21421.97</v>
      </c>
      <c r="Y79" s="299">
        <f>'Хаб.р-ны'!BA83</f>
        <v>17971</v>
      </c>
      <c r="Z79" s="299">
        <f>'Хаб.р-ны'!BB83</f>
        <v>83.890510536612638</v>
      </c>
      <c r="AA79" s="299">
        <f>'Хаб.р-ны'!BK83</f>
        <v>49016.904399999999</v>
      </c>
      <c r="AB79" s="299">
        <f>'Хаб.р-ны'!BL83</f>
        <v>49016.904399999999</v>
      </c>
      <c r="AC79" s="299">
        <f>'Хаб.р-ны'!BM83</f>
        <v>42832</v>
      </c>
      <c r="AD79" s="299">
        <f>'Хаб.р-ны'!BN83</f>
        <v>87.382099143739481</v>
      </c>
      <c r="AE79" s="299">
        <f>Комсомольск!BO83</f>
        <v>639154.6</v>
      </c>
      <c r="AF79" s="299">
        <f>Комсомольск!BP83</f>
        <v>639154.6</v>
      </c>
      <c r="AG79" s="299">
        <f>Комсомольск!BQ83</f>
        <v>639529.80000000005</v>
      </c>
      <c r="AH79" s="299">
        <f>Комсомольск!BR83</f>
        <v>100.0587025423896</v>
      </c>
      <c r="AI79" s="299">
        <f>'районы КП, СП'!K83</f>
        <v>56425</v>
      </c>
      <c r="AJ79" s="299">
        <f>'районы КП, СП'!L83</f>
        <v>56425</v>
      </c>
      <c r="AK79" s="299">
        <f>'районы КП, СП'!M83</f>
        <v>57876</v>
      </c>
      <c r="AL79" s="299">
        <f>'районы КП, СП'!N83</f>
        <v>102.57155516171909</v>
      </c>
      <c r="AM79" s="299">
        <f>'районы КП, СП'!W83</f>
        <v>21100</v>
      </c>
      <c r="AN79" s="299">
        <f>'районы КП, СП'!X83</f>
        <v>21100</v>
      </c>
      <c r="AO79" s="299">
        <f>'районы КП, СП'!Y83</f>
        <v>23089</v>
      </c>
      <c r="AP79" s="299">
        <f>'районы КП, СП'!Z83</f>
        <v>109.42654028436019</v>
      </c>
      <c r="AQ79" s="299">
        <f>'районы КП, СП'!AA83</f>
        <v>25273.4087</v>
      </c>
      <c r="AR79" s="299">
        <f>'районы КП, СП'!AB83</f>
        <v>25273.4087</v>
      </c>
      <c r="AS79" s="299">
        <f>'районы КП, СП'!AC83</f>
        <v>31805</v>
      </c>
      <c r="AT79" s="299">
        <f>'районы КП, СП'!AD83</f>
        <v>125.84372918402573</v>
      </c>
      <c r="AU79" s="299">
        <f>'районы КП, СП'!AM83</f>
        <v>43126</v>
      </c>
      <c r="AV79" s="299">
        <f>'районы КП, СП'!AN83</f>
        <v>43126</v>
      </c>
      <c r="AW79" s="299">
        <f>'районы КП, СП'!AO83</f>
        <v>38276</v>
      </c>
      <c r="AX79" s="299">
        <f>'районы КП, СП'!AP83</f>
        <v>88.753883967907981</v>
      </c>
      <c r="AY79" s="299">
        <f>'районы КП, СП'!BC83</f>
        <v>30556</v>
      </c>
      <c r="AZ79" s="299">
        <f>'районы КП, СП'!BD83</f>
        <v>30556</v>
      </c>
      <c r="BA79" s="299">
        <f>'районы КП, СП'!BE83</f>
        <v>24604</v>
      </c>
      <c r="BB79" s="299">
        <f>'районы КП, СП'!BF83</f>
        <v>80.521010603482139</v>
      </c>
      <c r="BC79" s="299">
        <f>'районы КП, СП'!BG83</f>
        <v>4963</v>
      </c>
      <c r="BD79" s="299">
        <f>'районы КП, СП'!BH83</f>
        <v>4963</v>
      </c>
      <c r="BE79" s="299">
        <f>'районы КП, СП'!BI83</f>
        <v>2813</v>
      </c>
      <c r="BF79" s="299">
        <f>'районы КП, СП'!BJ83</f>
        <v>56.679427765464439</v>
      </c>
      <c r="BG79" s="299">
        <f>'районы НП, ЧП'!K83</f>
        <v>39669.5</v>
      </c>
      <c r="BH79" s="299">
        <f>'районы НП, ЧП'!L83</f>
        <v>39669.5</v>
      </c>
      <c r="BI79" s="299">
        <f>'районы НП, ЧП'!M83</f>
        <v>31886</v>
      </c>
      <c r="BJ79" s="299">
        <f>'районы НП, ЧП'!N83</f>
        <v>80.379132582966761</v>
      </c>
      <c r="BK79" s="299">
        <f>'районы НП, ЧП'!AA83</f>
        <v>20553</v>
      </c>
      <c r="BL79" s="299">
        <f>'районы НП, ЧП'!AB83</f>
        <v>20553</v>
      </c>
      <c r="BM79" s="299">
        <f>'районы НП, ЧП'!AC83</f>
        <v>15725</v>
      </c>
      <c r="BN79" s="299">
        <f>'районы НП, ЧП'!AD83</f>
        <v>76.509511993382958</v>
      </c>
      <c r="BO79" s="299">
        <f>'районы НП, ЧП'!AE83</f>
        <v>3577</v>
      </c>
      <c r="BP79" s="299">
        <f>'районы НП, ЧП'!AF83</f>
        <v>3577</v>
      </c>
      <c r="BQ79" s="299">
        <f>'районы НП, ЧП'!AG83</f>
        <v>4989</v>
      </c>
      <c r="BR79" s="299">
        <f>'районы НП, ЧП'!AH83</f>
        <v>139.47441990494829</v>
      </c>
      <c r="BS79" s="299">
        <f>'районы НП, ЧП'!AI83</f>
        <v>1611</v>
      </c>
      <c r="BT79" s="299">
        <f>'районы НП, ЧП'!AJ83</f>
        <v>1611</v>
      </c>
      <c r="BU79" s="299">
        <f>'районы НП, ЧП'!AK83</f>
        <v>1763</v>
      </c>
      <c r="BV79" s="299">
        <f>'районы НП, ЧП'!AL83</f>
        <v>109.43513345747982</v>
      </c>
      <c r="BW79" s="299">
        <f>'районы НП, ЧП'!AM83</f>
        <v>8624</v>
      </c>
      <c r="BX79" s="299">
        <f>'районы НП, ЧП'!AN83</f>
        <v>8624</v>
      </c>
      <c r="BY79" s="299">
        <f>'районы НП, ЧП'!AO83</f>
        <v>5684</v>
      </c>
      <c r="BZ79" s="299">
        <f>'районы НП, ЧП'!AP83</f>
        <v>65.909090909090907</v>
      </c>
      <c r="CA79" s="299">
        <f>'районы НП, ЧП'!AU83</f>
        <v>9247</v>
      </c>
      <c r="CB79" s="299">
        <f>'районы НП, ЧП'!AV83</f>
        <v>9247</v>
      </c>
      <c r="CC79" s="299">
        <f>'районы НП, ЧП'!AW83</f>
        <v>3392</v>
      </c>
      <c r="CD79" s="299">
        <f>'районы НП, ЧП'!AX83</f>
        <v>36.682167189358708</v>
      </c>
      <c r="CE79" s="300">
        <f t="shared" si="10"/>
        <v>2774389.1856</v>
      </c>
      <c r="CF79" s="300">
        <f t="shared" si="11"/>
        <v>2774389.1856</v>
      </c>
      <c r="CG79" s="300">
        <f t="shared" si="11"/>
        <v>2780034.4000000004</v>
      </c>
      <c r="CH79" s="301">
        <f t="shared" si="12"/>
        <v>100.20347593730905</v>
      </c>
    </row>
    <row r="80" spans="1:87" ht="15.75" x14ac:dyDescent="0.25">
      <c r="A80" s="46" t="s">
        <v>184</v>
      </c>
      <c r="B80" s="71"/>
      <c r="C80" s="15">
        <f>КЛПУ!BS84</f>
        <v>0</v>
      </c>
      <c r="D80" s="15">
        <f>КЛПУ!BT84</f>
        <v>0</v>
      </c>
      <c r="E80" s="15">
        <f>КЛПУ!BU84</f>
        <v>0</v>
      </c>
      <c r="F80" s="15">
        <f>КЛПУ!BV84</f>
        <v>0</v>
      </c>
      <c r="G80" s="15">
        <f>Хабаровск!EY84</f>
        <v>0</v>
      </c>
      <c r="H80" s="15">
        <f>Хабаровск!EZ84</f>
        <v>0</v>
      </c>
      <c r="I80" s="15">
        <f>Хабаровск!FA84</f>
        <v>0</v>
      </c>
      <c r="J80" s="15">
        <f>Хабаровск!FB84</f>
        <v>0</v>
      </c>
      <c r="K80" s="15">
        <f>'Хаб.р-ны'!K84</f>
        <v>0</v>
      </c>
      <c r="L80" s="15">
        <f>'Хаб.р-ны'!L84</f>
        <v>0</v>
      </c>
      <c r="M80" s="15">
        <f>'Хаб.р-ны'!M84</f>
        <v>0</v>
      </c>
      <c r="N80" s="15">
        <f>'Хаб.р-ны'!N84</f>
        <v>0</v>
      </c>
      <c r="O80" s="15">
        <f>'Хаб.р-ны'!AA84</f>
        <v>0</v>
      </c>
      <c r="P80" s="15">
        <f>'Хаб.р-ны'!AB84</f>
        <v>0</v>
      </c>
      <c r="Q80" s="15">
        <f>'Хаб.р-ны'!AC84</f>
        <v>0</v>
      </c>
      <c r="R80" s="15">
        <f>'Хаб.р-ны'!AD84</f>
        <v>0</v>
      </c>
      <c r="S80" s="15">
        <f>'Хаб.р-ны'!AU84</f>
        <v>0</v>
      </c>
      <c r="T80" s="15">
        <f>'Хаб.р-ны'!AV84</f>
        <v>0</v>
      </c>
      <c r="U80" s="15">
        <f>'Хаб.р-ны'!AW84</f>
        <v>0</v>
      </c>
      <c r="V80" s="15">
        <f>'Хаб.р-ны'!AX84</f>
        <v>0</v>
      </c>
      <c r="W80" s="15">
        <f>'Хаб.р-ны'!AY84</f>
        <v>0</v>
      </c>
      <c r="X80" s="15">
        <f>'Хаб.р-ны'!AZ84</f>
        <v>0</v>
      </c>
      <c r="Y80" s="15">
        <f>'Хаб.р-ны'!BA84</f>
        <v>0</v>
      </c>
      <c r="Z80" s="15">
        <f>'Хаб.р-ны'!BB84</f>
        <v>0</v>
      </c>
      <c r="AA80" s="15">
        <f>'Хаб.р-ны'!BK84</f>
        <v>0</v>
      </c>
      <c r="AB80" s="15">
        <f>'Хаб.р-ны'!BL84</f>
        <v>0</v>
      </c>
      <c r="AC80" s="15">
        <f>'Хаб.р-ны'!BM84</f>
        <v>0</v>
      </c>
      <c r="AD80" s="15">
        <f>'Хаб.р-ны'!BN84</f>
        <v>0</v>
      </c>
      <c r="AE80" s="15">
        <f>Комсомольск!BO84</f>
        <v>0</v>
      </c>
      <c r="AF80" s="15">
        <f>Комсомольск!BP84</f>
        <v>0</v>
      </c>
      <c r="AG80" s="15">
        <f>Комсомольск!BQ84</f>
        <v>0</v>
      </c>
      <c r="AH80" s="15">
        <f>Комсомольск!BR84</f>
        <v>0</v>
      </c>
      <c r="AI80" s="15">
        <f>'районы КП, СП'!K84</f>
        <v>0</v>
      </c>
      <c r="AJ80" s="15">
        <f>'районы КП, СП'!L84</f>
        <v>0</v>
      </c>
      <c r="AK80" s="15">
        <f>'районы КП, СП'!M84</f>
        <v>0</v>
      </c>
      <c r="AL80" s="15">
        <f>'районы КП, СП'!N84</f>
        <v>0</v>
      </c>
      <c r="AM80" s="15">
        <f>'районы КП, СП'!W84</f>
        <v>0</v>
      </c>
      <c r="AN80" s="15">
        <f>'районы КП, СП'!X84</f>
        <v>0</v>
      </c>
      <c r="AO80" s="15">
        <f>'районы КП, СП'!Y84</f>
        <v>0</v>
      </c>
      <c r="AP80" s="15">
        <f>'районы КП, СП'!Z84</f>
        <v>0</v>
      </c>
      <c r="AQ80" s="15">
        <f>'районы КП, СП'!AA84</f>
        <v>0</v>
      </c>
      <c r="AR80" s="15">
        <f>'районы КП, СП'!AB84</f>
        <v>0</v>
      </c>
      <c r="AS80" s="15">
        <f>'районы КП, СП'!AC84</f>
        <v>0</v>
      </c>
      <c r="AT80" s="15">
        <f>'районы КП, СП'!AD84</f>
        <v>0</v>
      </c>
      <c r="AU80" s="15">
        <f>'районы КП, СП'!AM84</f>
        <v>0</v>
      </c>
      <c r="AV80" s="15">
        <f>'районы КП, СП'!AN84</f>
        <v>0</v>
      </c>
      <c r="AW80" s="15">
        <f>'районы КП, СП'!AO84</f>
        <v>0</v>
      </c>
      <c r="AX80" s="15">
        <f>'районы КП, СП'!AP84</f>
        <v>0</v>
      </c>
      <c r="AY80" s="15">
        <f>'районы КП, СП'!BC84</f>
        <v>0</v>
      </c>
      <c r="AZ80" s="15">
        <f>'районы КП, СП'!BD84</f>
        <v>0</v>
      </c>
      <c r="BA80" s="15">
        <f>'районы КП, СП'!BE84</f>
        <v>0</v>
      </c>
      <c r="BB80" s="15">
        <f>'районы КП, СП'!BF84</f>
        <v>0</v>
      </c>
      <c r="BC80" s="15">
        <f>'районы КП, СП'!BG84</f>
        <v>0</v>
      </c>
      <c r="BD80" s="15">
        <f>'районы КП, СП'!BH84</f>
        <v>0</v>
      </c>
      <c r="BE80" s="15">
        <f>'районы КП, СП'!BI84</f>
        <v>0</v>
      </c>
      <c r="BF80" s="15">
        <f>'районы КП, СП'!BJ84</f>
        <v>0</v>
      </c>
      <c r="BG80" s="15">
        <f>'районы НП, ЧП'!K84</f>
        <v>0</v>
      </c>
      <c r="BH80" s="15">
        <f>'районы НП, ЧП'!L84</f>
        <v>0</v>
      </c>
      <c r="BI80" s="15">
        <f>'районы НП, ЧП'!M84</f>
        <v>0</v>
      </c>
      <c r="BJ80" s="15">
        <f>'районы НП, ЧП'!N84</f>
        <v>0</v>
      </c>
      <c r="BK80" s="15">
        <f>'районы НП, ЧП'!AA84</f>
        <v>0</v>
      </c>
      <c r="BL80" s="15">
        <f>'районы НП, ЧП'!AB84</f>
        <v>0</v>
      </c>
      <c r="BM80" s="15">
        <f>'районы НП, ЧП'!AC84</f>
        <v>0</v>
      </c>
      <c r="BN80" s="15">
        <f>'районы НП, ЧП'!AD84</f>
        <v>0</v>
      </c>
      <c r="BO80" s="15">
        <f>'районы НП, ЧП'!AE84</f>
        <v>0</v>
      </c>
      <c r="BP80" s="15">
        <f>'районы НП, ЧП'!AF84</f>
        <v>0</v>
      </c>
      <c r="BQ80" s="15">
        <f>'районы НП, ЧП'!AG84</f>
        <v>0</v>
      </c>
      <c r="BR80" s="15">
        <f>'районы НП, ЧП'!AH84</f>
        <v>0</v>
      </c>
      <c r="BS80" s="15">
        <f>'районы НП, ЧП'!AI84</f>
        <v>0</v>
      </c>
      <c r="BT80" s="15">
        <f>'районы НП, ЧП'!AJ84</f>
        <v>0</v>
      </c>
      <c r="BU80" s="15">
        <f>'районы НП, ЧП'!AK84</f>
        <v>0</v>
      </c>
      <c r="BV80" s="15">
        <f>'районы НП, ЧП'!AL84</f>
        <v>0</v>
      </c>
      <c r="BW80" s="15">
        <f>'районы НП, ЧП'!AM84</f>
        <v>0</v>
      </c>
      <c r="BX80" s="15">
        <f>'районы НП, ЧП'!AN84</f>
        <v>0</v>
      </c>
      <c r="BY80" s="15">
        <f>'районы НП, ЧП'!AO84</f>
        <v>0</v>
      </c>
      <c r="BZ80" s="15">
        <f>'районы НП, ЧП'!AP84</f>
        <v>0</v>
      </c>
      <c r="CA80" s="15">
        <f>'районы НП, ЧП'!AU84</f>
        <v>0</v>
      </c>
      <c r="CB80" s="15">
        <f>'районы НП, ЧП'!AV84</f>
        <v>0</v>
      </c>
      <c r="CC80" s="15">
        <f>'районы НП, ЧП'!AW84</f>
        <v>0</v>
      </c>
      <c r="CD80" s="15">
        <f>'районы НП, ЧП'!AX84</f>
        <v>0</v>
      </c>
      <c r="CE80" s="292">
        <f t="shared" si="10"/>
        <v>0</v>
      </c>
      <c r="CF80" s="292">
        <f t="shared" si="11"/>
        <v>0</v>
      </c>
      <c r="CG80" s="292">
        <f t="shared" si="11"/>
        <v>0</v>
      </c>
      <c r="CH80" s="293"/>
    </row>
    <row r="81" spans="1:86" ht="15.75" x14ac:dyDescent="0.25">
      <c r="A81" s="72" t="s">
        <v>186</v>
      </c>
      <c r="B81" s="71"/>
      <c r="C81" s="15">
        <f>КЛПУ!BS85</f>
        <v>498380</v>
      </c>
      <c r="D81" s="15">
        <f>КЛПУ!BT85</f>
        <v>498380</v>
      </c>
      <c r="E81" s="15">
        <f>КЛПУ!BU85</f>
        <v>495788</v>
      </c>
      <c r="F81" s="15">
        <f>КЛПУ!BV85</f>
        <v>99.479914924354901</v>
      </c>
      <c r="G81" s="15">
        <f>Хабаровск!EY85</f>
        <v>1066880</v>
      </c>
      <c r="H81" s="15">
        <f>Хабаровск!EZ85</f>
        <v>1066880</v>
      </c>
      <c r="I81" s="15">
        <f>Хабаровск!FA85</f>
        <v>1066007.75</v>
      </c>
      <c r="J81" s="15">
        <f>Хабаровск!FB85</f>
        <v>99.918242913917226</v>
      </c>
      <c r="K81" s="15">
        <f>'Хаб.р-ны'!K85</f>
        <v>0</v>
      </c>
      <c r="L81" s="15">
        <f>'Хаб.р-ны'!L85</f>
        <v>0</v>
      </c>
      <c r="M81" s="15">
        <f>'Хаб.р-ны'!M85</f>
        <v>0</v>
      </c>
      <c r="N81" s="15">
        <f>'Хаб.р-ны'!N85</f>
        <v>0</v>
      </c>
      <c r="O81" s="15">
        <f>'Хаб.р-ны'!AA85</f>
        <v>0</v>
      </c>
      <c r="P81" s="15">
        <f>'Хаб.р-ны'!AB85</f>
        <v>0</v>
      </c>
      <c r="Q81" s="15">
        <f>'Хаб.р-ны'!AC85</f>
        <v>0</v>
      </c>
      <c r="R81" s="15">
        <f>'Хаб.р-ны'!AD85</f>
        <v>0</v>
      </c>
      <c r="S81" s="15">
        <f>'Хаб.р-ны'!AU85</f>
        <v>0</v>
      </c>
      <c r="T81" s="15">
        <f>'Хаб.р-ны'!AV85</f>
        <v>0</v>
      </c>
      <c r="U81" s="15">
        <f>'Хаб.р-ны'!AW85</f>
        <v>0</v>
      </c>
      <c r="V81" s="15">
        <f>'Хаб.р-ны'!AX85</f>
        <v>0</v>
      </c>
      <c r="W81" s="15">
        <f>'Хаб.р-ны'!AY85</f>
        <v>0</v>
      </c>
      <c r="X81" s="15">
        <f>'Хаб.р-ны'!AZ85</f>
        <v>0</v>
      </c>
      <c r="Y81" s="15">
        <f>'Хаб.р-ны'!BA85</f>
        <v>0</v>
      </c>
      <c r="Z81" s="15">
        <f>'Хаб.р-ны'!BB85</f>
        <v>0</v>
      </c>
      <c r="AA81" s="15">
        <f>'Хаб.р-ны'!BK85</f>
        <v>0</v>
      </c>
      <c r="AB81" s="15">
        <f>'Хаб.р-ны'!BL85</f>
        <v>0</v>
      </c>
      <c r="AC81" s="15">
        <f>'Хаб.р-ны'!BM85</f>
        <v>0</v>
      </c>
      <c r="AD81" s="15">
        <f>'Хаб.р-ны'!BN85</f>
        <v>0</v>
      </c>
      <c r="AE81" s="15">
        <f>Комсомольск!BO85</f>
        <v>624550</v>
      </c>
      <c r="AF81" s="15">
        <f>Комсомольск!BP85</f>
        <v>624550</v>
      </c>
      <c r="AG81" s="15">
        <f>Комсомольск!BQ85</f>
        <v>625693.5</v>
      </c>
      <c r="AH81" s="15">
        <f>Комсомольск!BR85</f>
        <v>100.1830918261148</v>
      </c>
      <c r="AI81" s="15">
        <f>'районы КП, СП'!K85</f>
        <v>138265</v>
      </c>
      <c r="AJ81" s="15">
        <f>'районы КП, СП'!L85</f>
        <v>138265</v>
      </c>
      <c r="AK81" s="15">
        <f>'районы КП, СП'!M85</f>
        <v>138415</v>
      </c>
      <c r="AL81" s="15">
        <f>'районы КП, СП'!N85</f>
        <v>100.10848732506419</v>
      </c>
      <c r="AM81" s="15">
        <f>'районы КП, СП'!W85</f>
        <v>0</v>
      </c>
      <c r="AN81" s="15">
        <f>'районы КП, СП'!X85</f>
        <v>0</v>
      </c>
      <c r="AO81" s="15">
        <f>'районы КП, СП'!Y85</f>
        <v>0</v>
      </c>
      <c r="AP81" s="15">
        <f>'районы КП, СП'!Z85</f>
        <v>0</v>
      </c>
      <c r="AQ81" s="15">
        <f>'районы КП, СП'!AA85</f>
        <v>0</v>
      </c>
      <c r="AR81" s="15">
        <f>'районы КП, СП'!AB85</f>
        <v>0</v>
      </c>
      <c r="AS81" s="15">
        <f>'районы КП, СП'!AC85</f>
        <v>0</v>
      </c>
      <c r="AT81" s="15">
        <f>'районы КП, СП'!AD85</f>
        <v>0</v>
      </c>
      <c r="AU81" s="15">
        <f>'районы КП, СП'!AM85</f>
        <v>0</v>
      </c>
      <c r="AV81" s="15">
        <f>'районы КП, СП'!AN85</f>
        <v>0</v>
      </c>
      <c r="AW81" s="15">
        <f>'районы КП, СП'!AO85</f>
        <v>0</v>
      </c>
      <c r="AX81" s="15">
        <f>'районы КП, СП'!AP85</f>
        <v>0</v>
      </c>
      <c r="AY81" s="15">
        <f>'районы КП, СП'!BC85</f>
        <v>0</v>
      </c>
      <c r="AZ81" s="15">
        <f>'районы КП, СП'!BD85</f>
        <v>0</v>
      </c>
      <c r="BA81" s="15">
        <f>'районы КП, СП'!BE85</f>
        <v>0</v>
      </c>
      <c r="BB81" s="15">
        <f>'районы КП, СП'!BF85</f>
        <v>0</v>
      </c>
      <c r="BC81" s="15">
        <f>'районы КП, СП'!BG85</f>
        <v>0</v>
      </c>
      <c r="BD81" s="15">
        <f>'районы КП, СП'!BH85</f>
        <v>0</v>
      </c>
      <c r="BE81" s="15">
        <f>'районы КП, СП'!BI85</f>
        <v>0</v>
      </c>
      <c r="BF81" s="15">
        <f>'районы КП, СП'!BJ85</f>
        <v>0</v>
      </c>
      <c r="BG81" s="15">
        <f>'районы НП, ЧП'!K85</f>
        <v>0</v>
      </c>
      <c r="BH81" s="15">
        <f>'районы НП, ЧП'!L85</f>
        <v>0</v>
      </c>
      <c r="BI81" s="15">
        <f>'районы НП, ЧП'!M85</f>
        <v>0</v>
      </c>
      <c r="BJ81" s="15">
        <f>'районы НП, ЧП'!N85</f>
        <v>0</v>
      </c>
      <c r="BK81" s="15">
        <f>'районы НП, ЧП'!AA85</f>
        <v>0</v>
      </c>
      <c r="BL81" s="15">
        <f>'районы НП, ЧП'!AB85</f>
        <v>0</v>
      </c>
      <c r="BM81" s="15">
        <f>'районы НП, ЧП'!AC85</f>
        <v>0</v>
      </c>
      <c r="BN81" s="15">
        <f>'районы НП, ЧП'!AD85</f>
        <v>0</v>
      </c>
      <c r="BO81" s="15">
        <f>'районы НП, ЧП'!AE85</f>
        <v>0</v>
      </c>
      <c r="BP81" s="15">
        <f>'районы НП, ЧП'!AF85</f>
        <v>0</v>
      </c>
      <c r="BQ81" s="15">
        <f>'районы НП, ЧП'!AG85</f>
        <v>0</v>
      </c>
      <c r="BR81" s="15">
        <f>'районы НП, ЧП'!AH85</f>
        <v>0</v>
      </c>
      <c r="BS81" s="15">
        <f>'районы НП, ЧП'!AI85</f>
        <v>0</v>
      </c>
      <c r="BT81" s="15">
        <f>'районы НП, ЧП'!AJ85</f>
        <v>0</v>
      </c>
      <c r="BU81" s="15">
        <f>'районы НП, ЧП'!AK85</f>
        <v>0</v>
      </c>
      <c r="BV81" s="15">
        <f>'районы НП, ЧП'!AL85</f>
        <v>0</v>
      </c>
      <c r="BW81" s="15">
        <f>'районы НП, ЧП'!AM85</f>
        <v>0</v>
      </c>
      <c r="BX81" s="15">
        <f>'районы НП, ЧП'!AN85</f>
        <v>0</v>
      </c>
      <c r="BY81" s="15">
        <f>'районы НП, ЧП'!AO85</f>
        <v>0</v>
      </c>
      <c r="BZ81" s="15">
        <f>'районы НП, ЧП'!AP85</f>
        <v>0</v>
      </c>
      <c r="CA81" s="15">
        <f>'районы НП, ЧП'!AU85</f>
        <v>0</v>
      </c>
      <c r="CB81" s="15">
        <f>'районы НП, ЧП'!AV85</f>
        <v>0</v>
      </c>
      <c r="CC81" s="15">
        <f>'районы НП, ЧП'!AW85</f>
        <v>0</v>
      </c>
      <c r="CD81" s="15">
        <f>'районы НП, ЧП'!AX85</f>
        <v>0</v>
      </c>
      <c r="CE81" s="292">
        <f t="shared" si="10"/>
        <v>2328075</v>
      </c>
      <c r="CF81" s="292">
        <f t="shared" si="11"/>
        <v>2328075</v>
      </c>
      <c r="CG81" s="292">
        <f t="shared" si="11"/>
        <v>2325904.25</v>
      </c>
      <c r="CH81" s="293">
        <f t="shared" si="12"/>
        <v>99.90675772902506</v>
      </c>
    </row>
    <row r="82" spans="1:86" s="7" customFormat="1" ht="15.75" x14ac:dyDescent="0.25">
      <c r="A82" s="107" t="s">
        <v>185</v>
      </c>
      <c r="B82" s="101"/>
      <c r="C82" s="299">
        <f>КЛПУ!BS86</f>
        <v>124595</v>
      </c>
      <c r="D82" s="299">
        <f>КЛПУ!BT86</f>
        <v>124595</v>
      </c>
      <c r="E82" s="299">
        <f>КЛПУ!BU86</f>
        <v>123947</v>
      </c>
      <c r="F82" s="299">
        <f>КЛПУ!BV86</f>
        <v>99.479914924354901</v>
      </c>
      <c r="G82" s="299">
        <f>Хабаровск!EY86</f>
        <v>266720</v>
      </c>
      <c r="H82" s="299">
        <f>Хабаровск!EZ86</f>
        <v>266720</v>
      </c>
      <c r="I82" s="299">
        <f>Хабаровск!FA86</f>
        <v>266501.9375</v>
      </c>
      <c r="J82" s="299">
        <f>Хабаровск!FB86</f>
        <v>99.918242913917226</v>
      </c>
      <c r="K82" s="299">
        <f>'Хаб.р-ны'!K86</f>
        <v>0</v>
      </c>
      <c r="L82" s="299">
        <f>'Хаб.р-ны'!L86</f>
        <v>0</v>
      </c>
      <c r="M82" s="299">
        <f>'Хаб.р-ны'!M86</f>
        <v>0</v>
      </c>
      <c r="N82" s="299">
        <f>'Хаб.р-ны'!N86</f>
        <v>0</v>
      </c>
      <c r="O82" s="299">
        <f>'Хаб.р-ны'!AA86</f>
        <v>0</v>
      </c>
      <c r="P82" s="299">
        <f>'Хаб.р-ны'!AB86</f>
        <v>0</v>
      </c>
      <c r="Q82" s="299">
        <f>'Хаб.р-ны'!AC86</f>
        <v>0</v>
      </c>
      <c r="R82" s="299">
        <f>'Хаб.р-ны'!AD86</f>
        <v>0</v>
      </c>
      <c r="S82" s="299">
        <f>'Хаб.р-ны'!AU86</f>
        <v>0</v>
      </c>
      <c r="T82" s="299">
        <f>'Хаб.р-ны'!AV86</f>
        <v>0</v>
      </c>
      <c r="U82" s="299">
        <f>'Хаб.р-ны'!AW86</f>
        <v>0</v>
      </c>
      <c r="V82" s="299">
        <f>'Хаб.р-ны'!AX86</f>
        <v>0</v>
      </c>
      <c r="W82" s="299">
        <f>'Хаб.р-ны'!AY86</f>
        <v>0</v>
      </c>
      <c r="X82" s="299">
        <f>'Хаб.р-ны'!AZ86</f>
        <v>0</v>
      </c>
      <c r="Y82" s="299">
        <f>'Хаб.р-ны'!BA86</f>
        <v>0</v>
      </c>
      <c r="Z82" s="299">
        <f>'Хаб.р-ны'!BB86</f>
        <v>0</v>
      </c>
      <c r="AA82" s="299">
        <f>'Хаб.р-ны'!BK86</f>
        <v>0</v>
      </c>
      <c r="AB82" s="299">
        <f>'Хаб.р-ны'!BL86</f>
        <v>0</v>
      </c>
      <c r="AC82" s="299">
        <f>'Хаб.р-ны'!BM86</f>
        <v>0</v>
      </c>
      <c r="AD82" s="299">
        <f>'Хаб.р-ны'!BN86</f>
        <v>0</v>
      </c>
      <c r="AE82" s="299">
        <f>Комсомольск!BO86</f>
        <v>156137.5</v>
      </c>
      <c r="AF82" s="299">
        <f>Комсомольск!BP86</f>
        <v>156137.5</v>
      </c>
      <c r="AG82" s="299">
        <f>Комсомольск!BQ86</f>
        <v>156423.375</v>
      </c>
      <c r="AH82" s="299">
        <f>Комсомольск!BR86</f>
        <v>100.1830918261148</v>
      </c>
      <c r="AI82" s="299">
        <f>'районы КП, СП'!K86</f>
        <v>34566.25</v>
      </c>
      <c r="AJ82" s="299">
        <f>'районы КП, СП'!L86</f>
        <v>34566.25</v>
      </c>
      <c r="AK82" s="299">
        <f>'районы КП, СП'!M86</f>
        <v>34603.75</v>
      </c>
      <c r="AL82" s="299">
        <f>'районы КП, СП'!N86</f>
        <v>100.10848732506419</v>
      </c>
      <c r="AM82" s="299">
        <f>'районы КП, СП'!W86</f>
        <v>0</v>
      </c>
      <c r="AN82" s="299">
        <f>'районы КП, СП'!X86</f>
        <v>0</v>
      </c>
      <c r="AO82" s="299">
        <f>'районы КП, СП'!Y86</f>
        <v>0</v>
      </c>
      <c r="AP82" s="299">
        <f>'районы КП, СП'!Z86</f>
        <v>0</v>
      </c>
      <c r="AQ82" s="299">
        <f>'районы КП, СП'!AA86</f>
        <v>0</v>
      </c>
      <c r="AR82" s="299">
        <f>'районы КП, СП'!AB86</f>
        <v>0</v>
      </c>
      <c r="AS82" s="299">
        <f>'районы КП, СП'!AC86</f>
        <v>0</v>
      </c>
      <c r="AT82" s="299">
        <f>'районы КП, СП'!AD86</f>
        <v>0</v>
      </c>
      <c r="AU82" s="299">
        <f>'районы КП, СП'!AM86</f>
        <v>0</v>
      </c>
      <c r="AV82" s="299">
        <f>'районы КП, СП'!AN86</f>
        <v>0</v>
      </c>
      <c r="AW82" s="299">
        <f>'районы КП, СП'!AO86</f>
        <v>0</v>
      </c>
      <c r="AX82" s="299">
        <f>'районы КП, СП'!AP86</f>
        <v>0</v>
      </c>
      <c r="AY82" s="299">
        <f>'районы КП, СП'!BC86</f>
        <v>0</v>
      </c>
      <c r="AZ82" s="299">
        <f>'районы КП, СП'!BD86</f>
        <v>0</v>
      </c>
      <c r="BA82" s="299">
        <f>'районы КП, СП'!BE86</f>
        <v>0</v>
      </c>
      <c r="BB82" s="299">
        <f>'районы КП, СП'!BF86</f>
        <v>0</v>
      </c>
      <c r="BC82" s="299">
        <f>'районы КП, СП'!BG86</f>
        <v>0</v>
      </c>
      <c r="BD82" s="299">
        <f>'районы КП, СП'!BH86</f>
        <v>0</v>
      </c>
      <c r="BE82" s="299">
        <f>'районы КП, СП'!BI86</f>
        <v>0</v>
      </c>
      <c r="BF82" s="299">
        <f>'районы КП, СП'!BJ86</f>
        <v>0</v>
      </c>
      <c r="BG82" s="299">
        <f>'районы НП, ЧП'!K86</f>
        <v>0</v>
      </c>
      <c r="BH82" s="299">
        <f>'районы НП, ЧП'!L86</f>
        <v>0</v>
      </c>
      <c r="BI82" s="299">
        <f>'районы НП, ЧП'!M86</f>
        <v>0</v>
      </c>
      <c r="BJ82" s="299">
        <f>'районы НП, ЧП'!N86</f>
        <v>0</v>
      </c>
      <c r="BK82" s="299">
        <f>'районы НП, ЧП'!AA86</f>
        <v>0</v>
      </c>
      <c r="BL82" s="299">
        <f>'районы НП, ЧП'!AB86</f>
        <v>0</v>
      </c>
      <c r="BM82" s="299">
        <f>'районы НП, ЧП'!AC86</f>
        <v>0</v>
      </c>
      <c r="BN82" s="299">
        <f>'районы НП, ЧП'!AD86</f>
        <v>0</v>
      </c>
      <c r="BO82" s="299">
        <f>'районы НП, ЧП'!AE86</f>
        <v>0</v>
      </c>
      <c r="BP82" s="299">
        <f>'районы НП, ЧП'!AF86</f>
        <v>0</v>
      </c>
      <c r="BQ82" s="299">
        <f>'районы НП, ЧП'!AG86</f>
        <v>0</v>
      </c>
      <c r="BR82" s="299">
        <f>'районы НП, ЧП'!AH86</f>
        <v>0</v>
      </c>
      <c r="BS82" s="299">
        <f>'районы НП, ЧП'!AI86</f>
        <v>0</v>
      </c>
      <c r="BT82" s="299">
        <f>'районы НП, ЧП'!AJ86</f>
        <v>0</v>
      </c>
      <c r="BU82" s="299">
        <f>'районы НП, ЧП'!AK86</f>
        <v>0</v>
      </c>
      <c r="BV82" s="299">
        <f>'районы НП, ЧП'!AL86</f>
        <v>0</v>
      </c>
      <c r="BW82" s="299">
        <f>'районы НП, ЧП'!AM86</f>
        <v>0</v>
      </c>
      <c r="BX82" s="299">
        <f>'районы НП, ЧП'!AN86</f>
        <v>0</v>
      </c>
      <c r="BY82" s="299">
        <f>'районы НП, ЧП'!AO86</f>
        <v>0</v>
      </c>
      <c r="BZ82" s="299">
        <f>'районы НП, ЧП'!AP86</f>
        <v>0</v>
      </c>
      <c r="CA82" s="299">
        <f>'районы НП, ЧП'!AU86</f>
        <v>0</v>
      </c>
      <c r="CB82" s="299">
        <f>'районы НП, ЧП'!AV86</f>
        <v>0</v>
      </c>
      <c r="CC82" s="299">
        <f>'районы НП, ЧП'!AW86</f>
        <v>0</v>
      </c>
      <c r="CD82" s="299">
        <f>'районы НП, ЧП'!AX86</f>
        <v>0</v>
      </c>
      <c r="CE82" s="300">
        <f t="shared" si="10"/>
        <v>582018.75</v>
      </c>
      <c r="CF82" s="300">
        <f t="shared" si="11"/>
        <v>582018.75</v>
      </c>
      <c r="CG82" s="300">
        <f t="shared" si="11"/>
        <v>581476.0625</v>
      </c>
      <c r="CH82" s="301">
        <f t="shared" si="12"/>
        <v>99.90675772902506</v>
      </c>
    </row>
    <row r="83" spans="1:86" s="298" customFormat="1" ht="15.75" x14ac:dyDescent="0.25">
      <c r="A83" s="297" t="s">
        <v>179</v>
      </c>
      <c r="B83" s="95"/>
      <c r="C83" s="15">
        <f>КЛПУ!BS87</f>
        <v>1059863.3999999999</v>
      </c>
      <c r="D83" s="15">
        <f>КЛПУ!BT87</f>
        <v>1059863.3999999999</v>
      </c>
      <c r="E83" s="15">
        <f>КЛПУ!BU87</f>
        <v>1036121</v>
      </c>
      <c r="F83" s="15">
        <f>КЛПУ!BV87</f>
        <v>97.759862261495215</v>
      </c>
      <c r="G83" s="15">
        <f>Хабаровск!EY87</f>
        <v>1044947.4025</v>
      </c>
      <c r="H83" s="15">
        <f>Хабаровск!EZ87</f>
        <v>1044947.4025</v>
      </c>
      <c r="I83" s="15">
        <f>Хабаровск!FA87</f>
        <v>1137287.5375000001</v>
      </c>
      <c r="J83" s="15">
        <f>Хабаровск!FB87</f>
        <v>108.83682133465086</v>
      </c>
      <c r="K83" s="15">
        <f>'Хаб.р-ны'!K87</f>
        <v>15923</v>
      </c>
      <c r="L83" s="15">
        <f>'Хаб.р-ны'!L87</f>
        <v>15923</v>
      </c>
      <c r="M83" s="15">
        <f>'Хаб.р-ны'!M87</f>
        <v>7813</v>
      </c>
      <c r="N83" s="15">
        <f>'Хаб.р-ны'!N87</f>
        <v>49.067386798970041</v>
      </c>
      <c r="O83" s="15">
        <f>'Хаб.р-ны'!AA87</f>
        <v>12745</v>
      </c>
      <c r="P83" s="15">
        <f>'Хаб.р-ны'!AB87</f>
        <v>12745</v>
      </c>
      <c r="Q83" s="15">
        <f>'Хаб.р-ны'!AC87</f>
        <v>14059</v>
      </c>
      <c r="R83" s="15">
        <f>'Хаб.р-ны'!AD87</f>
        <v>110.30992546096508</v>
      </c>
      <c r="S83" s="15">
        <f>'Хаб.р-ны'!AU87</f>
        <v>57907</v>
      </c>
      <c r="T83" s="15">
        <f>'Хаб.р-ны'!AV87</f>
        <v>57907</v>
      </c>
      <c r="U83" s="15">
        <f>'Хаб.р-ны'!AW87</f>
        <v>32968</v>
      </c>
      <c r="V83" s="15">
        <f>'Хаб.р-ны'!AX87</f>
        <v>56.932667898526944</v>
      </c>
      <c r="W83" s="15">
        <f>'Хаб.р-ны'!AY87</f>
        <v>21421.97</v>
      </c>
      <c r="X83" s="15">
        <f>'Хаб.р-ны'!AZ87</f>
        <v>21421.97</v>
      </c>
      <c r="Y83" s="15">
        <f>'Хаб.р-ны'!BA87</f>
        <v>17971</v>
      </c>
      <c r="Z83" s="15">
        <f>'Хаб.р-ны'!BB87</f>
        <v>83.890510536612638</v>
      </c>
      <c r="AA83" s="15">
        <f>'Хаб.р-ны'!BK87</f>
        <v>49016.904399999999</v>
      </c>
      <c r="AB83" s="15">
        <f>'Хаб.р-ны'!BL87</f>
        <v>49016.904399999999</v>
      </c>
      <c r="AC83" s="15">
        <f>'Хаб.р-ны'!BM87</f>
        <v>42832</v>
      </c>
      <c r="AD83" s="15">
        <f>'Хаб.р-ны'!BN87</f>
        <v>87.382099143739481</v>
      </c>
      <c r="AE83" s="15">
        <f>Комсомольск!BO87</f>
        <v>795292.1</v>
      </c>
      <c r="AF83" s="15">
        <f>Комсомольск!BP87</f>
        <v>795292.1</v>
      </c>
      <c r="AG83" s="15">
        <f>Комсомольск!BQ87</f>
        <v>795953.17500000005</v>
      </c>
      <c r="AH83" s="15">
        <f>Комсомольск!BR87</f>
        <v>100.08312354668179</v>
      </c>
      <c r="AI83" s="15">
        <f>'районы КП, СП'!K87</f>
        <v>90991.25</v>
      </c>
      <c r="AJ83" s="15">
        <f>'районы КП, СП'!L87</f>
        <v>90991.25</v>
      </c>
      <c r="AK83" s="15">
        <f>'районы КП, СП'!M87</f>
        <v>92479.75</v>
      </c>
      <c r="AL83" s="15">
        <f>'районы КП, СП'!N87</f>
        <v>101.63587158105862</v>
      </c>
      <c r="AM83" s="15">
        <f>'районы КП, СП'!W87</f>
        <v>21100</v>
      </c>
      <c r="AN83" s="15">
        <f>'районы КП, СП'!X87</f>
        <v>21100</v>
      </c>
      <c r="AO83" s="15">
        <f>'районы КП, СП'!Y87</f>
        <v>23089</v>
      </c>
      <c r="AP83" s="15">
        <f>'районы КП, СП'!Z87</f>
        <v>109.42654028436019</v>
      </c>
      <c r="AQ83" s="15">
        <f>'районы КП, СП'!AA87</f>
        <v>25273.4087</v>
      </c>
      <c r="AR83" s="15">
        <f>'районы КП, СП'!AB87</f>
        <v>25273.4087</v>
      </c>
      <c r="AS83" s="15">
        <f>'районы КП, СП'!AC87</f>
        <v>31805</v>
      </c>
      <c r="AT83" s="15">
        <f>'районы КП, СП'!AD87</f>
        <v>125.84372918402573</v>
      </c>
      <c r="AU83" s="15">
        <f>'районы КП, СП'!AM87</f>
        <v>43126</v>
      </c>
      <c r="AV83" s="15">
        <f>'районы КП, СП'!AN87</f>
        <v>43126</v>
      </c>
      <c r="AW83" s="15">
        <f>'районы КП, СП'!AO87</f>
        <v>38276</v>
      </c>
      <c r="AX83" s="15">
        <f>'районы КП, СП'!AP87</f>
        <v>88.753883967907981</v>
      </c>
      <c r="AY83" s="15">
        <f>'районы КП, СП'!BC87</f>
        <v>30556</v>
      </c>
      <c r="AZ83" s="15">
        <f>'районы КП, СП'!BD87</f>
        <v>30556</v>
      </c>
      <c r="BA83" s="15">
        <f>'районы КП, СП'!BE87</f>
        <v>24604</v>
      </c>
      <c r="BB83" s="15">
        <f>'районы КП, СП'!BF87</f>
        <v>80.521010603482139</v>
      </c>
      <c r="BC83" s="15">
        <f>'районы КП, СП'!BG87</f>
        <v>4963</v>
      </c>
      <c r="BD83" s="15">
        <f>'районы КП, СП'!BH87</f>
        <v>4963</v>
      </c>
      <c r="BE83" s="15">
        <f>'районы КП, СП'!BI87</f>
        <v>2813</v>
      </c>
      <c r="BF83" s="15">
        <f>'районы КП, СП'!BJ87</f>
        <v>56.679427765464439</v>
      </c>
      <c r="BG83" s="15">
        <f>'районы НП, ЧП'!K87</f>
        <v>39669.5</v>
      </c>
      <c r="BH83" s="15">
        <f>'районы НП, ЧП'!L87</f>
        <v>39669.5</v>
      </c>
      <c r="BI83" s="15">
        <f>'районы НП, ЧП'!M87</f>
        <v>31886</v>
      </c>
      <c r="BJ83" s="15">
        <f>'районы НП, ЧП'!N87</f>
        <v>80.379132582966761</v>
      </c>
      <c r="BK83" s="15">
        <f>'районы НП, ЧП'!AA87</f>
        <v>20553</v>
      </c>
      <c r="BL83" s="15">
        <f>'районы НП, ЧП'!AB87</f>
        <v>20553</v>
      </c>
      <c r="BM83" s="15">
        <f>'районы НП, ЧП'!AC87</f>
        <v>15725</v>
      </c>
      <c r="BN83" s="15">
        <f>'районы НП, ЧП'!AD87</f>
        <v>76.509511993382958</v>
      </c>
      <c r="BO83" s="15">
        <f>'районы НП, ЧП'!AE87</f>
        <v>3577</v>
      </c>
      <c r="BP83" s="15">
        <f>'районы НП, ЧП'!AF87</f>
        <v>3577</v>
      </c>
      <c r="BQ83" s="15">
        <f>'районы НП, ЧП'!AG87</f>
        <v>4989</v>
      </c>
      <c r="BR83" s="15">
        <f>'районы НП, ЧП'!AH87</f>
        <v>139.47441990494829</v>
      </c>
      <c r="BS83" s="15">
        <f>'районы НП, ЧП'!AI87</f>
        <v>1611</v>
      </c>
      <c r="BT83" s="15">
        <f>'районы НП, ЧП'!AJ87</f>
        <v>1611</v>
      </c>
      <c r="BU83" s="15">
        <f>'районы НП, ЧП'!AK87</f>
        <v>1763</v>
      </c>
      <c r="BV83" s="15">
        <f>'районы НП, ЧП'!AL87</f>
        <v>109.43513345747982</v>
      </c>
      <c r="BW83" s="15">
        <f>'районы НП, ЧП'!AM87</f>
        <v>8624</v>
      </c>
      <c r="BX83" s="15">
        <f>'районы НП, ЧП'!AN87</f>
        <v>8624</v>
      </c>
      <c r="BY83" s="15">
        <f>'районы НП, ЧП'!AO87</f>
        <v>5684</v>
      </c>
      <c r="BZ83" s="15">
        <f>'районы НП, ЧП'!AP87</f>
        <v>65.909090909090907</v>
      </c>
      <c r="CA83" s="15">
        <f>'районы НП, ЧП'!AU87</f>
        <v>9247</v>
      </c>
      <c r="CB83" s="15">
        <f>'районы НП, ЧП'!AV87</f>
        <v>9247</v>
      </c>
      <c r="CC83" s="15">
        <f>'районы НП, ЧП'!AW87</f>
        <v>3392</v>
      </c>
      <c r="CD83" s="15">
        <f>'районы НП, ЧП'!AX87</f>
        <v>36.682167189358708</v>
      </c>
      <c r="CE83" s="292">
        <f t="shared" si="10"/>
        <v>3356407.9356</v>
      </c>
      <c r="CF83" s="292">
        <f t="shared" si="11"/>
        <v>3356407.9356</v>
      </c>
      <c r="CG83" s="292">
        <f t="shared" si="11"/>
        <v>3361510.4625000004</v>
      </c>
      <c r="CH83" s="293">
        <f t="shared" si="12"/>
        <v>100.15202344285628</v>
      </c>
    </row>
    <row r="84" spans="1:86" ht="15.75" x14ac:dyDescent="0.25">
      <c r="A84" s="34"/>
      <c r="B84" s="71"/>
      <c r="C84" s="15">
        <f>КЛПУ!BS88</f>
        <v>0</v>
      </c>
      <c r="D84" s="15">
        <f>КЛПУ!BT88</f>
        <v>0</v>
      </c>
      <c r="E84" s="15">
        <f>КЛПУ!BU88</f>
        <v>0</v>
      </c>
      <c r="F84" s="15">
        <f>КЛПУ!BV88</f>
        <v>0</v>
      </c>
      <c r="G84" s="15">
        <f>Хабаровск!EY88</f>
        <v>0</v>
      </c>
      <c r="H84" s="15">
        <f>Хабаровск!EZ88</f>
        <v>0</v>
      </c>
      <c r="I84" s="15">
        <f>Хабаровск!FA88</f>
        <v>0</v>
      </c>
      <c r="J84" s="15">
        <f>Хабаровск!FB88</f>
        <v>0</v>
      </c>
      <c r="K84" s="15">
        <f>'Хаб.р-ны'!K88</f>
        <v>0</v>
      </c>
      <c r="L84" s="15">
        <f>'Хаб.р-ны'!L88</f>
        <v>0</v>
      </c>
      <c r="M84" s="15">
        <f>'Хаб.р-ны'!M88</f>
        <v>0</v>
      </c>
      <c r="N84" s="15">
        <f>'Хаб.р-ны'!N88</f>
        <v>0</v>
      </c>
      <c r="O84" s="15">
        <f>'Хаб.р-ны'!AA88</f>
        <v>0</v>
      </c>
      <c r="P84" s="15">
        <f>'Хаб.р-ны'!AB88</f>
        <v>0</v>
      </c>
      <c r="Q84" s="15">
        <f>'Хаб.р-ны'!AC88</f>
        <v>0</v>
      </c>
      <c r="R84" s="15">
        <f>'Хаб.р-ны'!AD88</f>
        <v>0</v>
      </c>
      <c r="S84" s="15">
        <f>'Хаб.р-ны'!AU88</f>
        <v>0</v>
      </c>
      <c r="T84" s="15">
        <f>'Хаб.р-ны'!AV88</f>
        <v>0</v>
      </c>
      <c r="U84" s="15">
        <f>'Хаб.р-ны'!AW88</f>
        <v>0</v>
      </c>
      <c r="V84" s="15">
        <f>'Хаб.р-ны'!AX88</f>
        <v>0</v>
      </c>
      <c r="W84" s="15">
        <f>'Хаб.р-ны'!AY88</f>
        <v>0</v>
      </c>
      <c r="X84" s="15">
        <f>'Хаб.р-ны'!AZ88</f>
        <v>0</v>
      </c>
      <c r="Y84" s="15">
        <f>'Хаб.р-ны'!BA88</f>
        <v>0</v>
      </c>
      <c r="Z84" s="15">
        <f>'Хаб.р-ны'!BB88</f>
        <v>0</v>
      </c>
      <c r="AA84" s="15">
        <f>'Хаб.р-ны'!BK88</f>
        <v>0</v>
      </c>
      <c r="AB84" s="15">
        <f>'Хаб.р-ны'!BL88</f>
        <v>0</v>
      </c>
      <c r="AC84" s="15">
        <f>'Хаб.р-ны'!BM88</f>
        <v>0</v>
      </c>
      <c r="AD84" s="15">
        <f>'Хаб.р-ны'!BN88</f>
        <v>0</v>
      </c>
      <c r="AE84" s="15">
        <f>Комсомольск!BO88</f>
        <v>0</v>
      </c>
      <c r="AF84" s="15">
        <f>Комсомольск!BP88</f>
        <v>0</v>
      </c>
      <c r="AG84" s="15">
        <f>Комсомольск!BQ88</f>
        <v>0</v>
      </c>
      <c r="AH84" s="15">
        <f>Комсомольск!BR88</f>
        <v>0</v>
      </c>
      <c r="AI84" s="15">
        <f>'районы КП, СП'!K88</f>
        <v>0</v>
      </c>
      <c r="AJ84" s="15">
        <f>'районы КП, СП'!L88</f>
        <v>0</v>
      </c>
      <c r="AK84" s="15">
        <f>'районы КП, СП'!M88</f>
        <v>0</v>
      </c>
      <c r="AL84" s="15">
        <f>'районы КП, СП'!N88</f>
        <v>0</v>
      </c>
      <c r="AM84" s="15">
        <f>'районы КП, СП'!W88</f>
        <v>0</v>
      </c>
      <c r="AN84" s="15">
        <f>'районы КП, СП'!X88</f>
        <v>0</v>
      </c>
      <c r="AO84" s="15">
        <f>'районы КП, СП'!Y88</f>
        <v>0</v>
      </c>
      <c r="AP84" s="15">
        <f>'районы КП, СП'!Z88</f>
        <v>0</v>
      </c>
      <c r="AQ84" s="15">
        <f>'районы КП, СП'!AA88</f>
        <v>0</v>
      </c>
      <c r="AR84" s="15">
        <f>'районы КП, СП'!AB88</f>
        <v>0</v>
      </c>
      <c r="AS84" s="15">
        <f>'районы КП, СП'!AC88</f>
        <v>0</v>
      </c>
      <c r="AT84" s="15">
        <f>'районы КП, СП'!AD88</f>
        <v>0</v>
      </c>
      <c r="AU84" s="15">
        <f>'районы КП, СП'!AM88</f>
        <v>0</v>
      </c>
      <c r="AV84" s="15">
        <f>'районы КП, СП'!AN88</f>
        <v>0</v>
      </c>
      <c r="AW84" s="15">
        <f>'районы КП, СП'!AO88</f>
        <v>0</v>
      </c>
      <c r="AX84" s="15">
        <f>'районы КП, СП'!AP88</f>
        <v>0</v>
      </c>
      <c r="AY84" s="15">
        <f>'районы КП, СП'!BC88</f>
        <v>0</v>
      </c>
      <c r="AZ84" s="15">
        <f>'районы КП, СП'!BD88</f>
        <v>0</v>
      </c>
      <c r="BA84" s="15">
        <f>'районы КП, СП'!BE88</f>
        <v>0</v>
      </c>
      <c r="BB84" s="15">
        <f>'районы КП, СП'!BF88</f>
        <v>0</v>
      </c>
      <c r="BC84" s="15">
        <f>'районы КП, СП'!BG88</f>
        <v>0</v>
      </c>
      <c r="BD84" s="15">
        <f>'районы КП, СП'!BH88</f>
        <v>0</v>
      </c>
      <c r="BE84" s="15">
        <f>'районы КП, СП'!BI88</f>
        <v>0</v>
      </c>
      <c r="BF84" s="15">
        <f>'районы КП, СП'!BJ88</f>
        <v>0</v>
      </c>
      <c r="BG84" s="15">
        <f>'районы НП, ЧП'!K88</f>
        <v>0</v>
      </c>
      <c r="BH84" s="15">
        <f>'районы НП, ЧП'!L88</f>
        <v>0</v>
      </c>
      <c r="BI84" s="15">
        <f>'районы НП, ЧП'!M88</f>
        <v>0</v>
      </c>
      <c r="BJ84" s="15">
        <f>'районы НП, ЧП'!N88</f>
        <v>0</v>
      </c>
      <c r="BK84" s="15">
        <f>'районы НП, ЧП'!AA88</f>
        <v>0</v>
      </c>
      <c r="BL84" s="15">
        <f>'районы НП, ЧП'!AB88</f>
        <v>0</v>
      </c>
      <c r="BM84" s="15">
        <f>'районы НП, ЧП'!AC88</f>
        <v>0</v>
      </c>
      <c r="BN84" s="15">
        <f>'районы НП, ЧП'!AD88</f>
        <v>0</v>
      </c>
      <c r="BO84" s="15">
        <f>'районы НП, ЧП'!AE88</f>
        <v>0</v>
      </c>
      <c r="BP84" s="15">
        <f>'районы НП, ЧП'!AF88</f>
        <v>0</v>
      </c>
      <c r="BQ84" s="15">
        <f>'районы НП, ЧП'!AG88</f>
        <v>0</v>
      </c>
      <c r="BR84" s="15">
        <f>'районы НП, ЧП'!AH88</f>
        <v>0</v>
      </c>
      <c r="BS84" s="15">
        <f>'районы НП, ЧП'!AI88</f>
        <v>0</v>
      </c>
      <c r="BT84" s="15">
        <f>'районы НП, ЧП'!AJ88</f>
        <v>0</v>
      </c>
      <c r="BU84" s="15">
        <f>'районы НП, ЧП'!AK88</f>
        <v>0</v>
      </c>
      <c r="BV84" s="15">
        <f>'районы НП, ЧП'!AL88</f>
        <v>0</v>
      </c>
      <c r="BW84" s="15">
        <f>'районы НП, ЧП'!AM88</f>
        <v>0</v>
      </c>
      <c r="BX84" s="15">
        <f>'районы НП, ЧП'!AN88</f>
        <v>0</v>
      </c>
      <c r="BY84" s="15">
        <f>'районы НП, ЧП'!AO88</f>
        <v>0</v>
      </c>
      <c r="BZ84" s="15">
        <f>'районы НП, ЧП'!AP88</f>
        <v>0</v>
      </c>
      <c r="CA84" s="15">
        <f>'районы НП, ЧП'!AU88</f>
        <v>0</v>
      </c>
      <c r="CB84" s="15">
        <f>'районы НП, ЧП'!AV88</f>
        <v>0</v>
      </c>
      <c r="CC84" s="15">
        <f>'районы НП, ЧП'!AW88</f>
        <v>0</v>
      </c>
      <c r="CD84" s="15">
        <f>'районы НП, ЧП'!AX88</f>
        <v>0</v>
      </c>
      <c r="CE84" s="292">
        <f t="shared" si="10"/>
        <v>0</v>
      </c>
      <c r="CF84" s="292">
        <f t="shared" si="11"/>
        <v>0</v>
      </c>
      <c r="CG84" s="292">
        <f t="shared" si="11"/>
        <v>0</v>
      </c>
      <c r="CH84" s="293"/>
    </row>
    <row r="85" spans="1:86" s="7" customFormat="1" ht="15.75" x14ac:dyDescent="0.25">
      <c r="A85" s="87" t="s">
        <v>180</v>
      </c>
      <c r="B85" s="108"/>
      <c r="C85" s="299">
        <f>КЛПУ!BS89</f>
        <v>1088075.2</v>
      </c>
      <c r="D85" s="299">
        <f>КЛПУ!BT89</f>
        <v>1088075.2</v>
      </c>
      <c r="E85" s="299">
        <f>КЛПУ!BU89</f>
        <v>1056653.175</v>
      </c>
      <c r="F85" s="299">
        <f>КЛПУ!BV89</f>
        <v>97.112145833302705</v>
      </c>
      <c r="G85" s="299">
        <f>Хабаровск!EY89</f>
        <v>4967717.8024999993</v>
      </c>
      <c r="H85" s="299">
        <f>Хабаровск!EZ89</f>
        <v>4967717.8024999993</v>
      </c>
      <c r="I85" s="299">
        <f>Хабаровск!FA89</f>
        <v>5163053.3500000006</v>
      </c>
      <c r="J85" s="299">
        <f>Хабаровск!FB89</f>
        <v>103.93209830481311</v>
      </c>
      <c r="K85" s="299">
        <f>'Хаб.р-ны'!K89</f>
        <v>136384.20000000001</v>
      </c>
      <c r="L85" s="299">
        <f>'Хаб.р-ны'!L89</f>
        <v>136384.20000000001</v>
      </c>
      <c r="M85" s="299">
        <f>'Хаб.р-ны'!M89</f>
        <v>123391.6375</v>
      </c>
      <c r="N85" s="299">
        <f>'Хаб.р-ны'!N89</f>
        <v>90.473557420874258</v>
      </c>
      <c r="O85" s="299">
        <f>'Хаб.р-ны'!AA89</f>
        <v>167778.8</v>
      </c>
      <c r="P85" s="299">
        <f>'Хаб.р-ны'!AB89</f>
        <v>167778.8</v>
      </c>
      <c r="Q85" s="299">
        <f>'Хаб.р-ны'!AC89</f>
        <v>153414.71250000002</v>
      </c>
      <c r="R85" s="299">
        <f>'Хаб.р-ны'!AD89</f>
        <v>91.43867550608303</v>
      </c>
      <c r="S85" s="299">
        <f>'Хаб.р-ны'!AU89</f>
        <v>460268.60000000003</v>
      </c>
      <c r="T85" s="299">
        <f>'Хаб.р-ны'!AV89</f>
        <v>460268.60000000003</v>
      </c>
      <c r="U85" s="299">
        <f>'Хаб.р-ны'!AW89</f>
        <v>372052.5625</v>
      </c>
      <c r="V85" s="299">
        <f>'Хаб.р-ны'!AX89</f>
        <v>80.833791942357138</v>
      </c>
      <c r="W85" s="299">
        <f>'Хаб.р-ны'!AY89</f>
        <v>99867.170000000013</v>
      </c>
      <c r="X85" s="299">
        <f>'Хаб.р-ны'!AZ89</f>
        <v>99867.170000000013</v>
      </c>
      <c r="Y85" s="299">
        <f>'Хаб.р-ны'!BA89</f>
        <v>104989.16250000001</v>
      </c>
      <c r="Z85" s="299">
        <f>'Хаб.р-ны'!BB89</f>
        <v>105.12880509180344</v>
      </c>
      <c r="AA85" s="299">
        <f>'Хаб.р-ны'!BK89</f>
        <v>575716.50439999998</v>
      </c>
      <c r="AB85" s="299">
        <f>'Хаб.р-ны'!BL89</f>
        <v>575716.50439999998</v>
      </c>
      <c r="AC85" s="299">
        <f>'Хаб.р-ны'!BM89</f>
        <v>558145.08750000002</v>
      </c>
      <c r="AD85" s="299">
        <f>'Хаб.р-ны'!BN89</f>
        <v>96.947904608308477</v>
      </c>
      <c r="AE85" s="299">
        <f>Комсомольск!BO89</f>
        <v>2483458.1</v>
      </c>
      <c r="AF85" s="299">
        <f>Комсомольск!BP89</f>
        <v>2483458.1</v>
      </c>
      <c r="AG85" s="299">
        <f>Комсомольск!BQ89</f>
        <v>2525921.8624999998</v>
      </c>
      <c r="AH85" s="299">
        <f>Комсомольск!BR89</f>
        <v>101.70986426145059</v>
      </c>
      <c r="AI85" s="299">
        <f>'районы КП, СП'!K89</f>
        <v>526518.44999999995</v>
      </c>
      <c r="AJ85" s="299">
        <f>'районы КП, СП'!L89</f>
        <v>526518.44999999995</v>
      </c>
      <c r="AK85" s="299">
        <f>'районы КП, СП'!M89</f>
        <v>508802.47500000003</v>
      </c>
      <c r="AL85" s="299">
        <f>'районы КП, СП'!N89</f>
        <v>96.635260359822155</v>
      </c>
      <c r="AM85" s="299">
        <f>'районы КП, СП'!W89</f>
        <v>220461</v>
      </c>
      <c r="AN85" s="299">
        <f>'районы КП, СП'!X89</f>
        <v>220461</v>
      </c>
      <c r="AO85" s="299">
        <f>'районы КП, СП'!Y89</f>
        <v>206644.02500000002</v>
      </c>
      <c r="AP85" s="299">
        <f>'районы КП, СП'!Z89</f>
        <v>93.732689682075303</v>
      </c>
      <c r="AQ85" s="299">
        <f>'районы КП, СП'!AA89</f>
        <v>190997.20870000002</v>
      </c>
      <c r="AR85" s="299">
        <f>'районы КП, СП'!AB89</f>
        <v>190997.20870000002</v>
      </c>
      <c r="AS85" s="299">
        <f>'районы КП, СП'!AC89</f>
        <v>206116.11250000002</v>
      </c>
      <c r="AT85" s="299">
        <f>'районы КП, СП'!AD89</f>
        <v>107.91577212196191</v>
      </c>
      <c r="AU85" s="299">
        <f>'районы КП, СП'!AM89</f>
        <v>384131</v>
      </c>
      <c r="AV85" s="299">
        <f>'районы КП, СП'!AN89</f>
        <v>384131</v>
      </c>
      <c r="AW85" s="299">
        <f>'районы КП, СП'!AO89</f>
        <v>395727.5625</v>
      </c>
      <c r="AX85" s="299">
        <f>'районы КП, СП'!AP89</f>
        <v>103.01890826306649</v>
      </c>
      <c r="AY85" s="299">
        <f>'районы КП, СП'!BC89</f>
        <v>185513.8</v>
      </c>
      <c r="AZ85" s="299">
        <f>'районы КП, СП'!BD89</f>
        <v>185513.8</v>
      </c>
      <c r="BA85" s="299">
        <f>'районы КП, СП'!BE89</f>
        <v>185098.47499999998</v>
      </c>
      <c r="BB85" s="299">
        <f>'районы КП, СП'!BF89</f>
        <v>99.776121776385367</v>
      </c>
      <c r="BC85" s="299">
        <f>'районы КП, СП'!BG89</f>
        <v>45822.6</v>
      </c>
      <c r="BD85" s="299">
        <f>'районы КП, СП'!BH89</f>
        <v>45822.6</v>
      </c>
      <c r="BE85" s="299">
        <f>'районы КП, СП'!BI89</f>
        <v>42260.850000000006</v>
      </c>
      <c r="BF85" s="299">
        <f>'районы КП, СП'!BJ89</f>
        <v>92.227088816435582</v>
      </c>
      <c r="BG85" s="299">
        <f>'районы НП, ЧП'!K89</f>
        <v>239066.7</v>
      </c>
      <c r="BH85" s="299">
        <f>'районы НП, ЧП'!L89</f>
        <v>239066.7</v>
      </c>
      <c r="BI85" s="299">
        <f>'районы НП, ЧП'!M89</f>
        <v>237572.95</v>
      </c>
      <c r="BJ85" s="299">
        <f>'районы НП, ЧП'!N89</f>
        <v>99.37517437602142</v>
      </c>
      <c r="BK85" s="299">
        <f>'районы НП, ЧП'!AA89</f>
        <v>185315.8</v>
      </c>
      <c r="BL85" s="299">
        <f>'районы НП, ЧП'!AB89</f>
        <v>185315.8</v>
      </c>
      <c r="BM85" s="299">
        <f>'районы НП, ЧП'!AC89</f>
        <v>168488.0625</v>
      </c>
      <c r="BN85" s="299">
        <f>'районы НП, ЧП'!AD89</f>
        <v>90.919426460129145</v>
      </c>
      <c r="BO85" s="299">
        <f>'районы НП, ЧП'!AE89</f>
        <v>32712</v>
      </c>
      <c r="BP85" s="299">
        <f>'районы НП, ЧП'!AF89</f>
        <v>32712</v>
      </c>
      <c r="BQ85" s="299">
        <f>'районы НП, ЧП'!AG89</f>
        <v>30036.012500000001</v>
      </c>
      <c r="BR85" s="299">
        <f>'районы НП, ЧП'!AH89</f>
        <v>91.819553986304726</v>
      </c>
      <c r="BS85" s="299">
        <f>'районы НП, ЧП'!AI89</f>
        <v>19844.599999999999</v>
      </c>
      <c r="BT85" s="299">
        <f>'районы НП, ЧП'!AJ89</f>
        <v>19844.599999999999</v>
      </c>
      <c r="BU85" s="299">
        <f>'районы НП, ЧП'!AK89</f>
        <v>15834.975</v>
      </c>
      <c r="BV85" s="299">
        <f>'районы НП, ЧП'!AL89</f>
        <v>79.794881227134852</v>
      </c>
      <c r="BW85" s="299">
        <f>'районы НП, ЧП'!AM89</f>
        <v>73144</v>
      </c>
      <c r="BX85" s="299">
        <f>'районы НП, ЧП'!AN89</f>
        <v>73144</v>
      </c>
      <c r="BY85" s="299">
        <f>'районы НП, ЧП'!AO89</f>
        <v>76241.200000000012</v>
      </c>
      <c r="BZ85" s="299">
        <f>'районы НП, ЧП'!AP89</f>
        <v>104.23438696270372</v>
      </c>
      <c r="CA85" s="299">
        <f>'районы НП, ЧП'!AU89</f>
        <v>208456.80000000002</v>
      </c>
      <c r="CB85" s="299">
        <f>'районы НП, ЧП'!AV89</f>
        <v>208456.80000000002</v>
      </c>
      <c r="CC85" s="299">
        <f>'районы НП, ЧП'!AW89</f>
        <v>148354.29999999999</v>
      </c>
      <c r="CD85" s="299">
        <f>'районы НП, ЧП'!AX89</f>
        <v>71.167887063410731</v>
      </c>
      <c r="CE85" s="300">
        <f t="shared" si="10"/>
        <v>12291250.3356</v>
      </c>
      <c r="CF85" s="300">
        <f t="shared" si="11"/>
        <v>12291250.3356</v>
      </c>
      <c r="CG85" s="300">
        <f t="shared" si="11"/>
        <v>12278798.550000001</v>
      </c>
      <c r="CH85" s="301">
        <f t="shared" si="12"/>
        <v>99.89869390615263</v>
      </c>
    </row>
    <row r="86" spans="1:86" ht="14.25" hidden="1" x14ac:dyDescent="0.2">
      <c r="A86" s="11" t="s">
        <v>207</v>
      </c>
      <c r="B86" s="11"/>
      <c r="C86" s="290">
        <f>C8+C14*3.2+C17+C21+C75*3.2+C76+C82</f>
        <v>1088075.2000000002</v>
      </c>
      <c r="D86" s="290">
        <f>D8+D14*3.2+D17+D21+D75*3.2+D76+D82</f>
        <v>1088075.2000000002</v>
      </c>
      <c r="E86" s="291">
        <f>E8+E14*3.2+E17+E21+E75*3.2+E76+E82</f>
        <v>1056653.175</v>
      </c>
      <c r="F86" s="11"/>
      <c r="G86" s="290">
        <f>G8+G14*3.2+G17+G21+G75*3.2+G76+G82</f>
        <v>4967717.8025000002</v>
      </c>
      <c r="H86" s="290">
        <f>H8+H14*3.2+H17+H21+H75*3.2+H76+H82</f>
        <v>4967717.8025000002</v>
      </c>
      <c r="I86" s="291">
        <f>I8+I14*3.2+I17+I21+I75*3.2+I76+I82</f>
        <v>5163053.3499999996</v>
      </c>
      <c r="J86" s="291">
        <f t="shared" ref="J86:BU86" si="13">J8+J14*3.2+J17+J21+J75*3.2+J76+J82</f>
        <v>1082.3767785730686</v>
      </c>
      <c r="K86" s="290">
        <f t="shared" si="13"/>
        <v>136384.20000000001</v>
      </c>
      <c r="L86" s="290">
        <f t="shared" si="13"/>
        <v>136384.20000000001</v>
      </c>
      <c r="M86" s="291">
        <f t="shared" si="13"/>
        <v>123391.6375</v>
      </c>
      <c r="N86" s="291">
        <f t="shared" si="13"/>
        <v>603.87277208229955</v>
      </c>
      <c r="O86" s="290">
        <f t="shared" si="13"/>
        <v>167778.8</v>
      </c>
      <c r="P86" s="290">
        <f t="shared" si="13"/>
        <v>167778.8</v>
      </c>
      <c r="Q86" s="291">
        <f t="shared" si="13"/>
        <v>153414.71250000002</v>
      </c>
      <c r="R86" s="291">
        <f t="shared" si="13"/>
        <v>584.59298552378209</v>
      </c>
      <c r="S86" s="290">
        <f t="shared" si="13"/>
        <v>460268.60000000003</v>
      </c>
      <c r="T86" s="290">
        <f t="shared" si="13"/>
        <v>460268.60000000003</v>
      </c>
      <c r="U86" s="291">
        <f t="shared" si="13"/>
        <v>372052.5625</v>
      </c>
      <c r="V86" s="291">
        <f t="shared" si="13"/>
        <v>537.00464867800247</v>
      </c>
      <c r="W86" s="290">
        <f t="shared" si="13"/>
        <v>99867.170000000013</v>
      </c>
      <c r="X86" s="290">
        <f t="shared" si="13"/>
        <v>99867.170000000013</v>
      </c>
      <c r="Y86" s="291">
        <f t="shared" si="13"/>
        <v>104989.16250000001</v>
      </c>
      <c r="Z86" s="291">
        <f t="shared" si="13"/>
        <v>650.41687388114065</v>
      </c>
      <c r="AA86" s="290">
        <f t="shared" si="13"/>
        <v>575716.50440000009</v>
      </c>
      <c r="AB86" s="290">
        <f t="shared" si="13"/>
        <v>575716.50440000009</v>
      </c>
      <c r="AC86" s="291">
        <f t="shared" si="13"/>
        <v>558145.08750000002</v>
      </c>
      <c r="AD86" s="291">
        <f t="shared" si="13"/>
        <v>632.45101861843841</v>
      </c>
      <c r="AE86" s="290">
        <f t="shared" si="13"/>
        <v>2483458.1</v>
      </c>
      <c r="AF86" s="290">
        <f t="shared" si="13"/>
        <v>2483458.1</v>
      </c>
      <c r="AG86" s="291">
        <f t="shared" si="13"/>
        <v>2525921.8624999998</v>
      </c>
      <c r="AH86" s="291">
        <f t="shared" si="13"/>
        <v>1035.5490472713052</v>
      </c>
      <c r="AI86" s="290">
        <f t="shared" si="13"/>
        <v>526518.44999999995</v>
      </c>
      <c r="AJ86" s="290">
        <f t="shared" si="13"/>
        <v>526518.44999999995</v>
      </c>
      <c r="AK86" s="291">
        <f t="shared" si="13"/>
        <v>508802.47500000003</v>
      </c>
      <c r="AL86" s="291">
        <f t="shared" si="13"/>
        <v>688.88342389079412</v>
      </c>
      <c r="AM86" s="290">
        <f t="shared" si="13"/>
        <v>220461</v>
      </c>
      <c r="AN86" s="290">
        <f t="shared" si="13"/>
        <v>220461</v>
      </c>
      <c r="AO86" s="291">
        <f t="shared" si="13"/>
        <v>206644.02500000002</v>
      </c>
      <c r="AP86" s="291">
        <f t="shared" si="13"/>
        <v>600.69558410918148</v>
      </c>
      <c r="AQ86" s="290">
        <f t="shared" si="13"/>
        <v>190997.20870000002</v>
      </c>
      <c r="AR86" s="290">
        <f t="shared" si="13"/>
        <v>190997.20870000002</v>
      </c>
      <c r="AS86" s="291">
        <f t="shared" si="13"/>
        <v>206116.11250000002</v>
      </c>
      <c r="AT86" s="291">
        <f t="shared" si="13"/>
        <v>714.49401798443012</v>
      </c>
      <c r="AU86" s="291">
        <f t="shared" si="13"/>
        <v>384131</v>
      </c>
      <c r="AV86" s="291">
        <f t="shared" si="13"/>
        <v>384131</v>
      </c>
      <c r="AW86" s="291">
        <f t="shared" si="13"/>
        <v>395727.5625</v>
      </c>
      <c r="AX86" s="291">
        <f t="shared" si="13"/>
        <v>570.31727101719946</v>
      </c>
      <c r="AY86" s="290">
        <f t="shared" si="13"/>
        <v>185513.8</v>
      </c>
      <c r="AZ86" s="290">
        <f t="shared" si="13"/>
        <v>185513.8</v>
      </c>
      <c r="BA86" s="291">
        <f t="shared" si="13"/>
        <v>185098.47500000001</v>
      </c>
      <c r="BB86" s="291">
        <f t="shared" si="13"/>
        <v>576.8652042362678</v>
      </c>
      <c r="BC86" s="290">
        <f t="shared" si="13"/>
        <v>45822.6</v>
      </c>
      <c r="BD86" s="290">
        <f t="shared" si="13"/>
        <v>45822.6</v>
      </c>
      <c r="BE86" s="291">
        <f t="shared" si="13"/>
        <v>42260.850000000006</v>
      </c>
      <c r="BF86" s="291">
        <f t="shared" si="13"/>
        <v>655.98990625111549</v>
      </c>
      <c r="BG86" s="290">
        <f t="shared" si="13"/>
        <v>239066.7</v>
      </c>
      <c r="BH86" s="290">
        <f t="shared" si="13"/>
        <v>239066.7</v>
      </c>
      <c r="BI86" s="291">
        <f t="shared" si="13"/>
        <v>237572.95</v>
      </c>
      <c r="BJ86" s="291">
        <f t="shared" si="13"/>
        <v>634.63499711462623</v>
      </c>
      <c r="BK86" s="290">
        <f t="shared" si="13"/>
        <v>185315.80000000002</v>
      </c>
      <c r="BL86" s="290">
        <f t="shared" si="13"/>
        <v>185315.80000000002</v>
      </c>
      <c r="BM86" s="291">
        <f t="shared" si="13"/>
        <v>168488.0625</v>
      </c>
      <c r="BN86" s="291">
        <f t="shared" si="13"/>
        <v>607.88819235851281</v>
      </c>
      <c r="BO86" s="291">
        <f t="shared" si="13"/>
        <v>32712</v>
      </c>
      <c r="BP86" s="291">
        <f t="shared" si="13"/>
        <v>32712</v>
      </c>
      <c r="BQ86" s="291">
        <f t="shared" si="13"/>
        <v>30036.012500000001</v>
      </c>
      <c r="BR86" s="291">
        <f t="shared" si="13"/>
        <v>614.62400166245106</v>
      </c>
      <c r="BS86" s="291">
        <f t="shared" si="13"/>
        <v>19844.599999999999</v>
      </c>
      <c r="BT86" s="291">
        <f t="shared" si="13"/>
        <v>19844.599999999999</v>
      </c>
      <c r="BU86" s="291">
        <f t="shared" si="13"/>
        <v>15834.975</v>
      </c>
      <c r="BV86" s="291">
        <f t="shared" ref="BV86:CG86" si="14">BV8+BV14*3.2+BV17+BV21+BV75*3.2+BV76+BV82</f>
        <v>539.02556711779539</v>
      </c>
      <c r="BW86" s="291">
        <f t="shared" si="14"/>
        <v>73144</v>
      </c>
      <c r="BX86" s="291">
        <f t="shared" si="14"/>
        <v>73144</v>
      </c>
      <c r="BY86" s="291">
        <f t="shared" si="14"/>
        <v>76241.200000000012</v>
      </c>
      <c r="BZ86" s="291">
        <f t="shared" si="14"/>
        <v>630.40793653567755</v>
      </c>
      <c r="CA86" s="291">
        <f t="shared" si="14"/>
        <v>208456.80000000002</v>
      </c>
      <c r="CB86" s="291">
        <f t="shared" si="14"/>
        <v>208456.80000000002</v>
      </c>
      <c r="CC86" s="291">
        <f t="shared" si="14"/>
        <v>148354.29999999999</v>
      </c>
      <c r="CD86" s="291">
        <f t="shared" si="14"/>
        <v>682.29889830887566</v>
      </c>
      <c r="CE86" s="296">
        <f t="shared" si="14"/>
        <v>12291250.3356</v>
      </c>
      <c r="CF86" s="296">
        <f t="shared" si="14"/>
        <v>12291250.3356</v>
      </c>
      <c r="CG86" s="296">
        <f t="shared" si="14"/>
        <v>12278798.550000001</v>
      </c>
      <c r="CH86" s="296"/>
    </row>
    <row r="88" spans="1:86" hidden="1" x14ac:dyDescent="0.2">
      <c r="CE88" s="363">
        <f>SUM(CE8+CE21+CE14*3.2+CE75*3.2+CE76+CE17+CE82)</f>
        <v>12291250.3356</v>
      </c>
      <c r="CF88" s="363">
        <f>SUM(CF8+CF21+CF14*3.2+CF75*3.2+CF76+CF17+CF82)</f>
        <v>12291250.3356</v>
      </c>
      <c r="CG88" s="363">
        <f>SUM(CG8+CG21+CG14*3.2+CG75*3.2+CG76+CG17+CG82)</f>
        <v>12278798.550000001</v>
      </c>
    </row>
    <row r="90" spans="1:86" x14ac:dyDescent="0.2">
      <c r="CE90" s="363"/>
    </row>
    <row r="92" spans="1:86" x14ac:dyDescent="0.2">
      <c r="CG92" s="364"/>
    </row>
  </sheetData>
  <customSheetViews>
    <customSheetView guid="{C4C3C6EA-4E99-4A9E-A26B-FFCC7AED73F2}">
      <pane xSplit="3" ySplit="7" topLeftCell="DU8" activePane="bottomRight" state="frozen"/>
      <selection pane="bottomRight" activeCell="EJ14" sqref="EH14:EJ14"/>
      <pageMargins left="0.7" right="0.7" top="0.75" bottom="0.75" header="0.3" footer="0.3"/>
      <pageSetup paperSize="9" orientation="portrait" r:id="rId1"/>
    </customSheetView>
    <customSheetView guid="{7AB5B88D-359A-416D-9EE2-70D3717CE362}" showPageBreaks="1">
      <pane xSplit="3" ySplit="7" topLeftCell="DZ8" activePane="bottomRight" state="frozen"/>
      <selection pane="bottomRight" activeCell="DT3" sqref="DT3:DY25"/>
      <pageMargins left="0" right="0" top="0" bottom="0" header="0.31496062992125984" footer="0.31496062992125984"/>
      <pageSetup paperSize="9" scale="90" orientation="landscape" r:id="rId2"/>
    </customSheetView>
    <customSheetView guid="{54C0345E-C30A-4773-9BED-454F3B675FBE}" showPageBreaks="1">
      <pane xSplit="3" ySplit="7" topLeftCell="EG8" activePane="bottomRight" state="frozen"/>
      <selection pane="bottomRight" activeCell="EL3" sqref="EL3:EQ6"/>
      <pageMargins left="0" right="0" top="0" bottom="0" header="0.31496062992125984" footer="0.31496062992125984"/>
      <pageSetup paperSize="9" scale="90" orientation="landscape" r:id="rId3"/>
    </customSheetView>
  </customSheetViews>
  <mergeCells count="44">
    <mergeCell ref="AE4:AH4"/>
    <mergeCell ref="AI4:AL4"/>
    <mergeCell ref="AM4:AP4"/>
    <mergeCell ref="A1:CH1"/>
    <mergeCell ref="BK3:BN3"/>
    <mergeCell ref="S3:V3"/>
    <mergeCell ref="W3:Z3"/>
    <mergeCell ref="AE3:AH3"/>
    <mergeCell ref="AI3:AL3"/>
    <mergeCell ref="AQ3:AT3"/>
    <mergeCell ref="AU3:AX3"/>
    <mergeCell ref="AY3:BB3"/>
    <mergeCell ref="BC3:BF3"/>
    <mergeCell ref="BG3:BJ3"/>
    <mergeCell ref="AM3:AP3"/>
    <mergeCell ref="CE3:CH3"/>
    <mergeCell ref="C4:F4"/>
    <mergeCell ref="G4:J4"/>
    <mergeCell ref="K4:N4"/>
    <mergeCell ref="O4:R4"/>
    <mergeCell ref="AA3:AD3"/>
    <mergeCell ref="O3:R3"/>
    <mergeCell ref="S4:V4"/>
    <mergeCell ref="W4:Z4"/>
    <mergeCell ref="AA4:AD4"/>
    <mergeCell ref="C3:F3"/>
    <mergeCell ref="G3:J3"/>
    <mergeCell ref="K3:N3"/>
    <mergeCell ref="AQ4:AT4"/>
    <mergeCell ref="AU4:AX4"/>
    <mergeCell ref="AY4:BB4"/>
    <mergeCell ref="BC4:BF4"/>
    <mergeCell ref="CA4:CD4"/>
    <mergeCell ref="CI3:CI5"/>
    <mergeCell ref="CE4:CH4"/>
    <mergeCell ref="BG4:BJ4"/>
    <mergeCell ref="BK4:BN4"/>
    <mergeCell ref="BO4:BR4"/>
    <mergeCell ref="BS4:BV4"/>
    <mergeCell ref="BW4:BZ4"/>
    <mergeCell ref="CA3:CD3"/>
    <mergeCell ref="BO3:BR3"/>
    <mergeCell ref="BS3:BV3"/>
    <mergeCell ref="BW3:BZ3"/>
  </mergeCells>
  <pageMargins left="0.78740157480314965" right="0" top="0" bottom="0" header="0.31496062992125984" footer="0.31496062992125984"/>
  <pageSetup paperSize="9" scale="68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КЛПУ</vt:lpstr>
      <vt:lpstr>Хабаровск</vt:lpstr>
      <vt:lpstr>Хаб.р-ны</vt:lpstr>
      <vt:lpstr>Комсомольск</vt:lpstr>
      <vt:lpstr>районы КП, СП</vt:lpstr>
      <vt:lpstr>районы НП, ЧП</vt:lpstr>
      <vt:lpstr>СВОД</vt:lpstr>
      <vt:lpstr>КЛПУ!Заголовки_для_печати</vt:lpstr>
      <vt:lpstr>'районы КП, СП'!Заголовки_для_печати</vt:lpstr>
      <vt:lpstr>СВОД!Заголовки_для_печати</vt:lpstr>
      <vt:lpstr>'Хаб.р-ны'!Заголовки_для_печати</vt:lpstr>
      <vt:lpstr>Хабаровск!Заголовки_для_печати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Москвич Наталья Владимировна</cp:lastModifiedBy>
  <cp:lastPrinted>2016-02-02T05:34:29Z</cp:lastPrinted>
  <dcterms:created xsi:type="dcterms:W3CDTF">2008-10-01T13:21:49Z</dcterms:created>
  <dcterms:modified xsi:type="dcterms:W3CDTF">2016-02-02T05:34:42Z</dcterms:modified>
</cp:coreProperties>
</file>